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firstSheet="3" activeTab="3"/>
  </bookViews>
  <sheets>
    <sheet name="dochody 2005 zał.1" sheetId="1" r:id="rId1"/>
    <sheet name="wydatki 2005 zał.2" sheetId="2" r:id="rId2"/>
    <sheet name="dot. otrzym.2005 zał.3" sheetId="3" r:id="rId3"/>
    <sheet name="admin.2005 zał.4" sheetId="4" r:id="rId4"/>
    <sheet name="wyd.maj.2005 zał.6 " sheetId="5" r:id="rId5"/>
    <sheet name="AA  2005 zał. 9" sheetId="6" r:id="rId6"/>
  </sheets>
  <definedNames>
    <definedName name="_xlnm.Print_Titles" localSheetId="5">'AA  2005 zał. 9'!$7:$8</definedName>
    <definedName name="_xlnm.Print_Titles" localSheetId="3">'admin.2005 zał.4'!$7:$8</definedName>
    <definedName name="_xlnm.Print_Titles" localSheetId="0">'dochody 2005 zał.1'!$7:$8</definedName>
    <definedName name="_xlnm.Print_Titles" localSheetId="2">'dot. otrzym.2005 zał.3'!$7:$8</definedName>
    <definedName name="_xlnm.Print_Titles" localSheetId="4">'wyd.maj.2005 zał.6 '!$6:$7</definedName>
    <definedName name="_xlnm.Print_Titles" localSheetId="1">'wydatki 2005 zał.2'!$7:$8</definedName>
  </definedNames>
  <calcPr fullCalcOnLoad="1"/>
</workbook>
</file>

<file path=xl/comments1.xml><?xml version="1.0" encoding="utf-8"?>
<comments xmlns="http://schemas.openxmlformats.org/spreadsheetml/2006/main">
  <authors>
    <author>UM w Trzciance</author>
  </authors>
  <commentList>
    <comment ref="E8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podstawowa1294526
uzupełniająca1396394
</t>
        </r>
      </text>
    </comment>
    <comment ref="I1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L1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O1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R1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739.970 SAPARD
</t>
        </r>
      </text>
    </comment>
    <comment ref="AM10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2.367 dofin.pracod. Przyuczenie młodocianych
</t>
        </r>
      </text>
    </comment>
  </commentList>
</comments>
</file>

<file path=xl/comments2.xml><?xml version="1.0" encoding="utf-8"?>
<comments xmlns="http://schemas.openxmlformats.org/spreadsheetml/2006/main">
  <authors>
    <author>UM w Trzciance</author>
  </authors>
  <commentList>
    <comment ref="E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soł. Stobno
</t>
        </r>
      </text>
    </comment>
    <comment ref="E3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soł. Stobno
</t>
        </r>
      </text>
    </comment>
    <comment ref="E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26175 soł.
</t>
        </r>
      </text>
    </comment>
    <comment ref="E2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40.103 soł.
-25.000 remonty bieżące dróg gminnych
</t>
        </r>
      </text>
    </comment>
    <comment ref="E2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30.343 soł.
</t>
        </r>
      </text>
    </comment>
    <comment ref="E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350 soł
500 cm.Biała
</t>
        </r>
      </text>
    </comment>
    <comment ref="E4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GKUA
</t>
        </r>
      </text>
    </comment>
    <comment ref="E7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1400 soł.
</t>
        </r>
      </text>
    </comment>
    <comment ref="E7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8454-soł.
</t>
        </r>
      </text>
    </comment>
    <comment ref="E11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soł.
</t>
        </r>
      </text>
    </comment>
    <comment ref="E16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 soł.
</t>
        </r>
      </text>
    </comment>
    <comment ref="E21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</t>
        </r>
      </text>
    </comment>
    <comment ref="E31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34000 AA
</t>
        </r>
      </text>
    </comment>
    <comment ref="E3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750 soł.</t>
        </r>
      </text>
    </comment>
    <comment ref="E3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10750 soł.
591.173 oczysz.miasta
54.438 dod.dopis
</t>
        </r>
      </text>
    </comment>
    <comment ref="E33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26496 soł.
3.000 części zam.paliwo kosa
1.000 narzędzia
3000 taśma
</t>
        </r>
      </text>
    </comment>
    <comment ref="E33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5100 soł.
Obsadzenia 15.000
84.673 utrzymanie czystości
</t>
        </r>
      </text>
    </comment>
    <comment ref="E34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15846 soł.
</t>
        </r>
      </text>
    </comment>
    <comment ref="E34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2100 soł.
1.000 tablice
</t>
        </r>
      </text>
    </comment>
    <comment ref="E34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2400 soł.
20.000 szalet
10.500 mel;ioracje
</t>
        </r>
      </text>
    </comment>
    <comment ref="E35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31358 soł.
</t>
        </r>
      </text>
    </comment>
    <comment ref="E3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10300 soł.</t>
        </r>
      </text>
    </comment>
    <comment ref="E35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21360 soł.
</t>
        </r>
      </text>
    </comment>
    <comment ref="E35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1055 soł.
</t>
        </r>
      </text>
    </comment>
    <comment ref="E3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100.000 wykupy gruntów
</t>
        </r>
      </text>
    </comment>
    <comment ref="E36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11440 soł.
</t>
        </r>
      </text>
    </comment>
    <comment ref="E3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
</t>
        </r>
      </text>
    </comment>
    <comment ref="E2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90.000 ub.społ.
3000 wł.
</t>
        </r>
      </text>
    </comment>
    <comment ref="E4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cm.Biała
</t>
        </r>
      </text>
    </comment>
    <comment ref="E37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AA 1.500 soł.
</t>
        </r>
      </text>
    </comment>
    <comment ref="E30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11000 AA półkolonie
</t>
        </r>
      </text>
    </comment>
    <comment ref="E27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21284 PPK
</t>
        </r>
      </text>
    </comment>
    <comment ref="E2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1220 PPK
</t>
        </r>
      </text>
    </comment>
    <comment ref="E27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3990 PPK
</t>
        </r>
      </text>
    </comment>
    <comment ref="E27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552 PPK
</t>
        </r>
      </text>
    </comment>
    <comment ref="E27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17000 PPK
</t>
        </r>
      </text>
    </comment>
    <comment ref="E27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5943 PPK
</t>
        </r>
      </text>
    </comment>
    <comment ref="E28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36325 PPK
3000 PPK
</t>
        </r>
      </text>
    </comment>
    <comment ref="E28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PPK
</t>
        </r>
      </text>
    </comment>
    <comment ref="E28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720 PPK
</t>
        </r>
      </text>
    </comment>
    <comment ref="E3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5000 remont pomostu Stara plaża
</t>
        </r>
      </text>
    </comment>
    <comment ref="E34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woda font.
2.000 woda ppoż
</t>
        </r>
      </text>
    </comment>
    <comment ref="E2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10000 mapy
1500 lasy zm.wyd.
</t>
        </r>
      </text>
    </comment>
    <comment ref="E25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20900 wł.
</t>
        </r>
      </text>
    </comment>
    <comment ref="E25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FP wł.
</t>
        </r>
      </text>
    </comment>
    <comment ref="E15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
42254 śr.spec.
8823799 szkoły
remonty - 50.000
</t>
        </r>
      </text>
    </comment>
    <comment ref="E18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272.608 przedszk.
2.746.193 dotacja
</t>
        </r>
      </text>
    </comment>
    <comment ref="E19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4.173.058 gimn.
18.899 śr.specj.
50.000 remonty
</t>
        </r>
      </text>
    </comment>
    <comment ref="E32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40000 doeszczowa 
</t>
        </r>
      </text>
    </comment>
    <comment ref="E3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świąterczne ośw.
</t>
        </r>
      </text>
    </comment>
    <comment ref="E33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remont muszli
</t>
        </r>
      </text>
    </comment>
    <comment ref="E1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-50.000 remonty bieżące dróg gminnych
po zm.50.000 </t>
        </r>
      </text>
    </comment>
    <comment ref="E29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86.200 śr.specj.
623.347 świtlice
</t>
        </r>
      </text>
    </comment>
    <comment ref="E35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45.000 
20.000 remont
</t>
        </r>
      </text>
    </comment>
    <comment ref="F2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3298 MGOPS
371 PPK
150 Stołówka
</t>
        </r>
      </text>
    </comment>
    <comment ref="G2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3.298 MGOPS
150 stołówka
6.777 PPK
</t>
        </r>
      </text>
    </comment>
    <comment ref="F1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REMONTY CZĄSTKOWE
</t>
        </r>
      </text>
    </comment>
    <comment ref="F34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12400 OŚW.BIERNATOWO
</t>
        </r>
      </text>
    </comment>
  </commentList>
</comments>
</file>

<file path=xl/comments4.xml><?xml version="1.0" encoding="utf-8"?>
<comments xmlns="http://schemas.openxmlformats.org/spreadsheetml/2006/main">
  <authors>
    <author>UM w Trzciance</author>
  </authors>
  <commentList>
    <comment ref="E4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20.900 wł.
</t>
        </r>
      </text>
    </comment>
    <comment ref="E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dopł.wł.
90.000 pobierający św.
</t>
        </r>
      </text>
    </comment>
    <comment ref="E4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wł.
</t>
        </r>
      </text>
    </comment>
    <comment ref="E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24.800 wł.
</t>
        </r>
      </text>
    </comment>
  </commentList>
</comments>
</file>

<file path=xl/comments6.xml><?xml version="1.0" encoding="utf-8"?>
<comments xmlns="http://schemas.openxmlformats.org/spreadsheetml/2006/main">
  <authors>
    <author>UM w Trzciance</author>
  </authors>
  <commentList>
    <comment ref="J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4.999
372 
4.627 niewygasaj.
</t>
        </r>
      </text>
    </comment>
    <comment ref="J2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16.261 niewygasaj.
3.639</t>
        </r>
      </text>
    </comment>
  </commentList>
</comments>
</file>

<file path=xl/sharedStrings.xml><?xml version="1.0" encoding="utf-8"?>
<sst xmlns="http://schemas.openxmlformats.org/spreadsheetml/2006/main" count="1080" uniqueCount="402">
  <si>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</si>
  <si>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</si>
  <si>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</si>
  <si>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</si>
  <si>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</si>
  <si>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</si>
  <si>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</si>
  <si>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</si>
  <si>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</si>
  <si>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</si>
  <si>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</si>
  <si>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</si>
  <si>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</si>
  <si>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</si>
  <si>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wpływy z opłat za zarząd, użytkowanie                                              i użytkowanie wieczyste nieruchomości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</si>
  <si>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</si>
  <si>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</si>
  <si>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</si>
  <si>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</si>
  <si>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</si>
  <si>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</si>
  <si>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</si>
  <si>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</si>
  <si>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</si>
  <si>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</si>
  <si>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</si>
  <si>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</si>
  <si>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</si>
  <si>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</si>
  <si>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</si>
  <si>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</si>
  <si>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</si>
  <si>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</si>
  <si>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</si>
  <si>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</si>
  <si>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</si>
  <si>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</si>
  <si>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</si>
  <si>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</si>
  <si>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</si>
  <si>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</si>
  <si>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</si>
  <si>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</si>
  <si>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</si>
  <si>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</si>
  <si>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</si>
  <si>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</si>
  <si>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</si>
  <si>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</si>
  <si>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</si>
  <si>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</si>
  <si>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</si>
  <si>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</si>
  <si>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</si>
  <si>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</si>
  <si>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</si>
  <si>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</si>
  <si>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</si>
  <si>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</si>
  <si>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</si>
  <si>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</si>
  <si>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</si>
  <si>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</si>
  <si>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</si>
  <si>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</si>
  <si>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</si>
  <si>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</si>
  <si>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</si>
  <si>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</si>
  <si>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</si>
  <si>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</si>
  <si>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</si>
  <si>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</si>
  <si>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</si>
  <si>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</si>
  <si>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</si>
  <si>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</si>
  <si>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</si>
  <si>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</si>
  <si>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</si>
  <si>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</si>
  <si>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</si>
  <si>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</si>
  <si>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</si>
  <si>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</si>
  <si>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</si>
  <si>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</si>
  <si>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</si>
  <si>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</si>
  <si>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</si>
  <si>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</si>
  <si>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</si>
  <si>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</si>
  <si>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</si>
  <si>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</si>
  <si>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</si>
  <si>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</si>
  <si>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</si>
  <si>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</si>
  <si>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</si>
  <si>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</si>
  <si>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</si>
  <si>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</si>
  <si>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</si>
  <si>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</si>
  <si>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</si>
  <si>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</si>
  <si>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</si>
  <si>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</si>
  <si>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</si>
  <si>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</si>
  <si>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</si>
  <si>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</si>
  <si>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</si>
  <si>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</si>
  <si>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</si>
  <si>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</si>
  <si>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</si>
  <si>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</si>
  <si>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</si>
  <si>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</si>
  <si>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</si>
  <si>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</si>
  <si>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</si>
  <si>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</si>
  <si>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</si>
  <si>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</si>
  <si>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</si>
  <si>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</si>
  <si>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</si>
  <si>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</si>
  <si>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</si>
  <si>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</si>
  <si>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</si>
  <si>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</si>
  <si>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</si>
  <si>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</si>
  <si>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</si>
  <si>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</si>
  <si>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</si>
  <si>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</si>
  <si>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</si>
  <si>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</si>
  <si>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</si>
  <si>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</si>
  <si>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</si>
  <si>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</si>
  <si>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</si>
  <si>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</si>
  <si>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</si>
  <si>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</si>
  <si>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</si>
  <si>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</si>
  <si>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</si>
  <si>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</si>
  <si>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</si>
  <si>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</si>
  <si>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</si>
  <si>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</si>
  <si>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</si>
  <si>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</si>
  <si>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</si>
  <si>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</si>
  <si>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</si>
  <si>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zasiłki i pomoc w naturze oraz składki na ubezpieczenia społeczne    </t>
  </si>
  <si>
    <t xml:space="preserve">plan </t>
  </si>
  <si>
    <t xml:space="preserve">Bezpieczeństwo publiczne                                                i ochrona przeciwpożarowa </t>
  </si>
  <si>
    <t>wykup gruntów</t>
  </si>
  <si>
    <t>zakup sprzętu komputerowego i oprogramowania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</si>
  <si>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</si>
  <si>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</si>
  <si>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</si>
  <si>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</si>
  <si>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</si>
  <si>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</si>
  <si>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</si>
  <si>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</si>
  <si>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</si>
  <si>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</si>
  <si>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</si>
  <si>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do Uchwały Nr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</si>
  <si>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</si>
  <si>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</si>
  <si>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</si>
  <si>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</si>
  <si>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</si>
  <si>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</si>
  <si>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</si>
  <si>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pomoc materialna dla uczniów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</si>
  <si>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</si>
  <si>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</si>
  <si>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</si>
  <si>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</si>
  <si>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</si>
  <si>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</si>
  <si>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</si>
  <si>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</si>
  <si>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</si>
  <si>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</si>
  <si>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</si>
  <si>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</si>
  <si>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</si>
  <si>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</si>
  <si>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</si>
  <si>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</si>
  <si>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</si>
  <si>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</si>
  <si>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</si>
  <si>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</si>
  <si>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</si>
  <si>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</si>
  <si>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</si>
  <si>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</si>
  <si>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</si>
  <si>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</si>
  <si>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</si>
  <si>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</si>
  <si>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</si>
  <si>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</si>
  <si>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koszty postępowania sądowego i prokuratorskiego</t>
  </si>
  <si>
    <t>0690</t>
  </si>
  <si>
    <t xml:space="preserve">Oświetlenie w Łomnicy 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</si>
  <si>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</si>
  <si>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</si>
  <si>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</si>
  <si>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</si>
  <si>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</si>
  <si>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</si>
  <si>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>szpitale ogólne</t>
  </si>
  <si>
    <t xml:space="preserve">Pomoc społeczna </t>
  </si>
  <si>
    <t>Pomoc społeczna</t>
  </si>
  <si>
    <t>wydatki na pomoc finansową udzialaną między jednostkami samorządu terytorialnego na dofinansowanie własnych zadań inwestycyjnych i zakupów inwestycyjnych</t>
  </si>
  <si>
    <t>pomoc dla powiatu czarnkowsko - trzcianeckiego na zakup sprzętu szpitalnego</t>
  </si>
  <si>
    <t>Załącznik Nr 1</t>
  </si>
  <si>
    <t>z dnia</t>
  </si>
  <si>
    <t>Załącznik Nr 2</t>
  </si>
  <si>
    <t>Załącznik Nr 6</t>
  </si>
  <si>
    <t>Załącznik Nr 9</t>
  </si>
  <si>
    <t>wpływy ze sprzedaży składników majątkowych</t>
  </si>
  <si>
    <t>dotacja podmiotowa z budżetu dla samorządowej instytucji kultury</t>
  </si>
  <si>
    <t xml:space="preserve"> wydatki osobowe niezaliczone do wynagrodzeń</t>
  </si>
  <si>
    <t>stypendia dla uczniów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</si>
  <si>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</si>
  <si>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</si>
  <si>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</si>
  <si>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</si>
  <si>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</si>
  <si>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 xml:space="preserve">Oświetlenie w Radolinie </t>
  </si>
  <si>
    <t>Oświetlenie w Stobnie</t>
  </si>
  <si>
    <t>wynagrodzenia bezosobowe</t>
  </si>
  <si>
    <t>zakup elementów do monitorowania miasta</t>
  </si>
  <si>
    <t>0830</t>
  </si>
  <si>
    <t>wpływy z usług</t>
  </si>
  <si>
    <t>wynagrodzenie bezosobowe</t>
  </si>
  <si>
    <t>budowa kanalizacji sanitarnej i deszczowej oraz rozbudowa oczyszczalni ścieków w Gminie Trzcianka</t>
  </si>
  <si>
    <t>0870</t>
  </si>
  <si>
    <t>zwiększenia</t>
  </si>
  <si>
    <t>zmniejszenia</t>
  </si>
  <si>
    <t>instytucje kultury fizycznej</t>
  </si>
  <si>
    <t>wynagordzenia bezosobowe</t>
  </si>
  <si>
    <t xml:space="preserve">zmniejszenia </t>
  </si>
  <si>
    <t>zakup usług zdrowotnych</t>
  </si>
  <si>
    <t>rezerwy na inwestycje i zakupy inwestycyjne</t>
  </si>
  <si>
    <t>Oświetlenie w Biernatowie</t>
  </si>
  <si>
    <t>budowa budynku mieszkalnego przy 
ul. Chopina w Trzciance</t>
  </si>
  <si>
    <t>do Uchwały Nr XXXIII/233/05</t>
  </si>
  <si>
    <t>z dnia 10 lutego 2005 r.</t>
  </si>
  <si>
    <t>Rady Miejskiej Trzcianki z dnia 10.02.2005 r.</t>
  </si>
  <si>
    <t>wydatki na zakup i objęcie akcji oraz wniesienia wkładów do spółek prawa handlowego</t>
  </si>
  <si>
    <t>rezerwa na inwestycje realizowane wspólnie z Wojewódzkim Zarządem Dróg</t>
  </si>
  <si>
    <t>plan po 
zmianach</t>
  </si>
  <si>
    <t>wniesienie wkładu pieniężnego do TTBS Sp. z o.o.</t>
  </si>
  <si>
    <t>budowa chodnika w Siedlisku</t>
  </si>
  <si>
    <t>domy i ośrodki kultyry, świetlice i kluby</t>
  </si>
  <si>
    <t>dotacja przedmiotowa z budżetu dla jednostek nie zaliczanych do sektora finansów publicznych</t>
  </si>
  <si>
    <t>kary i odszkodowania wypłacane na rzecz osób fizycznych</t>
  </si>
  <si>
    <t>różne jednostki obsługi gospodarki mieszkaniowej</t>
  </si>
  <si>
    <t>Załącznik Nr 1 do Uchwały Nr XXXIII/233/05</t>
  </si>
  <si>
    <t>plan po zmianach</t>
  </si>
  <si>
    <t>dotacje celowe otrzymane 
z powiatu na zadania bieżące realizowane na podstawie porozumień  między jednostkami samorządu terytorialnego</t>
  </si>
  <si>
    <t>dotacje celowe otrzymane 
z budżetu państwa na realizację zadań bieżących z zakresu administracji rządowej oraz innych zadań zleconych gminie (związkom gmin) ustawami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</si>
  <si>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</si>
  <si>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</si>
  <si>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</si>
  <si>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budowa wodociągu przy jeziorze Okunie</t>
  </si>
  <si>
    <t>Załącznik Nr 1do Uchwały Nr XXXV/248/05</t>
  </si>
  <si>
    <t>Rady Miejskiej Trzcianki z dnia 18.03.02005 r. zmieniający</t>
  </si>
  <si>
    <t>Rady Miejskiej Trzcianki z dnia 18.03.02005 r.</t>
  </si>
  <si>
    <t>Burmistrza Trzcianki z dnia 30.03.02005 r. zmieniający</t>
  </si>
  <si>
    <t xml:space="preserve">pozostała działalność </t>
  </si>
  <si>
    <t>dotacje celowe otrzymane 
z budżetu państwa na realizację zadań bieżących z zakresu administracji rządowej oraz innych zadań zleconych gminie(zwiazkom gmin) ustawami</t>
  </si>
  <si>
    <t>domy i ośrodki kultury, świetlice
i kluby</t>
  </si>
  <si>
    <t>Załącznik Nr 1do Zarządzenia Nr 25/05</t>
  </si>
  <si>
    <t>Rady Miejskiej Trzcianki z dnia 28.04.2005 r. zmieniający</t>
  </si>
  <si>
    <t>Załącznik Nr 1 do Zarządzenia Nr 25/05</t>
  </si>
  <si>
    <t xml:space="preserve">Burmistrza Trzcianki z dnia 30.03.2005 r. </t>
  </si>
  <si>
    <t>Pozostałe zadania w zakresie polityki społecznej</t>
  </si>
  <si>
    <t>Załącznik Nr 1 do Uchwały Nr XXXVII/255/05</t>
  </si>
  <si>
    <t xml:space="preserve">Rady Miejskiej Trzcianki z dnia 28.04.2005 r. </t>
  </si>
  <si>
    <t>Załącznik Nr 1 do ZarządzeniaNr 41/05</t>
  </si>
  <si>
    <t>Burmistrza Trzcianki z dnia 10.05.2005 r. zmieniający</t>
  </si>
  <si>
    <t>drogi publiczne wojewódzkie</t>
  </si>
  <si>
    <t>wydatki na pomoc finansową udzielaną między jednostkami samorządu terytorialnego na dofinansowanie własnych zadań inwestycyjnych i zakupów inwestycyjnych</t>
  </si>
  <si>
    <t>oddziały przedszkolne w szkołach podstawowych</t>
  </si>
  <si>
    <t>wydatki na pomoc finansową udzielaną między jednostkami samorządu terytorialnego na dofinansowanie własnych zadań bieżących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</si>
  <si>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</si>
  <si>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</si>
  <si>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</si>
  <si>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odsetki od nieterminowych wpłat 
z tytułu pozostałych podatków i opłat</t>
  </si>
  <si>
    <t xml:space="preserve">zasiłki i pomoc w naturze oraz składki na ubezpieczenia emerytalne i rentowe  </t>
  </si>
  <si>
    <t>budowa remizy w Niekursku</t>
  </si>
  <si>
    <t>przebudowa drogi w Siedlisku</t>
  </si>
  <si>
    <t>Załącznik Nr 1 do Uchwały Nr XXXIX/263/05</t>
  </si>
  <si>
    <t>Rady Miejskiej Trzcianki z dnia 2.06.2005</t>
  </si>
  <si>
    <t>odsetki</t>
  </si>
  <si>
    <t>inne formy pomocy dla uczniów</t>
  </si>
  <si>
    <t>Pozostała działalność</t>
  </si>
  <si>
    <t>Burmistrza Trzcianki z dnia 24.06.2005 zmieniający</t>
  </si>
  <si>
    <t>Załącznik Nr 1 do Zarządzenia Nr 61/05</t>
  </si>
  <si>
    <t>zakup usług dostepu do sieci Internet</t>
  </si>
  <si>
    <t xml:space="preserve"> </t>
  </si>
  <si>
    <t>Wybory do Sejmu i Senatu</t>
  </si>
  <si>
    <t>Rady Miejskiej Trzcianki z dnia 07.07.2005 r.</t>
  </si>
  <si>
    <t>0760</t>
  </si>
  <si>
    <t>wpływy z tytułu przekształcenia prawa użytkowania wieczystego przysługującego osobom fizycznym w prawo własności</t>
  </si>
  <si>
    <t>Załącznik Nr 1 do Uchwały Nr XL/272/05</t>
  </si>
  <si>
    <t>Pomoc Społeczna</t>
  </si>
  <si>
    <t>zakup programu komputerowego EZAR</t>
  </si>
  <si>
    <t>wpływy do budżetu ze środków specjalnych</t>
  </si>
  <si>
    <t>Załącznik Nr 1 do UchwałyNr XLII/282/05</t>
  </si>
  <si>
    <t>Rady Miejskiej Trzcianki z dnia 07.09.2005r.zmieniający</t>
  </si>
  <si>
    <t>Wybory Prezydenta RP</t>
  </si>
  <si>
    <t>Załącznik Nr 1 do Uchwały Nr XLII/282/05</t>
  </si>
  <si>
    <t>Burmistrza Trzcianki z dnia 23.09.2005</t>
  </si>
  <si>
    <t>kary i odzskodowania wypłacane na rzecz osób fizycznych</t>
  </si>
  <si>
    <t>Rady Miejskiej Trzcianki z dnia 07.09.2005 r.</t>
  </si>
  <si>
    <t>Załącznik Nr 1 do Zarzadzenia Nr 109/05</t>
  </si>
  <si>
    <t xml:space="preserve">                   </t>
  </si>
  <si>
    <t>Burmistrza  Trzcianki z dnia 23.09.2005 r.</t>
  </si>
  <si>
    <t>Burmistrza Trzcianki z dnia 05.10.2005 zmieniający</t>
  </si>
  <si>
    <t>Załącznik Nr 1 do Zarządzenia Nr 113/05</t>
  </si>
  <si>
    <t>Załącznik Nr 1 do Zarządzenia Nr 109/05</t>
  </si>
  <si>
    <t>0400</t>
  </si>
  <si>
    <t>wpływy z opłaty produktowej</t>
  </si>
  <si>
    <t>Rady Miejskiej Trzcianki z dnia 21.10.2005 zmieniający</t>
  </si>
  <si>
    <t>Burmistrza Trzcianki z dnia 05.10.2005 r.</t>
  </si>
  <si>
    <t>drogi publiczne powiatowe</t>
  </si>
  <si>
    <t>wydatki osobowe niezaliczone do wynagrodzeń</t>
  </si>
  <si>
    <t>dotacje celowe otrzymane 
z budżetu państwa na realizację zadań bieżących z zakresu administracji rządowej oraz innych zadań zleconych gminie (zwiazkom gmin) ustawami</t>
  </si>
  <si>
    <t>wydatki na pomoc finansową udzialaną między jednostkami samorządu terytorialnego na dofinansowanie własnych zadań bieżących</t>
  </si>
  <si>
    <t>modernizacja instalacji grzewczej                             w sali wiejskiej w Łomnicy</t>
  </si>
  <si>
    <t>Oświetlenie w Straduniu</t>
  </si>
  <si>
    <t>dotacje celowe otrzymane 
z powiatu na zadania bieżące realizowane na podstawie porozumień między jednostkami samorządu terytorialnego</t>
  </si>
  <si>
    <t>Załącznik Nr 1 do Uchwały Nr XLIV/291/05</t>
  </si>
  <si>
    <t>odbudowa nawierzchni ulicy Gorzowskiej</t>
  </si>
  <si>
    <t>Rady Miejskiej Trzcianki z dnia 01.12.2005 zmieniający</t>
  </si>
  <si>
    <t>Rady Miejskiej Trzcianki z dnia 21.10.2005</t>
  </si>
  <si>
    <t>dotacje celowe przekazane z budżetu państwa na zadania bieżące realizowane przez gminę na podstawie porozumień z organami administracji rządowej</t>
  </si>
  <si>
    <t>wydatki na zakup i objęcie akcji oraz wniesienie wkładów do spółek prawa handlowego</t>
  </si>
  <si>
    <t>zwiększenie udziałów w ZIK</t>
  </si>
  <si>
    <t>Załącznik Nr 1 do Uchwały Nr XLV/300/05</t>
  </si>
  <si>
    <t xml:space="preserve">Rady Miejskiej Trzcianki z dnia 01.12.2005 </t>
  </si>
  <si>
    <t>Rady Miejskiej Trzcianki z dnia 29.12.2005 zmieniający</t>
  </si>
  <si>
    <t>80195.2030</t>
  </si>
  <si>
    <t>subwencja</t>
  </si>
  <si>
    <t>PFRON</t>
  </si>
  <si>
    <t>świadczenia rodzinne, zaliczka alimentacyjna oraz składki na ubezpieczenia emerytalne i rentowe z ubezpieczenia społecznego</t>
  </si>
  <si>
    <t>zakup sprzętu komputerowego i oprogramowania(PFRON)</t>
  </si>
  <si>
    <t>urzędy gmin ( miast i miast na prawach powiatu)</t>
  </si>
  <si>
    <t>dotacje otrzymane z funduszy celowych na finansowanie lub dofinansowanie kosztów realizacji inwestycji i zakupów inwestycyjnych jednostek sektora finansów publicznych</t>
  </si>
  <si>
    <t>domy pomocy społecznej</t>
  </si>
  <si>
    <t>Załącznik Nr 1 do Uchwały Nr XLVI/315/05</t>
  </si>
  <si>
    <t>plan początkowy</t>
  </si>
  <si>
    <t xml:space="preserve">Wydatki na realizację zadań określonych
w programie profilaktyki i rozwiązywania problemów alkoholowych </t>
  </si>
  <si>
    <t>realizacja</t>
  </si>
  <si>
    <t>w zł</t>
  </si>
  <si>
    <t>w %</t>
  </si>
  <si>
    <t>wpływy do wyjaśnienia</t>
  </si>
  <si>
    <t>do Sprawozdania</t>
  </si>
  <si>
    <t>z wykonania budżetu</t>
  </si>
  <si>
    <t>Gminy Trzcianka za 2005 rok</t>
  </si>
  <si>
    <t>środki na dofinansowanie własnych inwestycji gmin (związków gmin) powiatów (związków powiatów), samorządów województw, pozyskane 
z innych źródeł</t>
  </si>
  <si>
    <t>odsetki z tytułu nieterminowych wpłat 
z tytułu podatków i opłat</t>
  </si>
  <si>
    <t>środki na dofinansowanie własnych zadań bieżących gmin (związków gmin), powiatów (związków powiatów), samorządów województw, pozyskane
z innych źródeł</t>
  </si>
  <si>
    <t>świadczenia rodzinne, zaliczka alimentacyjna oraz składki na ubezpieczenia emerytalne i rentowe 
z ubezpieczenia społecznego</t>
  </si>
  <si>
    <t>środki na dofinansowanie własnych inwestycji gmin (związków gmin) powiatów (związków powiatów), samorządów województw, pozyskane
 z innych źródeł</t>
  </si>
  <si>
    <t>wpływy i wydatki związane 
z gromadzeniem środków z opłat produktowych</t>
  </si>
  <si>
    <t>zadania w zakresie kultury fizycznej 
i sportu</t>
  </si>
  <si>
    <t>Wydatki 2005 - wykonanie za 2005 rok</t>
  </si>
  <si>
    <t>Dochody 2005 - wykonanie za 2005 rok</t>
  </si>
  <si>
    <t>wpłaty gmin na rzecz izb rolniczych 
w wysokości 2% uzyskanych wpływów z podatku rolnego</t>
  </si>
  <si>
    <t>świadczenia rodzinne oraz skłądki na ubezpieczenia emerytalne i rentowe 
z ubezpieczenia społecznego</t>
  </si>
  <si>
    <t xml:space="preserve">Bezpieczeństwo publiczne 
i ochrona przeciwpożarowa </t>
  </si>
  <si>
    <t>składki na ubezpieczenie zdrowotne opłacane za osoby pobierające niektóre świadczenia
z pomocy społecznej oraz niektóre świadczenia rodzinne</t>
  </si>
  <si>
    <t>dotacje celowe przekazane
z budżetu państwa na zadania bieżące realizowane przez gminę na podstawie porozumień z organami administracji rządowej</t>
  </si>
  <si>
    <t xml:space="preserve">Dotacje 2005 - otrzymywane do budżetu - wykonanie za 2005 rok                               </t>
  </si>
  <si>
    <t>Załącznik Nr 3</t>
  </si>
  <si>
    <t>Wydatki 2005 związane z realizacją zadań
z zakresu administracji rządowej i innych zadań zleconych ustawami - wykonanie za 2005 rok</t>
  </si>
  <si>
    <t xml:space="preserve">Wydatki majątkowe 2005 - wykonanie za 2005 rok
</t>
  </si>
  <si>
    <t>Załącznik Nr 4</t>
  </si>
  <si>
    <t>Dochody 2005 z tytułu opłat za wydawanie zezwoleń na sprzedaż napojów alkoholowych oraz wydatki na realizację zadań określonych w programie profilaktyki i rozwiązywania problemów alkoholowych - wykonanie za 2005 rok</t>
  </si>
  <si>
    <t xml:space="preserve">Dochody z tytułu opłat za wydawanie zezwoleń na sprzedaż napojów alkoholowych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</si>
</sst>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 quotePrefix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4" fontId="2" fillId="0" borderId="0" xfId="0" applyNumberFormat="1" applyFont="1" applyAlignment="1">
      <alignment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1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4" fontId="7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quotePrefix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64" fontId="3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2" borderId="2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left" vertical="center" wrapText="1" indent="1"/>
    </xf>
    <xf numFmtId="0" fontId="1" fillId="0" borderId="6" xfId="0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7" fillId="0" borderId="3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2" xfId="0" applyFont="1" applyFill="1" applyBorder="1" applyAlignment="1" quotePrefix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4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8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/>
    </xf>
    <xf numFmtId="4" fontId="7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4" fontId="2" fillId="0" borderId="6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0" fontId="0" fillId="0" borderId="0" xfId="0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8" xfId="0" applyNumberForma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 indent="1"/>
    </xf>
    <xf numFmtId="164" fontId="2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169" fontId="0" fillId="0" borderId="0" xfId="0" applyNumberFormat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vertical="center"/>
    </xf>
    <xf numFmtId="169" fontId="7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6"/>
  <sheetViews>
    <sheetView workbookViewId="0" topLeftCell="A1">
      <selection activeCell="AR6" sqref="AR6"/>
    </sheetView>
  </sheetViews>
  <sheetFormatPr defaultColWidth="9.00390625" defaultRowHeight="12.75"/>
  <cols>
    <col min="1" max="1" width="5.25390625" style="6" customWidth="1"/>
    <col min="2" max="2" width="7.625" style="6" customWidth="1"/>
    <col min="3" max="3" width="5.25390625" style="6" customWidth="1"/>
    <col min="4" max="4" width="31.00390625" style="6" customWidth="1"/>
    <col min="5" max="5" width="12.25390625" style="29" hidden="1" customWidth="1"/>
    <col min="6" max="6" width="11.00390625" style="0" hidden="1" customWidth="1"/>
    <col min="7" max="7" width="17.375" style="0" hidden="1" customWidth="1"/>
    <col min="8" max="8" width="12.25390625" style="0" bestFit="1" customWidth="1"/>
    <col min="9" max="9" width="36.375" style="57" hidden="1" customWidth="1"/>
    <col min="10" max="10" width="11.625" style="57" hidden="1" customWidth="1"/>
    <col min="11" max="11" width="12.25390625" style="0" hidden="1" customWidth="1"/>
    <col min="12" max="12" width="34.00390625" style="57" hidden="1" customWidth="1"/>
    <col min="13" max="13" width="11.625" style="57" hidden="1" customWidth="1"/>
    <col min="14" max="14" width="12.25390625" style="0" hidden="1" customWidth="1"/>
    <col min="15" max="15" width="35.75390625" style="57" hidden="1" customWidth="1"/>
    <col min="16" max="16" width="11.625" style="57" hidden="1" customWidth="1"/>
    <col min="17" max="17" width="12.25390625" style="0" hidden="1" customWidth="1"/>
    <col min="18" max="18" width="33.125" style="57" hidden="1" customWidth="1"/>
    <col min="19" max="19" width="11.625" style="57" hidden="1" customWidth="1"/>
    <col min="20" max="20" width="12.25390625" style="0" hidden="1" customWidth="1"/>
    <col min="21" max="21" width="31.875" style="57" hidden="1" customWidth="1"/>
    <col min="22" max="22" width="11.625" style="57" hidden="1" customWidth="1"/>
    <col min="23" max="23" width="12.25390625" style="0" hidden="1" customWidth="1"/>
    <col min="24" max="24" width="34.875" style="57" hidden="1" customWidth="1"/>
    <col min="25" max="25" width="11.625" style="57" hidden="1" customWidth="1"/>
    <col min="26" max="26" width="12.25390625" style="0" hidden="1" customWidth="1"/>
    <col min="27" max="27" width="28.00390625" style="57" hidden="1" customWidth="1"/>
    <col min="28" max="28" width="11.625" style="57" hidden="1" customWidth="1"/>
    <col min="29" max="29" width="12.25390625" style="0" hidden="1" customWidth="1"/>
    <col min="30" max="30" width="31.875" style="57" hidden="1" customWidth="1"/>
    <col min="31" max="31" width="11.625" style="57" hidden="1" customWidth="1"/>
    <col min="32" max="32" width="12.25390625" style="0" hidden="1" customWidth="1"/>
    <col min="33" max="33" width="34.375" style="57" hidden="1" customWidth="1"/>
    <col min="34" max="34" width="11.625" style="57" hidden="1" customWidth="1"/>
    <col min="35" max="35" width="12.25390625" style="0" hidden="1" customWidth="1"/>
    <col min="36" max="36" width="34.375" style="57" hidden="1" customWidth="1"/>
    <col min="37" max="37" width="11.625" style="57" hidden="1" customWidth="1"/>
    <col min="38" max="38" width="13.375" style="0" hidden="1" customWidth="1"/>
    <col min="39" max="39" width="34.375" style="57" hidden="1" customWidth="1"/>
    <col min="40" max="40" width="11.625" style="57" hidden="1" customWidth="1"/>
    <col min="41" max="41" width="13.375" style="0" customWidth="1"/>
    <col min="42" max="42" width="13.375" style="179" customWidth="1"/>
    <col min="43" max="43" width="7.125" style="209" customWidth="1"/>
  </cols>
  <sheetData>
    <row r="1" spans="1:42" ht="12.75">
      <c r="A1" s="64"/>
      <c r="B1" s="64"/>
      <c r="C1" s="64"/>
      <c r="D1" s="64"/>
      <c r="E1" s="65"/>
      <c r="G1" s="65" t="s">
        <v>233</v>
      </c>
      <c r="H1" s="65"/>
      <c r="I1" s="138" t="s">
        <v>285</v>
      </c>
      <c r="J1" s="138"/>
      <c r="K1" s="138"/>
      <c r="L1" s="138" t="s">
        <v>292</v>
      </c>
      <c r="M1" s="138"/>
      <c r="N1" s="138"/>
      <c r="O1" s="138" t="s">
        <v>297</v>
      </c>
      <c r="P1" s="138"/>
      <c r="Q1" s="138"/>
      <c r="R1" s="138" t="s">
        <v>299</v>
      </c>
      <c r="S1" s="138"/>
      <c r="T1" s="138"/>
      <c r="U1" s="138" t="s">
        <v>318</v>
      </c>
      <c r="V1" s="138"/>
      <c r="W1" s="138"/>
      <c r="X1" s="138" t="s">
        <v>329</v>
      </c>
      <c r="Y1" s="138"/>
      <c r="Z1" s="138"/>
      <c r="AA1" s="138" t="s">
        <v>336</v>
      </c>
      <c r="AB1" s="138"/>
      <c r="AC1" s="138"/>
      <c r="AD1" s="138" t="s">
        <v>340</v>
      </c>
      <c r="AE1" s="138"/>
      <c r="AF1" s="138"/>
      <c r="AG1" s="138" t="s">
        <v>353</v>
      </c>
      <c r="AH1" s="138"/>
      <c r="AI1" s="138"/>
      <c r="AJ1" s="138" t="s">
        <v>360</v>
      </c>
      <c r="AK1" s="138"/>
      <c r="AL1" s="138"/>
      <c r="AM1" s="138" t="s">
        <v>371</v>
      </c>
      <c r="AN1" s="138"/>
      <c r="AO1" s="180"/>
      <c r="AP1" s="180" t="s">
        <v>233</v>
      </c>
    </row>
    <row r="2" spans="1:42" ht="12.75">
      <c r="A2" s="64"/>
      <c r="B2" s="64"/>
      <c r="C2" s="64"/>
      <c r="D2" s="64"/>
      <c r="E2" s="65"/>
      <c r="G2" s="65" t="s">
        <v>180</v>
      </c>
      <c r="H2" s="65"/>
      <c r="I2" s="138" t="s">
        <v>286</v>
      </c>
      <c r="J2" s="138"/>
      <c r="K2" s="138"/>
      <c r="L2" s="138" t="s">
        <v>288</v>
      </c>
      <c r="M2" s="138"/>
      <c r="N2" s="138"/>
      <c r="O2" s="138" t="s">
        <v>293</v>
      </c>
      <c r="P2" s="138"/>
      <c r="Q2" s="138"/>
      <c r="R2" s="138" t="s">
        <v>300</v>
      </c>
      <c r="S2" s="138"/>
      <c r="T2" s="138"/>
      <c r="U2" s="138" t="s">
        <v>317</v>
      </c>
      <c r="V2" s="138"/>
      <c r="W2" s="138"/>
      <c r="X2" s="138" t="s">
        <v>330</v>
      </c>
      <c r="Y2" s="138"/>
      <c r="Z2" s="138"/>
      <c r="AA2" s="138" t="s">
        <v>333</v>
      </c>
      <c r="AB2" s="138"/>
      <c r="AC2" s="138"/>
      <c r="AD2" s="138" t="s">
        <v>339</v>
      </c>
      <c r="AE2" s="138"/>
      <c r="AF2" s="138"/>
      <c r="AG2" s="138" t="s">
        <v>344</v>
      </c>
      <c r="AH2" s="138"/>
      <c r="AI2" s="138"/>
      <c r="AJ2" s="138" t="s">
        <v>355</v>
      </c>
      <c r="AK2" s="138"/>
      <c r="AL2" s="138"/>
      <c r="AM2" s="138" t="s">
        <v>362</v>
      </c>
      <c r="AN2" s="138"/>
      <c r="AO2" s="180"/>
      <c r="AP2" s="180" t="s">
        <v>378</v>
      </c>
    </row>
    <row r="3" spans="1:42" ht="12.75">
      <c r="A3" s="64"/>
      <c r="B3" s="64"/>
      <c r="C3" s="64"/>
      <c r="D3" s="64"/>
      <c r="E3" s="65"/>
      <c r="G3" s="65" t="s">
        <v>172</v>
      </c>
      <c r="H3" s="65"/>
      <c r="I3" s="138" t="s">
        <v>277</v>
      </c>
      <c r="J3" s="138"/>
      <c r="K3" s="138"/>
      <c r="L3" s="138" t="s">
        <v>285</v>
      </c>
      <c r="M3" s="138"/>
      <c r="N3" s="138"/>
      <c r="O3" s="138" t="s">
        <v>294</v>
      </c>
      <c r="P3" s="138"/>
      <c r="Q3" s="138"/>
      <c r="R3" s="138" t="s">
        <v>297</v>
      </c>
      <c r="S3" s="138"/>
      <c r="T3" s="138"/>
      <c r="U3" s="138" t="s">
        <v>312</v>
      </c>
      <c r="V3" s="138"/>
      <c r="W3" s="138"/>
      <c r="X3" s="138" t="s">
        <v>325</v>
      </c>
      <c r="Y3" s="138"/>
      <c r="Z3" s="138"/>
      <c r="AA3" s="138" t="s">
        <v>332</v>
      </c>
      <c r="AB3" s="138"/>
      <c r="AC3" s="138"/>
      <c r="AD3" s="138" t="s">
        <v>341</v>
      </c>
      <c r="AE3" s="138"/>
      <c r="AF3" s="138"/>
      <c r="AG3" s="138" t="s">
        <v>340</v>
      </c>
      <c r="AH3" s="138"/>
      <c r="AI3" s="138"/>
      <c r="AJ3" s="138" t="s">
        <v>353</v>
      </c>
      <c r="AK3" s="138"/>
      <c r="AL3" s="138"/>
      <c r="AM3" s="138" t="s">
        <v>360</v>
      </c>
      <c r="AN3" s="138"/>
      <c r="AO3" s="180"/>
      <c r="AP3" s="180" t="s">
        <v>379</v>
      </c>
    </row>
    <row r="4" spans="1:42" ht="12.75">
      <c r="A4" s="64"/>
      <c r="B4" s="64"/>
      <c r="C4" s="64"/>
      <c r="D4" s="64"/>
      <c r="E4" s="65"/>
      <c r="G4" s="65" t="s">
        <v>234</v>
      </c>
      <c r="H4" s="65"/>
      <c r="I4" s="138" t="s">
        <v>267</v>
      </c>
      <c r="J4" s="138"/>
      <c r="K4" s="138"/>
      <c r="L4" s="138" t="s">
        <v>287</v>
      </c>
      <c r="M4" s="138"/>
      <c r="N4" s="138"/>
      <c r="O4" s="138" t="s">
        <v>295</v>
      </c>
      <c r="P4" s="138"/>
      <c r="Q4" s="138"/>
      <c r="R4" s="138" t="s">
        <v>298</v>
      </c>
      <c r="S4" s="138"/>
      <c r="T4" s="138"/>
      <c r="U4" s="138" t="s">
        <v>313</v>
      </c>
      <c r="V4" s="138"/>
      <c r="W4" s="138"/>
      <c r="X4" s="138" t="s">
        <v>322</v>
      </c>
      <c r="Y4" s="138"/>
      <c r="Z4" s="138"/>
      <c r="AA4" s="138" t="s">
        <v>335</v>
      </c>
      <c r="AB4" s="138"/>
      <c r="AC4" s="138"/>
      <c r="AD4" s="138" t="s">
        <v>338</v>
      </c>
      <c r="AE4" s="138"/>
      <c r="AF4" s="138"/>
      <c r="AG4" s="138" t="s">
        <v>345</v>
      </c>
      <c r="AH4" s="138"/>
      <c r="AI4" s="138"/>
      <c r="AJ4" s="138" t="s">
        <v>356</v>
      </c>
      <c r="AK4" s="138"/>
      <c r="AL4" s="138"/>
      <c r="AM4" s="138" t="s">
        <v>361</v>
      </c>
      <c r="AN4" s="138"/>
      <c r="AO4" s="180"/>
      <c r="AP4" s="180" t="s">
        <v>380</v>
      </c>
    </row>
    <row r="5" spans="1:42" ht="12.75">
      <c r="A5" s="64"/>
      <c r="B5" s="64"/>
      <c r="C5" s="64"/>
      <c r="D5" s="64" t="s">
        <v>320</v>
      </c>
      <c r="E5" s="65"/>
      <c r="AP5" s="180"/>
    </row>
    <row r="6" spans="1:43" ht="22.5" customHeight="1">
      <c r="A6" s="238" t="s">
        <v>389</v>
      </c>
      <c r="B6" s="238"/>
      <c r="C6" s="238"/>
      <c r="D6" s="238"/>
      <c r="E6" s="176"/>
      <c r="F6" s="190"/>
      <c r="G6" s="190"/>
      <c r="H6" s="190"/>
      <c r="I6" s="191"/>
      <c r="J6" s="191"/>
      <c r="K6" s="190"/>
      <c r="L6" s="191"/>
      <c r="M6" s="191"/>
      <c r="N6" s="190"/>
      <c r="O6" s="191"/>
      <c r="P6" s="191"/>
      <c r="Q6" s="190"/>
      <c r="R6" s="191"/>
      <c r="S6" s="191"/>
      <c r="T6" s="190"/>
      <c r="U6" s="191"/>
      <c r="V6" s="191"/>
      <c r="W6" s="190"/>
      <c r="X6" s="191"/>
      <c r="Y6" s="191"/>
      <c r="Z6" s="190"/>
      <c r="AA6" s="191"/>
      <c r="AB6" s="191"/>
      <c r="AC6" s="190"/>
      <c r="AD6" s="191"/>
      <c r="AE6" s="191"/>
      <c r="AF6" s="190"/>
      <c r="AG6" s="191"/>
      <c r="AH6" s="191"/>
      <c r="AI6" s="190"/>
      <c r="AJ6" s="191"/>
      <c r="AK6" s="191"/>
      <c r="AL6" s="190"/>
      <c r="AM6" s="191"/>
      <c r="AN6" s="191"/>
      <c r="AO6" s="190"/>
      <c r="AP6" s="192"/>
      <c r="AQ6" s="210"/>
    </row>
    <row r="7" spans="1:43" ht="12.75">
      <c r="A7" s="239" t="s">
        <v>0</v>
      </c>
      <c r="B7" s="239" t="s">
        <v>1</v>
      </c>
      <c r="C7" s="239" t="s">
        <v>2</v>
      </c>
      <c r="D7" s="239" t="s">
        <v>3</v>
      </c>
      <c r="E7" s="185"/>
      <c r="F7" s="186"/>
      <c r="G7" s="186"/>
      <c r="H7" s="236" t="s">
        <v>372</v>
      </c>
      <c r="I7" s="187"/>
      <c r="J7" s="187"/>
      <c r="K7" s="186"/>
      <c r="L7" s="187"/>
      <c r="M7" s="187"/>
      <c r="N7" s="186"/>
      <c r="O7" s="187"/>
      <c r="P7" s="187"/>
      <c r="Q7" s="186"/>
      <c r="R7" s="187"/>
      <c r="S7" s="187"/>
      <c r="T7" s="186"/>
      <c r="U7" s="187"/>
      <c r="V7" s="187"/>
      <c r="W7" s="186"/>
      <c r="X7" s="187"/>
      <c r="Y7" s="187"/>
      <c r="Z7" s="186"/>
      <c r="AA7" s="187"/>
      <c r="AB7" s="187"/>
      <c r="AC7" s="186"/>
      <c r="AD7" s="187"/>
      <c r="AE7" s="187"/>
      <c r="AF7" s="186"/>
      <c r="AG7" s="187"/>
      <c r="AH7" s="187"/>
      <c r="AI7" s="186"/>
      <c r="AJ7" s="187"/>
      <c r="AK7" s="187"/>
      <c r="AL7" s="186"/>
      <c r="AM7" s="187"/>
      <c r="AN7" s="187"/>
      <c r="AO7" s="236" t="s">
        <v>270</v>
      </c>
      <c r="AP7" s="237" t="s">
        <v>374</v>
      </c>
      <c r="AQ7" s="237"/>
    </row>
    <row r="8" spans="1:43" s="6" customFormat="1" ht="24.75" customHeight="1">
      <c r="A8" s="239"/>
      <c r="B8" s="239"/>
      <c r="C8" s="239"/>
      <c r="D8" s="239"/>
      <c r="E8" s="7" t="s">
        <v>163</v>
      </c>
      <c r="F8" s="3" t="s">
        <v>256</v>
      </c>
      <c r="G8" s="3" t="s">
        <v>257</v>
      </c>
      <c r="H8" s="236"/>
      <c r="I8" s="7" t="s">
        <v>256</v>
      </c>
      <c r="J8" s="7" t="s">
        <v>257</v>
      </c>
      <c r="K8" s="147" t="s">
        <v>165</v>
      </c>
      <c r="L8" s="7" t="s">
        <v>256</v>
      </c>
      <c r="M8" s="7" t="s">
        <v>257</v>
      </c>
      <c r="N8" s="147" t="s">
        <v>165</v>
      </c>
      <c r="O8" s="7" t="s">
        <v>256</v>
      </c>
      <c r="P8" s="7" t="s">
        <v>257</v>
      </c>
      <c r="Q8" s="147" t="s">
        <v>165</v>
      </c>
      <c r="R8" s="7" t="s">
        <v>256</v>
      </c>
      <c r="S8" s="7" t="s">
        <v>257</v>
      </c>
      <c r="T8" s="147" t="s">
        <v>165</v>
      </c>
      <c r="U8" s="7" t="s">
        <v>256</v>
      </c>
      <c r="V8" s="7" t="s">
        <v>257</v>
      </c>
      <c r="W8" s="147" t="s">
        <v>163</v>
      </c>
      <c r="X8" s="7" t="s">
        <v>256</v>
      </c>
      <c r="Y8" s="7" t="s">
        <v>257</v>
      </c>
      <c r="Z8" s="147" t="s">
        <v>270</v>
      </c>
      <c r="AA8" s="7" t="s">
        <v>256</v>
      </c>
      <c r="AB8" s="7" t="s">
        <v>257</v>
      </c>
      <c r="AC8" s="147" t="s">
        <v>163</v>
      </c>
      <c r="AD8" s="7" t="s">
        <v>256</v>
      </c>
      <c r="AE8" s="7" t="s">
        <v>257</v>
      </c>
      <c r="AF8" s="147" t="s">
        <v>270</v>
      </c>
      <c r="AG8" s="7" t="s">
        <v>256</v>
      </c>
      <c r="AH8" s="7" t="s">
        <v>257</v>
      </c>
      <c r="AI8" s="147" t="s">
        <v>163</v>
      </c>
      <c r="AJ8" s="7" t="s">
        <v>256</v>
      </c>
      <c r="AK8" s="7" t="s">
        <v>257</v>
      </c>
      <c r="AL8" s="147" t="s">
        <v>165</v>
      </c>
      <c r="AM8" s="7" t="s">
        <v>256</v>
      </c>
      <c r="AN8" s="7" t="s">
        <v>257</v>
      </c>
      <c r="AO8" s="236"/>
      <c r="AP8" s="193" t="s">
        <v>375</v>
      </c>
      <c r="AQ8" s="211" t="s">
        <v>376</v>
      </c>
    </row>
    <row r="9" spans="1:43" s="42" customFormat="1" ht="19.5" customHeight="1">
      <c r="A9" s="30" t="s">
        <v>8</v>
      </c>
      <c r="B9" s="33"/>
      <c r="C9" s="11"/>
      <c r="D9" s="31" t="s">
        <v>9</v>
      </c>
      <c r="E9" s="66">
        <f>SUM(E10)</f>
        <v>5500</v>
      </c>
      <c r="F9" s="18">
        <f aca="true" t="shared" si="0" ref="F9:U10">SUM(F10)</f>
        <v>0</v>
      </c>
      <c r="G9" s="18">
        <f t="shared" si="0"/>
        <v>0</v>
      </c>
      <c r="H9" s="18">
        <f t="shared" si="0"/>
        <v>5500</v>
      </c>
      <c r="I9" s="18">
        <f t="shared" si="0"/>
        <v>0</v>
      </c>
      <c r="J9" s="18">
        <f t="shared" si="0"/>
        <v>0</v>
      </c>
      <c r="K9" s="18">
        <f t="shared" si="0"/>
        <v>5500</v>
      </c>
      <c r="L9" s="18">
        <f t="shared" si="0"/>
        <v>0</v>
      </c>
      <c r="M9" s="18">
        <f t="shared" si="0"/>
        <v>0</v>
      </c>
      <c r="N9" s="18">
        <f t="shared" si="0"/>
        <v>5500</v>
      </c>
      <c r="O9" s="18">
        <f t="shared" si="0"/>
        <v>0</v>
      </c>
      <c r="P9" s="18">
        <f t="shared" si="0"/>
        <v>0</v>
      </c>
      <c r="Q9" s="18">
        <f t="shared" si="0"/>
        <v>5500</v>
      </c>
      <c r="R9" s="18">
        <f t="shared" si="0"/>
        <v>0</v>
      </c>
      <c r="S9" s="18">
        <f t="shared" si="0"/>
        <v>0</v>
      </c>
      <c r="T9" s="18">
        <f t="shared" si="0"/>
        <v>5500</v>
      </c>
      <c r="U9" s="18">
        <f t="shared" si="0"/>
        <v>0</v>
      </c>
      <c r="V9" s="18">
        <f aca="true" t="shared" si="1" ref="U9:AJ10">SUM(V10)</f>
        <v>0</v>
      </c>
      <c r="W9" s="18">
        <f t="shared" si="1"/>
        <v>5500</v>
      </c>
      <c r="X9" s="18">
        <f t="shared" si="1"/>
        <v>0</v>
      </c>
      <c r="Y9" s="18">
        <f t="shared" si="1"/>
        <v>0</v>
      </c>
      <c r="Z9" s="18">
        <f t="shared" si="1"/>
        <v>5500</v>
      </c>
      <c r="AA9" s="18">
        <f t="shared" si="1"/>
        <v>0</v>
      </c>
      <c r="AB9" s="18">
        <f t="shared" si="1"/>
        <v>0</v>
      </c>
      <c r="AC9" s="18">
        <f t="shared" si="1"/>
        <v>5500</v>
      </c>
      <c r="AD9" s="18">
        <f t="shared" si="1"/>
        <v>0</v>
      </c>
      <c r="AE9" s="18">
        <f t="shared" si="1"/>
        <v>0</v>
      </c>
      <c r="AF9" s="18">
        <f t="shared" si="1"/>
        <v>5500</v>
      </c>
      <c r="AG9" s="18">
        <f t="shared" si="1"/>
        <v>0</v>
      </c>
      <c r="AH9" s="18">
        <f t="shared" si="1"/>
        <v>0</v>
      </c>
      <c r="AI9" s="18">
        <f t="shared" si="1"/>
        <v>5500</v>
      </c>
      <c r="AJ9" s="18">
        <f t="shared" si="1"/>
        <v>1532</v>
      </c>
      <c r="AK9" s="18">
        <f aca="true" t="shared" si="2" ref="AJ9:AO10">SUM(AK10)</f>
        <v>0</v>
      </c>
      <c r="AL9" s="18">
        <f t="shared" si="2"/>
        <v>7032</v>
      </c>
      <c r="AM9" s="18">
        <f t="shared" si="2"/>
        <v>0</v>
      </c>
      <c r="AN9" s="18">
        <f t="shared" si="2"/>
        <v>0</v>
      </c>
      <c r="AO9" s="18">
        <f t="shared" si="2"/>
        <v>7032</v>
      </c>
      <c r="AP9" s="32">
        <f>SUM(AP10)</f>
        <v>7033</v>
      </c>
      <c r="AQ9" s="208">
        <f>AP9/AO9*100</f>
        <v>100.01422070534699</v>
      </c>
    </row>
    <row r="10" spans="1:43" s="24" customFormat="1" ht="19.5" customHeight="1">
      <c r="A10" s="81"/>
      <c r="B10" s="78" t="s">
        <v>10</v>
      </c>
      <c r="C10" s="86"/>
      <c r="D10" s="83" t="s">
        <v>6</v>
      </c>
      <c r="E10" s="76">
        <f>SUM(E11)</f>
        <v>5500</v>
      </c>
      <c r="F10" s="90">
        <f t="shared" si="0"/>
        <v>0</v>
      </c>
      <c r="G10" s="90">
        <f t="shared" si="0"/>
        <v>0</v>
      </c>
      <c r="H10" s="90">
        <f t="shared" si="0"/>
        <v>5500</v>
      </c>
      <c r="I10" s="90">
        <f t="shared" si="0"/>
        <v>0</v>
      </c>
      <c r="J10" s="90">
        <f t="shared" si="0"/>
        <v>0</v>
      </c>
      <c r="K10" s="90">
        <f t="shared" si="0"/>
        <v>5500</v>
      </c>
      <c r="L10" s="90">
        <f t="shared" si="0"/>
        <v>0</v>
      </c>
      <c r="M10" s="90">
        <f t="shared" si="0"/>
        <v>0</v>
      </c>
      <c r="N10" s="90">
        <f t="shared" si="0"/>
        <v>5500</v>
      </c>
      <c r="O10" s="90">
        <f t="shared" si="0"/>
        <v>0</v>
      </c>
      <c r="P10" s="90">
        <f t="shared" si="0"/>
        <v>0</v>
      </c>
      <c r="Q10" s="90">
        <f t="shared" si="0"/>
        <v>5500</v>
      </c>
      <c r="R10" s="90">
        <f t="shared" si="0"/>
        <v>0</v>
      </c>
      <c r="S10" s="90">
        <f t="shared" si="0"/>
        <v>0</v>
      </c>
      <c r="T10" s="90">
        <f t="shared" si="0"/>
        <v>5500</v>
      </c>
      <c r="U10" s="90">
        <f t="shared" si="1"/>
        <v>0</v>
      </c>
      <c r="V10" s="90">
        <f t="shared" si="1"/>
        <v>0</v>
      </c>
      <c r="W10" s="90">
        <f t="shared" si="1"/>
        <v>5500</v>
      </c>
      <c r="X10" s="90">
        <f t="shared" si="1"/>
        <v>0</v>
      </c>
      <c r="Y10" s="90">
        <f t="shared" si="1"/>
        <v>0</v>
      </c>
      <c r="Z10" s="90">
        <f t="shared" si="1"/>
        <v>5500</v>
      </c>
      <c r="AA10" s="90">
        <f t="shared" si="1"/>
        <v>0</v>
      </c>
      <c r="AB10" s="90">
        <f t="shared" si="1"/>
        <v>0</v>
      </c>
      <c r="AC10" s="90">
        <f t="shared" si="1"/>
        <v>5500</v>
      </c>
      <c r="AD10" s="90">
        <f t="shared" si="1"/>
        <v>0</v>
      </c>
      <c r="AE10" s="90">
        <f t="shared" si="1"/>
        <v>0</v>
      </c>
      <c r="AF10" s="90">
        <f t="shared" si="1"/>
        <v>5500</v>
      </c>
      <c r="AG10" s="90">
        <f t="shared" si="1"/>
        <v>0</v>
      </c>
      <c r="AH10" s="90">
        <f t="shared" si="1"/>
        <v>0</v>
      </c>
      <c r="AI10" s="90">
        <f t="shared" si="1"/>
        <v>5500</v>
      </c>
      <c r="AJ10" s="90">
        <f t="shared" si="2"/>
        <v>1532</v>
      </c>
      <c r="AK10" s="90">
        <f t="shared" si="2"/>
        <v>0</v>
      </c>
      <c r="AL10" s="90">
        <f t="shared" si="2"/>
        <v>7032</v>
      </c>
      <c r="AM10" s="90">
        <f t="shared" si="2"/>
        <v>0</v>
      </c>
      <c r="AN10" s="90">
        <f t="shared" si="2"/>
        <v>0</v>
      </c>
      <c r="AO10" s="90">
        <f t="shared" si="2"/>
        <v>7032</v>
      </c>
      <c r="AP10" s="155">
        <f>SUM(AP11)</f>
        <v>7033</v>
      </c>
      <c r="AQ10" s="207">
        <f>AP10/AO10*100</f>
        <v>100.01422070534699</v>
      </c>
    </row>
    <row r="11" spans="1:43" s="24" customFormat="1" ht="48">
      <c r="A11" s="81"/>
      <c r="B11" s="82"/>
      <c r="C11" s="79" t="s">
        <v>189</v>
      </c>
      <c r="D11" s="83" t="s">
        <v>7</v>
      </c>
      <c r="E11" s="76">
        <v>5500</v>
      </c>
      <c r="F11" s="127"/>
      <c r="G11" s="127"/>
      <c r="H11" s="94">
        <f>SUM(E11+F11-G11)</f>
        <v>5500</v>
      </c>
      <c r="I11" s="94"/>
      <c r="J11" s="94"/>
      <c r="K11" s="94">
        <f>SUM(H11+I11-J11)</f>
        <v>5500</v>
      </c>
      <c r="L11" s="94"/>
      <c r="M11" s="94"/>
      <c r="N11" s="94">
        <f>SUM(K11+L11-M11)</f>
        <v>5500</v>
      </c>
      <c r="O11" s="94"/>
      <c r="P11" s="94"/>
      <c r="Q11" s="94">
        <f>SUM(N11+O11-P11)</f>
        <v>5500</v>
      </c>
      <c r="R11" s="94"/>
      <c r="S11" s="94"/>
      <c r="T11" s="94">
        <f>SUM(Q11+R11-S11)</f>
        <v>5500</v>
      </c>
      <c r="U11" s="94"/>
      <c r="V11" s="94"/>
      <c r="W11" s="94">
        <f>SUM(T11+U11-V11)</f>
        <v>5500</v>
      </c>
      <c r="X11" s="94"/>
      <c r="Y11" s="94"/>
      <c r="Z11" s="94">
        <f>SUM(W11+X11-Y11)</f>
        <v>5500</v>
      </c>
      <c r="AA11" s="94"/>
      <c r="AB11" s="94"/>
      <c r="AC11" s="94">
        <f>SUM(Z11+AA11-AB11)</f>
        <v>5500</v>
      </c>
      <c r="AD11" s="94"/>
      <c r="AE11" s="94"/>
      <c r="AF11" s="94">
        <f>SUM(AC11+AD11-AE11)</f>
        <v>5500</v>
      </c>
      <c r="AG11" s="94"/>
      <c r="AH11" s="94"/>
      <c r="AI11" s="94">
        <f>SUM(AF11+AG11-AH11)</f>
        <v>5500</v>
      </c>
      <c r="AJ11" s="94">
        <v>1532</v>
      </c>
      <c r="AK11" s="94"/>
      <c r="AL11" s="94">
        <f>SUM(AI11+AJ11-AK11)</f>
        <v>7032</v>
      </c>
      <c r="AM11" s="94"/>
      <c r="AN11" s="94"/>
      <c r="AO11" s="94">
        <f>SUM(AL11+AM11-AN11)</f>
        <v>7032</v>
      </c>
      <c r="AP11" s="155">
        <v>7033</v>
      </c>
      <c r="AQ11" s="207">
        <f aca="true" t="shared" si="3" ref="AQ11:AQ74">AP11/AO11*100</f>
        <v>100.01422070534699</v>
      </c>
    </row>
    <row r="12" spans="1:43" s="42" customFormat="1" ht="19.5" customHeight="1">
      <c r="A12" s="114">
        <v>600</v>
      </c>
      <c r="B12" s="36"/>
      <c r="C12" s="37"/>
      <c r="D12" s="38" t="s">
        <v>88</v>
      </c>
      <c r="E12" s="66">
        <f>SUM(E13)</f>
        <v>6300</v>
      </c>
      <c r="F12" s="18">
        <f aca="true" t="shared" si="4" ref="F12:U12">SUM(F13)</f>
        <v>0</v>
      </c>
      <c r="G12" s="18">
        <f t="shared" si="4"/>
        <v>0</v>
      </c>
      <c r="H12" s="18">
        <f t="shared" si="4"/>
        <v>6300</v>
      </c>
      <c r="I12" s="18">
        <f t="shared" si="4"/>
        <v>0</v>
      </c>
      <c r="J12" s="18">
        <f t="shared" si="4"/>
        <v>0</v>
      </c>
      <c r="K12" s="18">
        <f t="shared" si="4"/>
        <v>6300</v>
      </c>
      <c r="L12" s="18">
        <f t="shared" si="4"/>
        <v>0</v>
      </c>
      <c r="M12" s="18">
        <f t="shared" si="4"/>
        <v>0</v>
      </c>
      <c r="N12" s="18">
        <f t="shared" si="4"/>
        <v>6300</v>
      </c>
      <c r="O12" s="18">
        <f t="shared" si="4"/>
        <v>0</v>
      </c>
      <c r="P12" s="18">
        <f t="shared" si="4"/>
        <v>0</v>
      </c>
      <c r="Q12" s="18">
        <f t="shared" si="4"/>
        <v>6300</v>
      </c>
      <c r="R12" s="18">
        <f t="shared" si="4"/>
        <v>0</v>
      </c>
      <c r="S12" s="18">
        <f t="shared" si="4"/>
        <v>0</v>
      </c>
      <c r="T12" s="18">
        <f t="shared" si="4"/>
        <v>6300</v>
      </c>
      <c r="U12" s="18">
        <f t="shared" si="4"/>
        <v>0</v>
      </c>
      <c r="V12" s="18">
        <f>SUM(V13)</f>
        <v>0</v>
      </c>
      <c r="W12" s="18">
        <f>W13</f>
        <v>6300</v>
      </c>
      <c r="X12" s="18">
        <f aca="true" t="shared" si="5" ref="X12:AO12">SUM(X13)</f>
        <v>38623</v>
      </c>
      <c r="Y12" s="18">
        <f t="shared" si="5"/>
        <v>1923</v>
      </c>
      <c r="Z12" s="18">
        <f t="shared" si="5"/>
        <v>43000</v>
      </c>
      <c r="AA12" s="18">
        <f t="shared" si="5"/>
        <v>0</v>
      </c>
      <c r="AB12" s="18">
        <f t="shared" si="5"/>
        <v>0</v>
      </c>
      <c r="AC12" s="18">
        <f t="shared" si="5"/>
        <v>43000</v>
      </c>
      <c r="AD12" s="18">
        <f t="shared" si="5"/>
        <v>0</v>
      </c>
      <c r="AE12" s="18">
        <f t="shared" si="5"/>
        <v>0</v>
      </c>
      <c r="AF12" s="18">
        <f t="shared" si="5"/>
        <v>43000</v>
      </c>
      <c r="AG12" s="18">
        <f t="shared" si="5"/>
        <v>0</v>
      </c>
      <c r="AH12" s="18">
        <f t="shared" si="5"/>
        <v>0</v>
      </c>
      <c r="AI12" s="18">
        <f t="shared" si="5"/>
        <v>43000</v>
      </c>
      <c r="AJ12" s="18">
        <f t="shared" si="5"/>
        <v>15548</v>
      </c>
      <c r="AK12" s="18">
        <f t="shared" si="5"/>
        <v>0</v>
      </c>
      <c r="AL12" s="18">
        <f t="shared" si="5"/>
        <v>58548</v>
      </c>
      <c r="AM12" s="18">
        <f t="shared" si="5"/>
        <v>2100</v>
      </c>
      <c r="AN12" s="18">
        <f t="shared" si="5"/>
        <v>0</v>
      </c>
      <c r="AO12" s="18">
        <f t="shared" si="5"/>
        <v>60648</v>
      </c>
      <c r="AP12" s="32">
        <f>SUM(AP13)</f>
        <v>47372</v>
      </c>
      <c r="AQ12" s="208">
        <f t="shared" si="3"/>
        <v>78.1097480543464</v>
      </c>
    </row>
    <row r="13" spans="1:43" s="24" customFormat="1" ht="19.5" customHeight="1">
      <c r="A13" s="81"/>
      <c r="B13" s="89" t="s">
        <v>89</v>
      </c>
      <c r="C13" s="91"/>
      <c r="D13" s="39" t="s">
        <v>90</v>
      </c>
      <c r="E13" s="76">
        <f>SUM(E14:E15)</f>
        <v>6300</v>
      </c>
      <c r="F13" s="76">
        <f>SUM(F14:F15)</f>
        <v>0</v>
      </c>
      <c r="G13" s="76">
        <f>SUM(G14:G15)</f>
        <v>0</v>
      </c>
      <c r="H13" s="76">
        <f>SUM(H14:H15)</f>
        <v>6300</v>
      </c>
      <c r="I13" s="90">
        <f aca="true" t="shared" si="6" ref="I13:V13">SUM(I15)</f>
        <v>0</v>
      </c>
      <c r="J13" s="90">
        <f t="shared" si="6"/>
        <v>0</v>
      </c>
      <c r="K13" s="90">
        <f t="shared" si="6"/>
        <v>6300</v>
      </c>
      <c r="L13" s="90">
        <f t="shared" si="6"/>
        <v>0</v>
      </c>
      <c r="M13" s="90">
        <f t="shared" si="6"/>
        <v>0</v>
      </c>
      <c r="N13" s="90">
        <f t="shared" si="6"/>
        <v>6300</v>
      </c>
      <c r="O13" s="90">
        <f t="shared" si="6"/>
        <v>0</v>
      </c>
      <c r="P13" s="90">
        <f t="shared" si="6"/>
        <v>0</v>
      </c>
      <c r="Q13" s="90">
        <f t="shared" si="6"/>
        <v>6300</v>
      </c>
      <c r="R13" s="90">
        <f t="shared" si="6"/>
        <v>0</v>
      </c>
      <c r="S13" s="90">
        <f t="shared" si="6"/>
        <v>0</v>
      </c>
      <c r="T13" s="90">
        <f t="shared" si="6"/>
        <v>6300</v>
      </c>
      <c r="U13" s="90">
        <f t="shared" si="6"/>
        <v>0</v>
      </c>
      <c r="V13" s="90">
        <f t="shared" si="6"/>
        <v>0</v>
      </c>
      <c r="W13" s="90">
        <f>W14+W15</f>
        <v>6300</v>
      </c>
      <c r="X13" s="90">
        <f>X14+X15</f>
        <v>38623</v>
      </c>
      <c r="Y13" s="90">
        <f>Y14+Y15</f>
        <v>1923</v>
      </c>
      <c r="Z13" s="90">
        <f>Z14+Z15</f>
        <v>43000</v>
      </c>
      <c r="AA13" s="90">
        <v>0</v>
      </c>
      <c r="AB13" s="90">
        <v>0</v>
      </c>
      <c r="AC13" s="90">
        <f>AC14+AC15</f>
        <v>43000</v>
      </c>
      <c r="AD13" s="90">
        <v>0</v>
      </c>
      <c r="AE13" s="90">
        <v>0</v>
      </c>
      <c r="AF13" s="90">
        <f>AF14+AF15</f>
        <v>43000</v>
      </c>
      <c r="AG13" s="90">
        <v>0</v>
      </c>
      <c r="AH13" s="90">
        <v>0</v>
      </c>
      <c r="AI13" s="90">
        <f aca="true" t="shared" si="7" ref="AI13:AO13">AI14+AI15</f>
        <v>43000</v>
      </c>
      <c r="AJ13" s="90">
        <f t="shared" si="7"/>
        <v>15548</v>
      </c>
      <c r="AK13" s="90">
        <f t="shared" si="7"/>
        <v>0</v>
      </c>
      <c r="AL13" s="90">
        <f t="shared" si="7"/>
        <v>58548</v>
      </c>
      <c r="AM13" s="90">
        <f t="shared" si="7"/>
        <v>2100</v>
      </c>
      <c r="AN13" s="90">
        <f t="shared" si="7"/>
        <v>0</v>
      </c>
      <c r="AO13" s="90">
        <f t="shared" si="7"/>
        <v>60648</v>
      </c>
      <c r="AP13" s="155">
        <f>SUM(AP14:AP15)</f>
        <v>47372</v>
      </c>
      <c r="AQ13" s="207">
        <f t="shared" si="3"/>
        <v>78.1097480543464</v>
      </c>
    </row>
    <row r="14" spans="1:43" s="24" customFormat="1" ht="25.5" customHeight="1">
      <c r="A14" s="81"/>
      <c r="B14" s="73"/>
      <c r="C14" s="91">
        <v>2390</v>
      </c>
      <c r="D14" s="83" t="s">
        <v>328</v>
      </c>
      <c r="E14" s="76">
        <v>0</v>
      </c>
      <c r="F14" s="90"/>
      <c r="G14" s="90"/>
      <c r="H14" s="90">
        <v>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>
        <v>0</v>
      </c>
      <c r="X14" s="90">
        <v>1923</v>
      </c>
      <c r="Y14" s="90"/>
      <c r="Z14" s="90">
        <f>W14+X14-Y14</f>
        <v>1923</v>
      </c>
      <c r="AA14" s="90">
        <v>0</v>
      </c>
      <c r="AB14" s="90"/>
      <c r="AC14" s="90">
        <f>Z14+AA14-AB14</f>
        <v>1923</v>
      </c>
      <c r="AD14" s="90"/>
      <c r="AE14" s="90"/>
      <c r="AF14" s="90">
        <f>AC14+AD14-AE14</f>
        <v>1923</v>
      </c>
      <c r="AG14" s="90"/>
      <c r="AH14" s="90"/>
      <c r="AI14" s="90">
        <f>AF14+AG14-AH14</f>
        <v>1923</v>
      </c>
      <c r="AJ14" s="90"/>
      <c r="AK14" s="90"/>
      <c r="AL14" s="90">
        <f>AI14+AJ14-AK14</f>
        <v>1923</v>
      </c>
      <c r="AM14" s="90"/>
      <c r="AN14" s="90"/>
      <c r="AO14" s="90">
        <f>AL14+AM14-AN14</f>
        <v>1923</v>
      </c>
      <c r="AP14" s="155">
        <v>1923</v>
      </c>
      <c r="AQ14" s="207">
        <f t="shared" si="3"/>
        <v>100</v>
      </c>
    </row>
    <row r="15" spans="1:43" s="24" customFormat="1" ht="19.5" customHeight="1">
      <c r="A15" s="81"/>
      <c r="B15" s="82"/>
      <c r="C15" s="79" t="s">
        <v>220</v>
      </c>
      <c r="D15" s="83" t="s">
        <v>169</v>
      </c>
      <c r="E15" s="76">
        <v>6300</v>
      </c>
      <c r="F15" s="127"/>
      <c r="G15" s="127"/>
      <c r="H15" s="94">
        <f>SUM(E15+F15-G15)</f>
        <v>6300</v>
      </c>
      <c r="I15" s="94"/>
      <c r="J15" s="94"/>
      <c r="K15" s="94">
        <f>SUM(H15+I15-J15)</f>
        <v>6300</v>
      </c>
      <c r="L15" s="94"/>
      <c r="M15" s="94"/>
      <c r="N15" s="94">
        <f>SUM(K15+L15-M15)</f>
        <v>6300</v>
      </c>
      <c r="O15" s="94"/>
      <c r="P15" s="94"/>
      <c r="Q15" s="94">
        <f>SUM(N15+O15-P15)</f>
        <v>6300</v>
      </c>
      <c r="R15" s="94"/>
      <c r="S15" s="94"/>
      <c r="T15" s="94">
        <f>SUM(Q15+R15-S15)</f>
        <v>6300</v>
      </c>
      <c r="U15" s="94"/>
      <c r="V15" s="94"/>
      <c r="W15" s="94">
        <f>SUM(T15+U15-V15)</f>
        <v>6300</v>
      </c>
      <c r="X15" s="94">
        <v>36700</v>
      </c>
      <c r="Y15" s="94">
        <v>1923</v>
      </c>
      <c r="Z15" s="94">
        <f>SUM(W15+X15-Y15)</f>
        <v>41077</v>
      </c>
      <c r="AA15" s="94">
        <v>0</v>
      </c>
      <c r="AB15" s="94">
        <v>0</v>
      </c>
      <c r="AC15" s="94">
        <f>SUM(Z15+AA15-AB15)</f>
        <v>41077</v>
      </c>
      <c r="AD15" s="94"/>
      <c r="AE15" s="94"/>
      <c r="AF15" s="94">
        <f>SUM(AC15+AD15-AE15)</f>
        <v>41077</v>
      </c>
      <c r="AG15" s="94"/>
      <c r="AH15" s="94"/>
      <c r="AI15" s="94">
        <f>SUM(AF15+AG15-AH15)</f>
        <v>41077</v>
      </c>
      <c r="AJ15" s="94">
        <v>15548</v>
      </c>
      <c r="AK15" s="94"/>
      <c r="AL15" s="94">
        <f>SUM(AI15+AJ15-AK15)</f>
        <v>56625</v>
      </c>
      <c r="AM15" s="94">
        <v>2100</v>
      </c>
      <c r="AN15" s="94"/>
      <c r="AO15" s="94">
        <f>SUM(AL15+AM15-AN15)</f>
        <v>58725</v>
      </c>
      <c r="AP15" s="155">
        <v>45449</v>
      </c>
      <c r="AQ15" s="207">
        <f t="shared" si="3"/>
        <v>77.3929331630481</v>
      </c>
    </row>
    <row r="16" spans="1:43" s="42" customFormat="1" ht="21" customHeight="1">
      <c r="A16" s="30" t="s">
        <v>11</v>
      </c>
      <c r="B16" s="3"/>
      <c r="C16" s="20"/>
      <c r="D16" s="31" t="s">
        <v>12</v>
      </c>
      <c r="E16" s="66">
        <f aca="true" t="shared" si="8" ref="E16:AO16">SUM(E17,)</f>
        <v>4255150</v>
      </c>
      <c r="F16" s="18">
        <f t="shared" si="8"/>
        <v>0</v>
      </c>
      <c r="G16" s="18">
        <f t="shared" si="8"/>
        <v>0</v>
      </c>
      <c r="H16" s="18">
        <f t="shared" si="8"/>
        <v>4255150</v>
      </c>
      <c r="I16" s="18">
        <f t="shared" si="8"/>
        <v>0</v>
      </c>
      <c r="J16" s="18">
        <f t="shared" si="8"/>
        <v>952885</v>
      </c>
      <c r="K16" s="18">
        <f t="shared" si="8"/>
        <v>3302265</v>
      </c>
      <c r="L16" s="18">
        <f t="shared" si="8"/>
        <v>0</v>
      </c>
      <c r="M16" s="18">
        <f t="shared" si="8"/>
        <v>0</v>
      </c>
      <c r="N16" s="18">
        <f t="shared" si="8"/>
        <v>3302265</v>
      </c>
      <c r="O16" s="18">
        <f t="shared" si="8"/>
        <v>0</v>
      </c>
      <c r="P16" s="18">
        <f t="shared" si="8"/>
        <v>0</v>
      </c>
      <c r="Q16" s="18">
        <f t="shared" si="8"/>
        <v>3302265</v>
      </c>
      <c r="R16" s="18">
        <f t="shared" si="8"/>
        <v>0</v>
      </c>
      <c r="S16" s="18">
        <f t="shared" si="8"/>
        <v>0</v>
      </c>
      <c r="T16" s="18">
        <f t="shared" si="8"/>
        <v>3302265</v>
      </c>
      <c r="U16" s="18">
        <f t="shared" si="8"/>
        <v>0</v>
      </c>
      <c r="V16" s="18">
        <f t="shared" si="8"/>
        <v>0</v>
      </c>
      <c r="W16" s="18">
        <f t="shared" si="8"/>
        <v>3302265</v>
      </c>
      <c r="X16" s="18">
        <f t="shared" si="8"/>
        <v>12140</v>
      </c>
      <c r="Y16" s="18">
        <f t="shared" si="8"/>
        <v>389713</v>
      </c>
      <c r="Z16" s="18">
        <f t="shared" si="8"/>
        <v>2924692</v>
      </c>
      <c r="AA16" s="18">
        <f t="shared" si="8"/>
        <v>0</v>
      </c>
      <c r="AB16" s="18">
        <f t="shared" si="8"/>
        <v>0</v>
      </c>
      <c r="AC16" s="18">
        <f t="shared" si="8"/>
        <v>2924692</v>
      </c>
      <c r="AD16" s="18">
        <f t="shared" si="8"/>
        <v>0</v>
      </c>
      <c r="AE16" s="18">
        <f t="shared" si="8"/>
        <v>0</v>
      </c>
      <c r="AF16" s="18">
        <f t="shared" si="8"/>
        <v>2924692</v>
      </c>
      <c r="AG16" s="18">
        <f t="shared" si="8"/>
        <v>0</v>
      </c>
      <c r="AH16" s="18">
        <f t="shared" si="8"/>
        <v>0</v>
      </c>
      <c r="AI16" s="18">
        <f t="shared" si="8"/>
        <v>2924692</v>
      </c>
      <c r="AJ16" s="18">
        <f t="shared" si="8"/>
        <v>0</v>
      </c>
      <c r="AK16" s="18">
        <f t="shared" si="8"/>
        <v>419787</v>
      </c>
      <c r="AL16" s="18">
        <f t="shared" si="8"/>
        <v>2504905</v>
      </c>
      <c r="AM16" s="18">
        <f t="shared" si="8"/>
        <v>14300</v>
      </c>
      <c r="AN16" s="18">
        <f t="shared" si="8"/>
        <v>670792</v>
      </c>
      <c r="AO16" s="18">
        <f t="shared" si="8"/>
        <v>1848413</v>
      </c>
      <c r="AP16" s="32">
        <f>SUM(AP17)</f>
        <v>1761126</v>
      </c>
      <c r="AQ16" s="208">
        <f t="shared" si="3"/>
        <v>95.27773284433728</v>
      </c>
    </row>
    <row r="17" spans="1:43" s="24" customFormat="1" ht="21.75" customHeight="1">
      <c r="A17" s="77"/>
      <c r="B17" s="78" t="s">
        <v>13</v>
      </c>
      <c r="C17" s="86"/>
      <c r="D17" s="83" t="s">
        <v>174</v>
      </c>
      <c r="E17" s="76">
        <f aca="true" t="shared" si="9" ref="E17:K17">SUM(E18:E22)</f>
        <v>4255150</v>
      </c>
      <c r="F17" s="90">
        <f t="shared" si="9"/>
        <v>0</v>
      </c>
      <c r="G17" s="90">
        <f t="shared" si="9"/>
        <v>0</v>
      </c>
      <c r="H17" s="90">
        <f t="shared" si="9"/>
        <v>4255150</v>
      </c>
      <c r="I17" s="90">
        <f t="shared" si="9"/>
        <v>0</v>
      </c>
      <c r="J17" s="90">
        <f t="shared" si="9"/>
        <v>952885</v>
      </c>
      <c r="K17" s="90">
        <f t="shared" si="9"/>
        <v>3302265</v>
      </c>
      <c r="L17" s="90">
        <f aca="true" t="shared" si="10" ref="L17:Q17">SUM(L18:L22)</f>
        <v>0</v>
      </c>
      <c r="M17" s="90">
        <f t="shared" si="10"/>
        <v>0</v>
      </c>
      <c r="N17" s="90">
        <f t="shared" si="10"/>
        <v>3302265</v>
      </c>
      <c r="O17" s="90">
        <f t="shared" si="10"/>
        <v>0</v>
      </c>
      <c r="P17" s="90">
        <f t="shared" si="10"/>
        <v>0</v>
      </c>
      <c r="Q17" s="90">
        <f t="shared" si="10"/>
        <v>3302265</v>
      </c>
      <c r="R17" s="90">
        <f aca="true" t="shared" si="11" ref="R17:W17">SUM(R18:R22)</f>
        <v>0</v>
      </c>
      <c r="S17" s="90">
        <f t="shared" si="11"/>
        <v>0</v>
      </c>
      <c r="T17" s="90">
        <f t="shared" si="11"/>
        <v>3302265</v>
      </c>
      <c r="U17" s="90">
        <f t="shared" si="11"/>
        <v>0</v>
      </c>
      <c r="V17" s="90">
        <f t="shared" si="11"/>
        <v>0</v>
      </c>
      <c r="W17" s="90">
        <f t="shared" si="11"/>
        <v>3302265</v>
      </c>
      <c r="X17" s="90">
        <f>SUM(X18:X22)</f>
        <v>12140</v>
      </c>
      <c r="Y17" s="90">
        <f>SUM(Y18:Y22)</f>
        <v>389713</v>
      </c>
      <c r="Z17" s="90">
        <f>SUM(Z18:Z22)</f>
        <v>2924692</v>
      </c>
      <c r="AA17" s="90">
        <f>SUM(AA18:AA22)</f>
        <v>0</v>
      </c>
      <c r="AB17" s="90">
        <v>0</v>
      </c>
      <c r="AC17" s="90">
        <f>SUM(AC18:AC22)</f>
        <v>2924692</v>
      </c>
      <c r="AD17" s="90">
        <f>SUM(AD18:AD22)</f>
        <v>0</v>
      </c>
      <c r="AE17" s="90">
        <v>0</v>
      </c>
      <c r="AF17" s="90">
        <f>SUM(AF18:AF22)</f>
        <v>2924692</v>
      </c>
      <c r="AG17" s="90">
        <f>SUM(AG18:AG22)</f>
        <v>0</v>
      </c>
      <c r="AH17" s="90">
        <v>0</v>
      </c>
      <c r="AI17" s="90">
        <f aca="true" t="shared" si="12" ref="AI17:AO17">SUM(AI18:AI22)</f>
        <v>2924692</v>
      </c>
      <c r="AJ17" s="90">
        <f t="shared" si="12"/>
        <v>0</v>
      </c>
      <c r="AK17" s="90">
        <f t="shared" si="12"/>
        <v>419787</v>
      </c>
      <c r="AL17" s="90">
        <f t="shared" si="12"/>
        <v>2504905</v>
      </c>
      <c r="AM17" s="90">
        <f t="shared" si="12"/>
        <v>14300</v>
      </c>
      <c r="AN17" s="90">
        <f t="shared" si="12"/>
        <v>670792</v>
      </c>
      <c r="AO17" s="90">
        <f t="shared" si="12"/>
        <v>1848413</v>
      </c>
      <c r="AP17" s="155">
        <f>SUM(AP18:AP22)</f>
        <v>1761126</v>
      </c>
      <c r="AQ17" s="207">
        <f t="shared" si="3"/>
        <v>95.27773284433728</v>
      </c>
    </row>
    <row r="18" spans="1:43" s="24" customFormat="1" ht="36">
      <c r="A18" s="77"/>
      <c r="B18" s="55"/>
      <c r="C18" s="85" t="s">
        <v>190</v>
      </c>
      <c r="D18" s="83" t="s">
        <v>14</v>
      </c>
      <c r="E18" s="76">
        <v>160000</v>
      </c>
      <c r="F18" s="127"/>
      <c r="G18" s="127"/>
      <c r="H18" s="94">
        <f>SUM(E18+F18-G18)</f>
        <v>160000</v>
      </c>
      <c r="I18" s="94"/>
      <c r="J18" s="94"/>
      <c r="K18" s="94">
        <f>SUM(H18+I18-J18)</f>
        <v>160000</v>
      </c>
      <c r="L18" s="94"/>
      <c r="M18" s="94"/>
      <c r="N18" s="94">
        <f>SUM(K18+L18-M18)</f>
        <v>160000</v>
      </c>
      <c r="O18" s="94"/>
      <c r="P18" s="94"/>
      <c r="Q18" s="94">
        <f>SUM(N18+O18-P18)</f>
        <v>160000</v>
      </c>
      <c r="R18" s="94"/>
      <c r="S18" s="94"/>
      <c r="T18" s="94">
        <f>SUM(Q18+R18-S18)</f>
        <v>160000</v>
      </c>
      <c r="U18" s="94"/>
      <c r="V18" s="94"/>
      <c r="W18" s="94">
        <f>SUM(T18+U18-V18)</f>
        <v>160000</v>
      </c>
      <c r="X18" s="94"/>
      <c r="Y18" s="94"/>
      <c r="Z18" s="94">
        <f>SUM(W18+X18-Y18)</f>
        <v>160000</v>
      </c>
      <c r="AA18" s="94"/>
      <c r="AB18" s="94"/>
      <c r="AC18" s="94">
        <f>SUM(Z18+AA18-AB18)</f>
        <v>160000</v>
      </c>
      <c r="AD18" s="94"/>
      <c r="AE18" s="94"/>
      <c r="AF18" s="94">
        <f>SUM(AC18+AD18-AE18)</f>
        <v>160000</v>
      </c>
      <c r="AG18" s="94"/>
      <c r="AH18" s="94"/>
      <c r="AI18" s="94">
        <f>SUM(AF18+AG18-AH18)</f>
        <v>160000</v>
      </c>
      <c r="AJ18" s="94"/>
      <c r="AK18" s="94"/>
      <c r="AL18" s="94">
        <f>SUM(AI18+AJ18-AK18)</f>
        <v>160000</v>
      </c>
      <c r="AM18" s="94"/>
      <c r="AN18" s="94"/>
      <c r="AO18" s="94">
        <f>SUM(AL18+AM18-AN18)</f>
        <v>160000</v>
      </c>
      <c r="AP18" s="155">
        <v>150971</v>
      </c>
      <c r="AQ18" s="207">
        <f t="shared" si="3"/>
        <v>94.356875</v>
      </c>
    </row>
    <row r="19" spans="1:43" s="24" customFormat="1" ht="72">
      <c r="A19" s="77"/>
      <c r="B19" s="55"/>
      <c r="C19" s="79" t="s">
        <v>191</v>
      </c>
      <c r="D19" s="83" t="s">
        <v>67</v>
      </c>
      <c r="E19" s="76">
        <v>155900</v>
      </c>
      <c r="F19" s="127"/>
      <c r="G19" s="127"/>
      <c r="H19" s="94">
        <f>SUM(E19+F19-G19)</f>
        <v>155900</v>
      </c>
      <c r="I19" s="94"/>
      <c r="J19" s="94"/>
      <c r="K19" s="94">
        <f>SUM(H19+I19-J19)</f>
        <v>155900</v>
      </c>
      <c r="L19" s="94"/>
      <c r="M19" s="94"/>
      <c r="N19" s="94">
        <f>SUM(K19+L19-M19)</f>
        <v>155900</v>
      </c>
      <c r="O19" s="94"/>
      <c r="P19" s="94"/>
      <c r="Q19" s="94">
        <f>SUM(N19+O19-P19)</f>
        <v>155900</v>
      </c>
      <c r="R19" s="94"/>
      <c r="S19" s="94"/>
      <c r="T19" s="94">
        <f>SUM(Q19+R19-S19)</f>
        <v>155900</v>
      </c>
      <c r="U19" s="94"/>
      <c r="V19" s="94"/>
      <c r="W19" s="94">
        <f>SUM(T19+U19-V19)</f>
        <v>155900</v>
      </c>
      <c r="X19" s="94">
        <v>10000</v>
      </c>
      <c r="Y19" s="94"/>
      <c r="Z19" s="94">
        <f>SUM(W19+X19-Y19)</f>
        <v>165900</v>
      </c>
      <c r="AA19" s="94">
        <v>0</v>
      </c>
      <c r="AB19" s="94"/>
      <c r="AC19" s="94">
        <f>SUM(Z19+AA19-AB19)</f>
        <v>165900</v>
      </c>
      <c r="AD19" s="94"/>
      <c r="AE19" s="94"/>
      <c r="AF19" s="94">
        <f>SUM(AC19+AD19-AE19)</f>
        <v>165900</v>
      </c>
      <c r="AG19" s="94"/>
      <c r="AH19" s="94"/>
      <c r="AI19" s="94">
        <f>SUM(AF19+AG19-AH19)</f>
        <v>165900</v>
      </c>
      <c r="AJ19" s="94"/>
      <c r="AK19" s="94"/>
      <c r="AL19" s="94">
        <f>SUM(AI19+AJ19-AK19)</f>
        <v>165900</v>
      </c>
      <c r="AM19" s="94">
        <v>14100</v>
      </c>
      <c r="AN19" s="94"/>
      <c r="AO19" s="94">
        <f>SUM(AL19+AM19-AN19)</f>
        <v>180000</v>
      </c>
      <c r="AP19" s="155">
        <v>186751</v>
      </c>
      <c r="AQ19" s="207">
        <f t="shared" si="3"/>
        <v>103.75055555555555</v>
      </c>
    </row>
    <row r="20" spans="1:43" s="24" customFormat="1" ht="36">
      <c r="A20" s="77"/>
      <c r="B20" s="55"/>
      <c r="C20" s="79" t="s">
        <v>323</v>
      </c>
      <c r="D20" s="83" t="s">
        <v>324</v>
      </c>
      <c r="E20" s="76">
        <v>0</v>
      </c>
      <c r="F20" s="127"/>
      <c r="G20" s="127"/>
      <c r="H20" s="94">
        <v>0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>
        <v>0</v>
      </c>
      <c r="X20" s="94">
        <v>2140</v>
      </c>
      <c r="Y20" s="94"/>
      <c r="Z20" s="94">
        <f>SUM(W20+X20-Y20)</f>
        <v>2140</v>
      </c>
      <c r="AA20" s="94">
        <v>0</v>
      </c>
      <c r="AB20" s="94"/>
      <c r="AC20" s="94">
        <f>SUM(Z20+AA20-AB20)</f>
        <v>2140</v>
      </c>
      <c r="AD20" s="94"/>
      <c r="AE20" s="94"/>
      <c r="AF20" s="94">
        <f>SUM(AC20+AD20-AE20)</f>
        <v>2140</v>
      </c>
      <c r="AG20" s="94"/>
      <c r="AH20" s="94"/>
      <c r="AI20" s="94">
        <f>SUM(AF20+AG20-AH20)</f>
        <v>2140</v>
      </c>
      <c r="AJ20" s="94"/>
      <c r="AK20" s="94"/>
      <c r="AL20" s="94">
        <f>SUM(AI20+AJ20-AK20)</f>
        <v>2140</v>
      </c>
      <c r="AM20" s="94">
        <v>200</v>
      </c>
      <c r="AN20" s="94"/>
      <c r="AO20" s="94">
        <f>SUM(AL20+AM20-AN20)</f>
        <v>2340</v>
      </c>
      <c r="AP20" s="155">
        <v>2337</v>
      </c>
      <c r="AQ20" s="207">
        <f t="shared" si="3"/>
        <v>99.87179487179488</v>
      </c>
    </row>
    <row r="21" spans="1:43" s="24" customFormat="1" ht="21.75" customHeight="1">
      <c r="A21" s="77"/>
      <c r="B21" s="55"/>
      <c r="C21" s="79" t="s">
        <v>255</v>
      </c>
      <c r="D21" s="83" t="s">
        <v>238</v>
      </c>
      <c r="E21" s="76">
        <f>113400+903460+850815+565380+80000+565380+850815</f>
        <v>3929250</v>
      </c>
      <c r="F21" s="127"/>
      <c r="G21" s="127"/>
      <c r="H21" s="94">
        <f>SUM(E21+F21-G21)</f>
        <v>3929250</v>
      </c>
      <c r="I21" s="94"/>
      <c r="J21" s="94">
        <v>952885</v>
      </c>
      <c r="K21" s="94">
        <f>SUM(H21+I21-J21)</f>
        <v>2976365</v>
      </c>
      <c r="L21" s="94"/>
      <c r="M21" s="94"/>
      <c r="N21" s="94">
        <f>SUM(K21+L21-M21)</f>
        <v>2976365</v>
      </c>
      <c r="O21" s="94"/>
      <c r="P21" s="94"/>
      <c r="Q21" s="94">
        <f>SUM(N21+O21-P21)</f>
        <v>2976365</v>
      </c>
      <c r="R21" s="94"/>
      <c r="S21" s="94"/>
      <c r="T21" s="94">
        <f>SUM(Q21+R21-S21)</f>
        <v>2976365</v>
      </c>
      <c r="U21" s="94"/>
      <c r="V21" s="94"/>
      <c r="W21" s="94">
        <f>SUM(T21+U21-V21)</f>
        <v>2976365</v>
      </c>
      <c r="X21" s="94"/>
      <c r="Y21" s="94">
        <f>2140+387573</f>
        <v>389713</v>
      </c>
      <c r="Z21" s="94">
        <f>SUM(W21+X21-Y21)</f>
        <v>2586652</v>
      </c>
      <c r="AA21" s="94"/>
      <c r="AB21" s="94">
        <v>0</v>
      </c>
      <c r="AC21" s="94">
        <f>SUM(Z21+AA21-AB21)</f>
        <v>2586652</v>
      </c>
      <c r="AD21" s="94"/>
      <c r="AE21" s="94"/>
      <c r="AF21" s="94">
        <f>SUM(AC21+AD21-AE21)</f>
        <v>2586652</v>
      </c>
      <c r="AG21" s="94"/>
      <c r="AH21" s="94"/>
      <c r="AI21" s="94">
        <f>SUM(AF21+AG21-AH21)</f>
        <v>2586652</v>
      </c>
      <c r="AJ21" s="94"/>
      <c r="AK21" s="94">
        <f>411547+8240</f>
        <v>419787</v>
      </c>
      <c r="AL21" s="94">
        <f>SUM(AI21+AJ21-AK21)</f>
        <v>2166865</v>
      </c>
      <c r="AM21" s="94"/>
      <c r="AN21" s="94">
        <f>14300+596122+60370</f>
        <v>670792</v>
      </c>
      <c r="AO21" s="94">
        <f>SUM(AL21+AM21-AN21)</f>
        <v>1496073</v>
      </c>
      <c r="AP21" s="155">
        <v>1404836</v>
      </c>
      <c r="AQ21" s="207">
        <f t="shared" si="3"/>
        <v>93.90156763740806</v>
      </c>
    </row>
    <row r="22" spans="1:43" s="24" customFormat="1" ht="21.75" customHeight="1">
      <c r="A22" s="77"/>
      <c r="B22" s="55"/>
      <c r="C22" s="79" t="s">
        <v>192</v>
      </c>
      <c r="D22" s="83" t="s">
        <v>15</v>
      </c>
      <c r="E22" s="76">
        <v>10000</v>
      </c>
      <c r="F22" s="127"/>
      <c r="G22" s="127"/>
      <c r="H22" s="94">
        <f>SUM(E22+F22-G22)</f>
        <v>10000</v>
      </c>
      <c r="I22" s="94"/>
      <c r="J22" s="94"/>
      <c r="K22" s="94">
        <f>SUM(H22+I22-J22)</f>
        <v>10000</v>
      </c>
      <c r="L22" s="94"/>
      <c r="M22" s="94"/>
      <c r="N22" s="94">
        <f>SUM(K22+L22-M22)</f>
        <v>10000</v>
      </c>
      <c r="O22" s="94"/>
      <c r="P22" s="94"/>
      <c r="Q22" s="94">
        <f>SUM(N22+O22-P22)</f>
        <v>10000</v>
      </c>
      <c r="R22" s="94"/>
      <c r="S22" s="94"/>
      <c r="T22" s="94">
        <f>SUM(Q22+R22-S22)</f>
        <v>10000</v>
      </c>
      <c r="U22" s="94"/>
      <c r="V22" s="94"/>
      <c r="W22" s="94">
        <f>SUM(T22+U22-V22)</f>
        <v>10000</v>
      </c>
      <c r="X22" s="94"/>
      <c r="Y22" s="94"/>
      <c r="Z22" s="94">
        <f>SUM(W22+X22-Y22)</f>
        <v>10000</v>
      </c>
      <c r="AA22" s="94"/>
      <c r="AB22" s="94"/>
      <c r="AC22" s="94">
        <f>SUM(Z22+AA22-AB22)</f>
        <v>10000</v>
      </c>
      <c r="AD22" s="94"/>
      <c r="AE22" s="94"/>
      <c r="AF22" s="94">
        <f>SUM(AC22+AD22-AE22)</f>
        <v>10000</v>
      </c>
      <c r="AG22" s="94"/>
      <c r="AH22" s="94"/>
      <c r="AI22" s="94">
        <f>SUM(AF22+AG22-AH22)</f>
        <v>10000</v>
      </c>
      <c r="AJ22" s="94"/>
      <c r="AK22" s="94"/>
      <c r="AL22" s="94">
        <f>SUM(AI22+AJ22-AK22)</f>
        <v>10000</v>
      </c>
      <c r="AM22" s="94"/>
      <c r="AN22" s="94"/>
      <c r="AO22" s="94">
        <f>SUM(AL22+AM22-AN22)</f>
        <v>10000</v>
      </c>
      <c r="AP22" s="155">
        <v>16231</v>
      </c>
      <c r="AQ22" s="207">
        <f t="shared" si="3"/>
        <v>162.31</v>
      </c>
    </row>
    <row r="23" spans="1:43" s="42" customFormat="1" ht="21.75" customHeight="1">
      <c r="A23" s="30" t="s">
        <v>19</v>
      </c>
      <c r="B23" s="3"/>
      <c r="C23" s="20"/>
      <c r="D23" s="31" t="s">
        <v>20</v>
      </c>
      <c r="E23" s="66">
        <f aca="true" t="shared" si="13" ref="E23:K23">SUM(E24,E27,)</f>
        <v>171350</v>
      </c>
      <c r="F23" s="18">
        <f t="shared" si="13"/>
        <v>0</v>
      </c>
      <c r="G23" s="18">
        <f t="shared" si="13"/>
        <v>0</v>
      </c>
      <c r="H23" s="18">
        <f t="shared" si="13"/>
        <v>171350</v>
      </c>
      <c r="I23" s="18">
        <f t="shared" si="13"/>
        <v>0</v>
      </c>
      <c r="J23" s="18">
        <f t="shared" si="13"/>
        <v>0</v>
      </c>
      <c r="K23" s="18">
        <f t="shared" si="13"/>
        <v>171350</v>
      </c>
      <c r="L23" s="18">
        <f aca="true" t="shared" si="14" ref="L23:Q23">SUM(L24,L27,)</f>
        <v>0</v>
      </c>
      <c r="M23" s="18">
        <f t="shared" si="14"/>
        <v>0</v>
      </c>
      <c r="N23" s="18">
        <f t="shared" si="14"/>
        <v>171350</v>
      </c>
      <c r="O23" s="18">
        <f t="shared" si="14"/>
        <v>0</v>
      </c>
      <c r="P23" s="18">
        <f t="shared" si="14"/>
        <v>0</v>
      </c>
      <c r="Q23" s="18">
        <f t="shared" si="14"/>
        <v>171350</v>
      </c>
      <c r="R23" s="18">
        <f aca="true" t="shared" si="15" ref="R23:W23">SUM(R24,R27,)</f>
        <v>0</v>
      </c>
      <c r="S23" s="18">
        <f t="shared" si="15"/>
        <v>0</v>
      </c>
      <c r="T23" s="18">
        <f t="shared" si="15"/>
        <v>171350</v>
      </c>
      <c r="U23" s="18">
        <f t="shared" si="15"/>
        <v>0</v>
      </c>
      <c r="V23" s="18">
        <f t="shared" si="15"/>
        <v>0</v>
      </c>
      <c r="W23" s="18">
        <f t="shared" si="15"/>
        <v>171350</v>
      </c>
      <c r="X23" s="18">
        <f>SUM(X24,X27,)</f>
        <v>10000</v>
      </c>
      <c r="Y23" s="18">
        <f>SUM(Y24,Y27,)</f>
        <v>0</v>
      </c>
      <c r="Z23" s="18">
        <f>SUM(Z24,Z27,)</f>
        <v>181350</v>
      </c>
      <c r="AA23" s="18">
        <f>SUM(AA24,AA27,)</f>
        <v>0</v>
      </c>
      <c r="AB23" s="18">
        <f>SUM(AB24,AB27,)</f>
        <v>0</v>
      </c>
      <c r="AC23" s="18">
        <f>SUM(AC24,AC27,AC31)</f>
        <v>181350</v>
      </c>
      <c r="AD23" s="18">
        <f aca="true" t="shared" si="16" ref="AD23:AI23">SUM(AD24,AD27,AD31)</f>
        <v>0</v>
      </c>
      <c r="AE23" s="18">
        <f t="shared" si="16"/>
        <v>0</v>
      </c>
      <c r="AF23" s="18">
        <f t="shared" si="16"/>
        <v>181350</v>
      </c>
      <c r="AG23" s="18">
        <f t="shared" si="16"/>
        <v>2600</v>
      </c>
      <c r="AH23" s="18">
        <f t="shared" si="16"/>
        <v>0</v>
      </c>
      <c r="AI23" s="18">
        <f t="shared" si="16"/>
        <v>183950</v>
      </c>
      <c r="AJ23" s="18">
        <f aca="true" t="shared" si="17" ref="AJ23:AO23">SUM(AJ24,AJ27,AJ31)</f>
        <v>6000</v>
      </c>
      <c r="AK23" s="18">
        <f t="shared" si="17"/>
        <v>0</v>
      </c>
      <c r="AL23" s="18">
        <f t="shared" si="17"/>
        <v>189950</v>
      </c>
      <c r="AM23" s="18">
        <f t="shared" si="17"/>
        <v>39600</v>
      </c>
      <c r="AN23" s="18">
        <f t="shared" si="17"/>
        <v>0</v>
      </c>
      <c r="AO23" s="18">
        <f t="shared" si="17"/>
        <v>229550</v>
      </c>
      <c r="AP23" s="32">
        <f>SUM(AP24,AP27,AP31,)</f>
        <v>231454</v>
      </c>
      <c r="AQ23" s="208">
        <f t="shared" si="3"/>
        <v>100.82944892180352</v>
      </c>
    </row>
    <row r="24" spans="1:43" s="24" customFormat="1" ht="21" customHeight="1">
      <c r="A24" s="77"/>
      <c r="B24" s="78">
        <v>75011</v>
      </c>
      <c r="C24" s="86"/>
      <c r="D24" s="83" t="s">
        <v>21</v>
      </c>
      <c r="E24" s="76">
        <f aca="true" t="shared" si="18" ref="E24:K24">SUM(E25:E26)</f>
        <v>146350</v>
      </c>
      <c r="F24" s="90">
        <f t="shared" si="18"/>
        <v>0</v>
      </c>
      <c r="G24" s="90">
        <f t="shared" si="18"/>
        <v>0</v>
      </c>
      <c r="H24" s="90">
        <f t="shared" si="18"/>
        <v>146350</v>
      </c>
      <c r="I24" s="90">
        <f t="shared" si="18"/>
        <v>0</v>
      </c>
      <c r="J24" s="90">
        <f t="shared" si="18"/>
        <v>0</v>
      </c>
      <c r="K24" s="90">
        <f t="shared" si="18"/>
        <v>146350</v>
      </c>
      <c r="L24" s="90">
        <f aca="true" t="shared" si="19" ref="L24:Q24">SUM(L25:L26)</f>
        <v>0</v>
      </c>
      <c r="M24" s="90">
        <f t="shared" si="19"/>
        <v>0</v>
      </c>
      <c r="N24" s="90">
        <f t="shared" si="19"/>
        <v>146350</v>
      </c>
      <c r="O24" s="90">
        <f t="shared" si="19"/>
        <v>0</v>
      </c>
      <c r="P24" s="90">
        <f t="shared" si="19"/>
        <v>0</v>
      </c>
      <c r="Q24" s="90">
        <f t="shared" si="19"/>
        <v>146350</v>
      </c>
      <c r="R24" s="90">
        <f aca="true" t="shared" si="20" ref="R24:W24">SUM(R25:R26)</f>
        <v>0</v>
      </c>
      <c r="S24" s="90">
        <f t="shared" si="20"/>
        <v>0</v>
      </c>
      <c r="T24" s="90">
        <f t="shared" si="20"/>
        <v>146350</v>
      </c>
      <c r="U24" s="90">
        <f t="shared" si="20"/>
        <v>0</v>
      </c>
      <c r="V24" s="90">
        <f t="shared" si="20"/>
        <v>0</v>
      </c>
      <c r="W24" s="90">
        <f t="shared" si="20"/>
        <v>146350</v>
      </c>
      <c r="X24" s="90">
        <f aca="true" t="shared" si="21" ref="X24:AC24">SUM(X25:X26)</f>
        <v>0</v>
      </c>
      <c r="Y24" s="90">
        <f t="shared" si="21"/>
        <v>0</v>
      </c>
      <c r="Z24" s="90">
        <f t="shared" si="21"/>
        <v>146350</v>
      </c>
      <c r="AA24" s="90">
        <f t="shared" si="21"/>
        <v>0</v>
      </c>
      <c r="AB24" s="90">
        <f t="shared" si="21"/>
        <v>0</v>
      </c>
      <c r="AC24" s="90">
        <f t="shared" si="21"/>
        <v>146350</v>
      </c>
      <c r="AD24" s="90"/>
      <c r="AE24" s="90"/>
      <c r="AF24" s="90">
        <f>SUM(AF25:AF26)</f>
        <v>146350</v>
      </c>
      <c r="AG24" s="90"/>
      <c r="AH24" s="90"/>
      <c r="AI24" s="90">
        <f>SUM(AI25:AI26)</f>
        <v>146350</v>
      </c>
      <c r="AJ24" s="90"/>
      <c r="AK24" s="90"/>
      <c r="AL24" s="90">
        <f>SUM(AL25:AL26)</f>
        <v>146350</v>
      </c>
      <c r="AM24" s="90"/>
      <c r="AN24" s="90"/>
      <c r="AO24" s="90">
        <f>SUM(AO25:AO26)</f>
        <v>146350</v>
      </c>
      <c r="AP24" s="155">
        <f>SUM(AP25:AP26)</f>
        <v>146689</v>
      </c>
      <c r="AQ24" s="207">
        <f t="shared" si="3"/>
        <v>100.23163648787154</v>
      </c>
    </row>
    <row r="25" spans="1:43" s="24" customFormat="1" ht="60">
      <c r="A25" s="77"/>
      <c r="B25" s="55"/>
      <c r="C25" s="79">
        <v>2010</v>
      </c>
      <c r="D25" s="83" t="s">
        <v>280</v>
      </c>
      <c r="E25" s="90">
        <v>142600</v>
      </c>
      <c r="F25" s="127"/>
      <c r="G25" s="127"/>
      <c r="H25" s="94">
        <f>SUM(E25+F25-G25)</f>
        <v>142600</v>
      </c>
      <c r="I25" s="94"/>
      <c r="J25" s="94"/>
      <c r="K25" s="94">
        <f>SUM(H25+I25-J25)</f>
        <v>142600</v>
      </c>
      <c r="L25" s="94"/>
      <c r="M25" s="94"/>
      <c r="N25" s="94">
        <f>SUM(K25+L25-M25)</f>
        <v>142600</v>
      </c>
      <c r="O25" s="94"/>
      <c r="P25" s="94"/>
      <c r="Q25" s="94">
        <f>SUM(N25+O25-P25)</f>
        <v>142600</v>
      </c>
      <c r="R25" s="94"/>
      <c r="S25" s="94"/>
      <c r="T25" s="94">
        <f>SUM(Q25+R25-S25)</f>
        <v>142600</v>
      </c>
      <c r="U25" s="94"/>
      <c r="V25" s="94"/>
      <c r="W25" s="94">
        <f>SUM(T25+U25-V25)</f>
        <v>142600</v>
      </c>
      <c r="X25" s="94"/>
      <c r="Y25" s="94"/>
      <c r="Z25" s="94">
        <f>SUM(W25+X25-Y25)</f>
        <v>142600</v>
      </c>
      <c r="AA25" s="94"/>
      <c r="AB25" s="94"/>
      <c r="AC25" s="94">
        <f>SUM(Z25+AA25-AB25)</f>
        <v>142600</v>
      </c>
      <c r="AD25" s="94"/>
      <c r="AE25" s="94"/>
      <c r="AF25" s="94">
        <f>SUM(AC25+AD25-AE25)</f>
        <v>142600</v>
      </c>
      <c r="AG25" s="94"/>
      <c r="AH25" s="94"/>
      <c r="AI25" s="94">
        <f>SUM(AF25+AG25-AH25)</f>
        <v>142600</v>
      </c>
      <c r="AJ25" s="94"/>
      <c r="AK25" s="94"/>
      <c r="AL25" s="94">
        <f>SUM(AI25+AJ25-AK25)</f>
        <v>142600</v>
      </c>
      <c r="AM25" s="94"/>
      <c r="AN25" s="94"/>
      <c r="AO25" s="94">
        <f>SUM(AL25+AM25-AN25)</f>
        <v>142600</v>
      </c>
      <c r="AP25" s="155">
        <v>142599</v>
      </c>
      <c r="AQ25" s="207">
        <f t="shared" si="3"/>
        <v>99.99929873772791</v>
      </c>
    </row>
    <row r="26" spans="1:43" s="24" customFormat="1" ht="48">
      <c r="A26" s="77"/>
      <c r="B26" s="55"/>
      <c r="C26" s="79">
        <v>2360</v>
      </c>
      <c r="D26" s="83" t="s">
        <v>223</v>
      </c>
      <c r="E26" s="76">
        <v>3750</v>
      </c>
      <c r="F26" s="127"/>
      <c r="G26" s="127"/>
      <c r="H26" s="94">
        <f>SUM(E26+F26-G26)</f>
        <v>3750</v>
      </c>
      <c r="I26" s="94"/>
      <c r="J26" s="94"/>
      <c r="K26" s="94">
        <f>SUM(H26+I26-J26)</f>
        <v>3750</v>
      </c>
      <c r="L26" s="94"/>
      <c r="M26" s="94"/>
      <c r="N26" s="94">
        <f>SUM(K26+L26-M26)</f>
        <v>3750</v>
      </c>
      <c r="O26" s="94"/>
      <c r="P26" s="94"/>
      <c r="Q26" s="94">
        <f>SUM(N26+O26-P26)</f>
        <v>3750</v>
      </c>
      <c r="R26" s="94"/>
      <c r="S26" s="94"/>
      <c r="T26" s="94">
        <f>SUM(Q26+R26-S26)</f>
        <v>3750</v>
      </c>
      <c r="U26" s="94"/>
      <c r="V26" s="94"/>
      <c r="W26" s="94">
        <f>SUM(T26+U26-V26)</f>
        <v>3750</v>
      </c>
      <c r="X26" s="94"/>
      <c r="Y26" s="94"/>
      <c r="Z26" s="94">
        <f>SUM(W26+X26-Y26)</f>
        <v>3750</v>
      </c>
      <c r="AA26" s="94"/>
      <c r="AB26" s="94"/>
      <c r="AC26" s="94">
        <f>SUM(Z26+AA26-AB26)</f>
        <v>3750</v>
      </c>
      <c r="AD26" s="94"/>
      <c r="AE26" s="94"/>
      <c r="AF26" s="94">
        <f>SUM(AC26+AD26-AE26)</f>
        <v>3750</v>
      </c>
      <c r="AG26" s="94"/>
      <c r="AH26" s="94"/>
      <c r="AI26" s="94">
        <f>SUM(AF26+AG26-AH26)</f>
        <v>3750</v>
      </c>
      <c r="AJ26" s="94"/>
      <c r="AK26" s="94"/>
      <c r="AL26" s="94">
        <f>SUM(AI26+AJ26-AK26)</f>
        <v>3750</v>
      </c>
      <c r="AM26" s="94"/>
      <c r="AN26" s="94"/>
      <c r="AO26" s="94">
        <f>SUM(AL26+AM26-AN26)</f>
        <v>3750</v>
      </c>
      <c r="AP26" s="155">
        <v>4090</v>
      </c>
      <c r="AQ26" s="207">
        <f t="shared" si="3"/>
        <v>109.06666666666666</v>
      </c>
    </row>
    <row r="27" spans="1:43" s="24" customFormat="1" ht="23.25" customHeight="1">
      <c r="A27" s="84"/>
      <c r="B27" s="78" t="s">
        <v>22</v>
      </c>
      <c r="C27" s="86"/>
      <c r="D27" s="83" t="s">
        <v>23</v>
      </c>
      <c r="E27" s="76">
        <f>SUM(E28:E30)</f>
        <v>25000</v>
      </c>
      <c r="F27" s="76">
        <f>SUM(F28:F30)</f>
        <v>0</v>
      </c>
      <c r="G27" s="76">
        <f>SUM(G28:G30)</f>
        <v>0</v>
      </c>
      <c r="H27" s="76">
        <f>SUM(H28:H30)</f>
        <v>25000</v>
      </c>
      <c r="I27" s="90">
        <f aca="true" t="shared" si="22" ref="I27:AK27">SUM(I28)</f>
        <v>0</v>
      </c>
      <c r="J27" s="90">
        <f t="shared" si="22"/>
        <v>0</v>
      </c>
      <c r="K27" s="90">
        <f t="shared" si="22"/>
        <v>25000</v>
      </c>
      <c r="L27" s="90">
        <f t="shared" si="22"/>
        <v>0</v>
      </c>
      <c r="M27" s="90">
        <f t="shared" si="22"/>
        <v>0</v>
      </c>
      <c r="N27" s="90">
        <f t="shared" si="22"/>
        <v>25000</v>
      </c>
      <c r="O27" s="90">
        <f t="shared" si="22"/>
        <v>0</v>
      </c>
      <c r="P27" s="90">
        <f t="shared" si="22"/>
        <v>0</v>
      </c>
      <c r="Q27" s="90">
        <f t="shared" si="22"/>
        <v>25000</v>
      </c>
      <c r="R27" s="90">
        <f t="shared" si="22"/>
        <v>0</v>
      </c>
      <c r="S27" s="90">
        <f t="shared" si="22"/>
        <v>0</v>
      </c>
      <c r="T27" s="90">
        <f t="shared" si="22"/>
        <v>25000</v>
      </c>
      <c r="U27" s="90">
        <f t="shared" si="22"/>
        <v>0</v>
      </c>
      <c r="V27" s="90">
        <f t="shared" si="22"/>
        <v>0</v>
      </c>
      <c r="W27" s="90">
        <f t="shared" si="22"/>
        <v>25000</v>
      </c>
      <c r="X27" s="90">
        <f t="shared" si="22"/>
        <v>10000</v>
      </c>
      <c r="Y27" s="90">
        <f t="shared" si="22"/>
        <v>0</v>
      </c>
      <c r="Z27" s="90">
        <f t="shared" si="22"/>
        <v>35000</v>
      </c>
      <c r="AA27" s="90">
        <v>0</v>
      </c>
      <c r="AB27" s="90">
        <f t="shared" si="22"/>
        <v>0</v>
      </c>
      <c r="AC27" s="90">
        <f t="shared" si="22"/>
        <v>35000</v>
      </c>
      <c r="AD27" s="90">
        <v>0</v>
      </c>
      <c r="AE27" s="90">
        <f t="shared" si="22"/>
        <v>0</v>
      </c>
      <c r="AF27" s="90">
        <f t="shared" si="22"/>
        <v>35000</v>
      </c>
      <c r="AG27" s="90">
        <v>0</v>
      </c>
      <c r="AH27" s="90">
        <f t="shared" si="22"/>
        <v>0</v>
      </c>
      <c r="AI27" s="90">
        <f t="shared" si="22"/>
        <v>35000</v>
      </c>
      <c r="AJ27" s="90">
        <f t="shared" si="22"/>
        <v>6000</v>
      </c>
      <c r="AK27" s="90">
        <f t="shared" si="22"/>
        <v>0</v>
      </c>
      <c r="AL27" s="90">
        <f>SUM(AL28:AL30)</f>
        <v>41000</v>
      </c>
      <c r="AM27" s="90">
        <f>SUM(AM28:AM30)</f>
        <v>35000</v>
      </c>
      <c r="AN27" s="90">
        <f>SUM(AN28:AN30)</f>
        <v>0</v>
      </c>
      <c r="AO27" s="90">
        <f>SUM(AO28:AO30)</f>
        <v>76000</v>
      </c>
      <c r="AP27" s="155">
        <f>SUM(AP28:AP30)</f>
        <v>77559</v>
      </c>
      <c r="AQ27" s="207">
        <f t="shared" si="3"/>
        <v>102.05131578947369</v>
      </c>
    </row>
    <row r="28" spans="1:43" s="24" customFormat="1" ht="21.75" customHeight="1">
      <c r="A28" s="84"/>
      <c r="B28" s="78"/>
      <c r="C28" s="85" t="s">
        <v>193</v>
      </c>
      <c r="D28" s="83" t="s">
        <v>16</v>
      </c>
      <c r="E28" s="76">
        <f>20000+14134+5000-14134</f>
        <v>25000</v>
      </c>
      <c r="F28" s="127"/>
      <c r="G28" s="127"/>
      <c r="H28" s="94">
        <f>SUM(E28+F28-G28)</f>
        <v>25000</v>
      </c>
      <c r="I28" s="94"/>
      <c r="J28" s="94"/>
      <c r="K28" s="94">
        <f>SUM(H28+I28-J28)</f>
        <v>25000</v>
      </c>
      <c r="L28" s="94"/>
      <c r="M28" s="94"/>
      <c r="N28" s="94">
        <f>SUM(K28+L28-M28)</f>
        <v>25000</v>
      </c>
      <c r="O28" s="94"/>
      <c r="P28" s="94"/>
      <c r="Q28" s="94">
        <f>SUM(N28+O28-P28)</f>
        <v>25000</v>
      </c>
      <c r="R28" s="94"/>
      <c r="S28" s="94"/>
      <c r="T28" s="94">
        <f>SUM(Q28+R28-S28)</f>
        <v>25000</v>
      </c>
      <c r="U28" s="94"/>
      <c r="V28" s="94"/>
      <c r="W28" s="94">
        <f>SUM(T28+U28-V28)</f>
        <v>25000</v>
      </c>
      <c r="X28" s="94">
        <v>10000</v>
      </c>
      <c r="Y28" s="94"/>
      <c r="Z28" s="94">
        <f>SUM(W28+X28-Y28)</f>
        <v>35000</v>
      </c>
      <c r="AA28" s="94">
        <v>0</v>
      </c>
      <c r="AB28" s="94"/>
      <c r="AC28" s="94">
        <f>SUM(Z28+AA28-AB28)</f>
        <v>35000</v>
      </c>
      <c r="AD28" s="94"/>
      <c r="AE28" s="94"/>
      <c r="AF28" s="94">
        <f>SUM(AC28+AD28-AE28)</f>
        <v>35000</v>
      </c>
      <c r="AG28" s="94"/>
      <c r="AH28" s="94"/>
      <c r="AI28" s="94">
        <f>SUM(AF28+AG28-AH28)</f>
        <v>35000</v>
      </c>
      <c r="AJ28" s="94">
        <v>6000</v>
      </c>
      <c r="AK28" s="94"/>
      <c r="AL28" s="94">
        <f>SUM(AI28+AJ28-AK28)</f>
        <v>41000</v>
      </c>
      <c r="AM28" s="94">
        <f>6000+6000</f>
        <v>12000</v>
      </c>
      <c r="AN28" s="94"/>
      <c r="AO28" s="94">
        <f>SUM(AL28+AM28-AN28)</f>
        <v>53000</v>
      </c>
      <c r="AP28" s="155">
        <v>54559</v>
      </c>
      <c r="AQ28" s="207">
        <f t="shared" si="3"/>
        <v>102.94150943396228</v>
      </c>
    </row>
    <row r="29" spans="1:43" s="24" customFormat="1" ht="36">
      <c r="A29" s="84"/>
      <c r="B29" s="78"/>
      <c r="C29" s="85">
        <v>2440</v>
      </c>
      <c r="D29" s="83" t="s">
        <v>224</v>
      </c>
      <c r="E29" s="76">
        <v>0</v>
      </c>
      <c r="F29" s="127"/>
      <c r="G29" s="127"/>
      <c r="H29" s="94">
        <f>SUM(E29+F29-G29)</f>
        <v>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>
        <v>0</v>
      </c>
      <c r="AM29" s="94">
        <v>14845</v>
      </c>
      <c r="AN29" s="94"/>
      <c r="AO29" s="94">
        <f>SUM(AL29+AM29-AN29)</f>
        <v>14845</v>
      </c>
      <c r="AP29" s="155">
        <v>14845</v>
      </c>
      <c r="AQ29" s="207">
        <f t="shared" si="3"/>
        <v>100</v>
      </c>
    </row>
    <row r="30" spans="1:43" s="24" customFormat="1" ht="60">
      <c r="A30" s="84"/>
      <c r="B30" s="78"/>
      <c r="C30" s="85">
        <v>6260</v>
      </c>
      <c r="D30" s="83" t="s">
        <v>369</v>
      </c>
      <c r="E30" s="76">
        <v>0</v>
      </c>
      <c r="F30" s="127"/>
      <c r="G30" s="127"/>
      <c r="H30" s="94">
        <f>SUM(E30+F30-G30)</f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>
        <v>0</v>
      </c>
      <c r="AM30" s="94">
        <v>8155</v>
      </c>
      <c r="AN30" s="94"/>
      <c r="AO30" s="94">
        <f>SUM(AL30+AM30-AN30)</f>
        <v>8155</v>
      </c>
      <c r="AP30" s="155">
        <v>8155</v>
      </c>
      <c r="AQ30" s="207">
        <f t="shared" si="3"/>
        <v>100</v>
      </c>
    </row>
    <row r="31" spans="1:43" s="24" customFormat="1" ht="21.75" customHeight="1">
      <c r="A31" s="84"/>
      <c r="B31" s="78">
        <v>75075</v>
      </c>
      <c r="C31" s="85"/>
      <c r="D31" s="39" t="s">
        <v>305</v>
      </c>
      <c r="E31" s="76">
        <f>SUM(E32)</f>
        <v>0</v>
      </c>
      <c r="F31" s="76">
        <f>SUM(F32)</f>
        <v>0</v>
      </c>
      <c r="G31" s="76">
        <f>SUM(G32)</f>
        <v>0</v>
      </c>
      <c r="H31" s="94">
        <f>SUM(E31+F31-G31)</f>
        <v>0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>
        <v>0</v>
      </c>
      <c r="AD31" s="94">
        <f aca="true" t="shared" si="23" ref="AD31:AO31">AD32</f>
        <v>0</v>
      </c>
      <c r="AE31" s="94">
        <f t="shared" si="23"/>
        <v>0</v>
      </c>
      <c r="AF31" s="94">
        <f t="shared" si="23"/>
        <v>0</v>
      </c>
      <c r="AG31" s="94">
        <f>AG32</f>
        <v>2600</v>
      </c>
      <c r="AH31" s="94">
        <f t="shared" si="23"/>
        <v>0</v>
      </c>
      <c r="AI31" s="94">
        <f t="shared" si="23"/>
        <v>2600</v>
      </c>
      <c r="AJ31" s="94">
        <f t="shared" si="23"/>
        <v>0</v>
      </c>
      <c r="AK31" s="94">
        <f t="shared" si="23"/>
        <v>0</v>
      </c>
      <c r="AL31" s="94">
        <f t="shared" si="23"/>
        <v>2600</v>
      </c>
      <c r="AM31" s="94">
        <f t="shared" si="23"/>
        <v>4600</v>
      </c>
      <c r="AN31" s="94">
        <f t="shared" si="23"/>
        <v>0</v>
      </c>
      <c r="AO31" s="94">
        <f t="shared" si="23"/>
        <v>7200</v>
      </c>
      <c r="AP31" s="155">
        <f>SUM(AP32)</f>
        <v>7206</v>
      </c>
      <c r="AQ31" s="207">
        <f t="shared" si="3"/>
        <v>100.08333333333333</v>
      </c>
    </row>
    <row r="32" spans="1:43" s="24" customFormat="1" ht="21.75" customHeight="1">
      <c r="A32" s="84"/>
      <c r="B32" s="78"/>
      <c r="C32" s="85" t="s">
        <v>193</v>
      </c>
      <c r="D32" s="83" t="s">
        <v>16</v>
      </c>
      <c r="E32" s="76">
        <v>0</v>
      </c>
      <c r="F32" s="127"/>
      <c r="G32" s="127"/>
      <c r="H32" s="94">
        <f>SUM(E32+F32-G32)</f>
        <v>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>
        <v>0</v>
      </c>
      <c r="AD32" s="94"/>
      <c r="AE32" s="94"/>
      <c r="AF32" s="94"/>
      <c r="AG32" s="94">
        <v>2600</v>
      </c>
      <c r="AH32" s="94"/>
      <c r="AI32" s="94">
        <f>AC32+AG32-AH32</f>
        <v>2600</v>
      </c>
      <c r="AJ32" s="94"/>
      <c r="AK32" s="94"/>
      <c r="AL32" s="94">
        <f>SUM(AI32+AJ32-AK32)</f>
        <v>2600</v>
      </c>
      <c r="AM32" s="94">
        <v>4600</v>
      </c>
      <c r="AN32" s="94"/>
      <c r="AO32" s="94">
        <f>SUM(AL32+AM32-AN32)</f>
        <v>7200</v>
      </c>
      <c r="AP32" s="155">
        <v>7206</v>
      </c>
      <c r="AQ32" s="207">
        <f t="shared" si="3"/>
        <v>100.08333333333333</v>
      </c>
    </row>
    <row r="33" spans="1:43" s="42" customFormat="1" ht="36">
      <c r="A33" s="30">
        <v>751</v>
      </c>
      <c r="B33" s="3"/>
      <c r="C33" s="20"/>
      <c r="D33" s="31" t="s">
        <v>24</v>
      </c>
      <c r="E33" s="66">
        <f>SUM(E34,E36,E38,)</f>
        <v>3737</v>
      </c>
      <c r="F33" s="66">
        <f>SUM(F34,F36,F38,)</f>
        <v>0</v>
      </c>
      <c r="G33" s="66">
        <f>SUM(G34,G36,G38,)</f>
        <v>0</v>
      </c>
      <c r="H33" s="66">
        <f>SUM(H34,H36,H38,)</f>
        <v>3737</v>
      </c>
      <c r="I33" s="18">
        <f aca="true" t="shared" si="24" ref="I33:U33">SUM(I34)</f>
        <v>0</v>
      </c>
      <c r="J33" s="18">
        <f t="shared" si="24"/>
        <v>0</v>
      </c>
      <c r="K33" s="18">
        <f t="shared" si="24"/>
        <v>3737</v>
      </c>
      <c r="L33" s="18">
        <f t="shared" si="24"/>
        <v>0</v>
      </c>
      <c r="M33" s="18">
        <f t="shared" si="24"/>
        <v>0</v>
      </c>
      <c r="N33" s="18">
        <f t="shared" si="24"/>
        <v>3737</v>
      </c>
      <c r="O33" s="18">
        <f t="shared" si="24"/>
        <v>0</v>
      </c>
      <c r="P33" s="18">
        <f t="shared" si="24"/>
        <v>0</v>
      </c>
      <c r="Q33" s="18">
        <f t="shared" si="24"/>
        <v>3737</v>
      </c>
      <c r="R33" s="18">
        <f t="shared" si="24"/>
        <v>0</v>
      </c>
      <c r="S33" s="18">
        <f t="shared" si="24"/>
        <v>0</v>
      </c>
      <c r="T33" s="18">
        <f t="shared" si="24"/>
        <v>3737</v>
      </c>
      <c r="U33" s="18">
        <f t="shared" si="24"/>
        <v>0</v>
      </c>
      <c r="V33" s="18">
        <f>SUM(V34)</f>
        <v>0</v>
      </c>
      <c r="W33" s="18">
        <f>W34+W38</f>
        <v>3737</v>
      </c>
      <c r="X33" s="18">
        <f>X34+X38</f>
        <v>18750</v>
      </c>
      <c r="Y33" s="18">
        <f>Y34+Y38</f>
        <v>0</v>
      </c>
      <c r="Z33" s="18">
        <f aca="true" t="shared" si="25" ref="Z33:AF33">Z34+Z36+Z38</f>
        <v>22487</v>
      </c>
      <c r="AA33" s="18">
        <f t="shared" si="25"/>
        <v>42904</v>
      </c>
      <c r="AB33" s="18">
        <f t="shared" si="25"/>
        <v>0</v>
      </c>
      <c r="AC33" s="18">
        <f t="shared" si="25"/>
        <v>86811</v>
      </c>
      <c r="AD33" s="18">
        <f t="shared" si="25"/>
        <v>21420</v>
      </c>
      <c r="AE33" s="18">
        <f t="shared" si="25"/>
        <v>0</v>
      </c>
      <c r="AF33" s="18">
        <f t="shared" si="25"/>
        <v>108231</v>
      </c>
      <c r="AG33" s="18">
        <f aca="true" t="shared" si="26" ref="AG33:AL33">AG34+AG36+AG38</f>
        <v>32000</v>
      </c>
      <c r="AH33" s="18">
        <f t="shared" si="26"/>
        <v>0</v>
      </c>
      <c r="AI33" s="18">
        <f t="shared" si="26"/>
        <v>118811</v>
      </c>
      <c r="AJ33" s="18">
        <f t="shared" si="26"/>
        <v>0</v>
      </c>
      <c r="AK33" s="18">
        <f t="shared" si="26"/>
        <v>0</v>
      </c>
      <c r="AL33" s="18">
        <f t="shared" si="26"/>
        <v>118811</v>
      </c>
      <c r="AM33" s="18">
        <f>AM34+AM36+AM38</f>
        <v>0</v>
      </c>
      <c r="AN33" s="18">
        <f>AN34+AN36+AN38</f>
        <v>0</v>
      </c>
      <c r="AO33" s="18">
        <f>AO34+AO36+AO38</f>
        <v>118811</v>
      </c>
      <c r="AP33" s="32">
        <f>SUM(AP34,AP36,AP38)</f>
        <v>118265</v>
      </c>
      <c r="AQ33" s="208">
        <f t="shared" si="3"/>
        <v>99.54044659164556</v>
      </c>
    </row>
    <row r="34" spans="1:43" s="24" customFormat="1" ht="24">
      <c r="A34" s="84"/>
      <c r="B34" s="78">
        <v>75101</v>
      </c>
      <c r="C34" s="86"/>
      <c r="D34" s="83" t="s">
        <v>25</v>
      </c>
      <c r="E34" s="76">
        <f aca="true" t="shared" si="27" ref="E34:U34">SUM(E35)</f>
        <v>3737</v>
      </c>
      <c r="F34" s="90">
        <f t="shared" si="27"/>
        <v>0</v>
      </c>
      <c r="G34" s="90">
        <f t="shared" si="27"/>
        <v>0</v>
      </c>
      <c r="H34" s="90">
        <f t="shared" si="27"/>
        <v>3737</v>
      </c>
      <c r="I34" s="90">
        <f t="shared" si="27"/>
        <v>0</v>
      </c>
      <c r="J34" s="90">
        <f t="shared" si="27"/>
        <v>0</v>
      </c>
      <c r="K34" s="90">
        <f t="shared" si="27"/>
        <v>3737</v>
      </c>
      <c r="L34" s="90">
        <f t="shared" si="27"/>
        <v>0</v>
      </c>
      <c r="M34" s="90">
        <f t="shared" si="27"/>
        <v>0</v>
      </c>
      <c r="N34" s="90">
        <f t="shared" si="27"/>
        <v>3737</v>
      </c>
      <c r="O34" s="90">
        <f t="shared" si="27"/>
        <v>0</v>
      </c>
      <c r="P34" s="90">
        <f t="shared" si="27"/>
        <v>0</v>
      </c>
      <c r="Q34" s="90">
        <f t="shared" si="27"/>
        <v>3737</v>
      </c>
      <c r="R34" s="90">
        <f t="shared" si="27"/>
        <v>0</v>
      </c>
      <c r="S34" s="90">
        <f t="shared" si="27"/>
        <v>0</v>
      </c>
      <c r="T34" s="90">
        <f t="shared" si="27"/>
        <v>3737</v>
      </c>
      <c r="U34" s="90">
        <f t="shared" si="27"/>
        <v>0</v>
      </c>
      <c r="V34" s="90">
        <f>SUM(V35)</f>
        <v>0</v>
      </c>
      <c r="W34" s="90">
        <f aca="true" t="shared" si="28" ref="W34:AF34">SUM(W35)</f>
        <v>3737</v>
      </c>
      <c r="X34" s="90">
        <f t="shared" si="28"/>
        <v>0</v>
      </c>
      <c r="Y34" s="90">
        <f t="shared" si="28"/>
        <v>0</v>
      </c>
      <c r="Z34" s="90">
        <f t="shared" si="28"/>
        <v>3737</v>
      </c>
      <c r="AA34" s="90">
        <f t="shared" si="28"/>
        <v>0</v>
      </c>
      <c r="AB34" s="90">
        <f t="shared" si="28"/>
        <v>0</v>
      </c>
      <c r="AC34" s="90">
        <f t="shared" si="28"/>
        <v>3737</v>
      </c>
      <c r="AD34" s="90"/>
      <c r="AE34" s="90"/>
      <c r="AF34" s="90">
        <f t="shared" si="28"/>
        <v>3737</v>
      </c>
      <c r="AG34" s="90"/>
      <c r="AH34" s="90"/>
      <c r="AI34" s="90">
        <f>SUM(AI35)</f>
        <v>3737</v>
      </c>
      <c r="AJ34" s="90"/>
      <c r="AK34" s="90"/>
      <c r="AL34" s="90">
        <f>SUM(AL35)</f>
        <v>3737</v>
      </c>
      <c r="AM34" s="90">
        <f>SUM(AM35)</f>
        <v>0</v>
      </c>
      <c r="AN34" s="90">
        <f>SUM(AN35)</f>
        <v>0</v>
      </c>
      <c r="AO34" s="90">
        <f>SUM(AO35)</f>
        <v>3737</v>
      </c>
      <c r="AP34" s="155">
        <f>SUM(AP35)</f>
        <v>3737</v>
      </c>
      <c r="AQ34" s="207">
        <f t="shared" si="3"/>
        <v>100</v>
      </c>
    </row>
    <row r="35" spans="1:43" s="24" customFormat="1" ht="60">
      <c r="A35" s="84"/>
      <c r="B35" s="78"/>
      <c r="C35" s="86">
        <v>2010</v>
      </c>
      <c r="D35" s="83" t="s">
        <v>280</v>
      </c>
      <c r="E35" s="76">
        <v>3737</v>
      </c>
      <c r="F35" s="127"/>
      <c r="G35" s="127"/>
      <c r="H35" s="90">
        <f>SUM(E35+F35-G35)</f>
        <v>3737</v>
      </c>
      <c r="I35" s="94"/>
      <c r="J35" s="94"/>
      <c r="K35" s="94">
        <f>SUM(H35+I35-J35)</f>
        <v>3737</v>
      </c>
      <c r="L35" s="94"/>
      <c r="M35" s="94"/>
      <c r="N35" s="94">
        <f>SUM(K35+L35-M35)</f>
        <v>3737</v>
      </c>
      <c r="O35" s="94"/>
      <c r="P35" s="94"/>
      <c r="Q35" s="94">
        <f>SUM(N35+O35-P35)</f>
        <v>3737</v>
      </c>
      <c r="R35" s="94"/>
      <c r="S35" s="94"/>
      <c r="T35" s="94">
        <f>SUM(Q35+R35-S35)</f>
        <v>3737</v>
      </c>
      <c r="U35" s="94"/>
      <c r="V35" s="94"/>
      <c r="W35" s="94">
        <f>SUM(T35+U35-V35)</f>
        <v>3737</v>
      </c>
      <c r="X35" s="94"/>
      <c r="Y35" s="94"/>
      <c r="Z35" s="94">
        <f>SUM(W35+X35-Y35)</f>
        <v>3737</v>
      </c>
      <c r="AA35" s="94"/>
      <c r="AB35" s="94"/>
      <c r="AC35" s="94">
        <f>SUM(Z35+AA35-AB35)</f>
        <v>3737</v>
      </c>
      <c r="AD35" s="94"/>
      <c r="AE35" s="94"/>
      <c r="AF35" s="94">
        <f>SUM(AC35+AD35-AE35)</f>
        <v>3737</v>
      </c>
      <c r="AG35" s="94"/>
      <c r="AH35" s="94"/>
      <c r="AI35" s="94">
        <f>SUM(AF35+AG35-AH35)</f>
        <v>3737</v>
      </c>
      <c r="AJ35" s="94"/>
      <c r="AK35" s="94"/>
      <c r="AL35" s="94">
        <f>SUM(AI35+AJ35-AK35)</f>
        <v>3737</v>
      </c>
      <c r="AM35" s="94"/>
      <c r="AN35" s="94"/>
      <c r="AO35" s="94">
        <f>SUM(AL35+AM35-AN35)</f>
        <v>3737</v>
      </c>
      <c r="AP35" s="155">
        <v>3737</v>
      </c>
      <c r="AQ35" s="207">
        <f t="shared" si="3"/>
        <v>100</v>
      </c>
    </row>
    <row r="36" spans="1:43" s="24" customFormat="1" ht="19.5" customHeight="1">
      <c r="A36" s="84"/>
      <c r="B36" s="78">
        <v>75107</v>
      </c>
      <c r="C36" s="86"/>
      <c r="D36" s="83" t="s">
        <v>331</v>
      </c>
      <c r="E36" s="76">
        <f>SUM(E37)</f>
        <v>0</v>
      </c>
      <c r="F36" s="76">
        <f>SUM(F37)</f>
        <v>0</v>
      </c>
      <c r="G36" s="76">
        <f>SUM(G37)</f>
        <v>0</v>
      </c>
      <c r="H36" s="76">
        <f>SUM(H37)</f>
        <v>0</v>
      </c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>
        <f aca="true" t="shared" si="29" ref="Z36:AO36">Z37</f>
        <v>0</v>
      </c>
      <c r="AA36" s="94">
        <f t="shared" si="29"/>
        <v>16894</v>
      </c>
      <c r="AB36" s="94">
        <f t="shared" si="29"/>
        <v>0</v>
      </c>
      <c r="AC36" s="94">
        <f t="shared" si="29"/>
        <v>38314</v>
      </c>
      <c r="AD36" s="94">
        <f t="shared" si="29"/>
        <v>21420</v>
      </c>
      <c r="AE36" s="94">
        <f t="shared" si="29"/>
        <v>0</v>
      </c>
      <c r="AF36" s="94">
        <f t="shared" si="29"/>
        <v>59734</v>
      </c>
      <c r="AG36" s="94">
        <f t="shared" si="29"/>
        <v>32000</v>
      </c>
      <c r="AH36" s="94">
        <f t="shared" si="29"/>
        <v>0</v>
      </c>
      <c r="AI36" s="94">
        <f t="shared" si="29"/>
        <v>70314</v>
      </c>
      <c r="AJ36" s="94">
        <f t="shared" si="29"/>
        <v>0</v>
      </c>
      <c r="AK36" s="94">
        <f t="shared" si="29"/>
        <v>0</v>
      </c>
      <c r="AL36" s="94">
        <f t="shared" si="29"/>
        <v>70314</v>
      </c>
      <c r="AM36" s="94">
        <f t="shared" si="29"/>
        <v>0</v>
      </c>
      <c r="AN36" s="94">
        <f t="shared" si="29"/>
        <v>0</v>
      </c>
      <c r="AO36" s="94">
        <f t="shared" si="29"/>
        <v>70314</v>
      </c>
      <c r="AP36" s="155">
        <f>SUM(AP37)</f>
        <v>69906</v>
      </c>
      <c r="AQ36" s="207">
        <f t="shared" si="3"/>
        <v>99.41974571209148</v>
      </c>
    </row>
    <row r="37" spans="1:43" s="24" customFormat="1" ht="60">
      <c r="A37" s="84"/>
      <c r="B37" s="78"/>
      <c r="C37" s="86">
        <v>2010</v>
      </c>
      <c r="D37" s="83" t="s">
        <v>280</v>
      </c>
      <c r="E37" s="76">
        <v>0</v>
      </c>
      <c r="F37" s="127"/>
      <c r="G37" s="127"/>
      <c r="H37" s="90">
        <v>0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>
        <v>0</v>
      </c>
      <c r="AA37" s="94">
        <v>16894</v>
      </c>
      <c r="AB37" s="94"/>
      <c r="AC37" s="94">
        <f>16894+21420</f>
        <v>38314</v>
      </c>
      <c r="AD37" s="94">
        <v>21420</v>
      </c>
      <c r="AE37" s="94"/>
      <c r="AF37" s="94">
        <f>AC37+AD37-AE37</f>
        <v>59734</v>
      </c>
      <c r="AG37" s="94">
        <v>32000</v>
      </c>
      <c r="AH37" s="94"/>
      <c r="AI37" s="94">
        <f>AC37+AG37-AH37</f>
        <v>70314</v>
      </c>
      <c r="AJ37" s="94"/>
      <c r="AK37" s="94"/>
      <c r="AL37" s="94">
        <f>SUM(AI37+AJ37-AK37)</f>
        <v>70314</v>
      </c>
      <c r="AM37" s="94"/>
      <c r="AN37" s="94"/>
      <c r="AO37" s="94">
        <f>SUM(AL37+AM37-AN37)</f>
        <v>70314</v>
      </c>
      <c r="AP37" s="155">
        <v>69906</v>
      </c>
      <c r="AQ37" s="207">
        <f t="shared" si="3"/>
        <v>99.41974571209148</v>
      </c>
    </row>
    <row r="38" spans="1:43" s="24" customFormat="1" ht="18" customHeight="1">
      <c r="A38" s="84"/>
      <c r="B38" s="78">
        <v>75108</v>
      </c>
      <c r="C38" s="86"/>
      <c r="D38" s="83" t="s">
        <v>321</v>
      </c>
      <c r="E38" s="76">
        <f>SUM(E39)</f>
        <v>0</v>
      </c>
      <c r="F38" s="76">
        <f>SUM(F39)</f>
        <v>0</v>
      </c>
      <c r="G38" s="76">
        <f>SUM(G39)</f>
        <v>0</v>
      </c>
      <c r="H38" s="76">
        <f>SUM(H39)</f>
        <v>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>
        <f>W39</f>
        <v>0</v>
      </c>
      <c r="X38" s="94">
        <f>X39</f>
        <v>18750</v>
      </c>
      <c r="Y38" s="94">
        <v>0</v>
      </c>
      <c r="Z38" s="94">
        <f>Z39</f>
        <v>18750</v>
      </c>
      <c r="AA38" s="94">
        <f>AA39</f>
        <v>26010</v>
      </c>
      <c r="AB38" s="94">
        <v>0</v>
      </c>
      <c r="AC38" s="94">
        <f>AC39</f>
        <v>44760</v>
      </c>
      <c r="AD38" s="94"/>
      <c r="AE38" s="94"/>
      <c r="AF38" s="94">
        <f>AF39</f>
        <v>44760</v>
      </c>
      <c r="AG38" s="94"/>
      <c r="AH38" s="94"/>
      <c r="AI38" s="94">
        <f>AI39</f>
        <v>44760</v>
      </c>
      <c r="AJ38" s="94"/>
      <c r="AK38" s="94"/>
      <c r="AL38" s="94">
        <f>AL39</f>
        <v>44760</v>
      </c>
      <c r="AM38" s="94"/>
      <c r="AN38" s="94"/>
      <c r="AO38" s="94">
        <f>AO39</f>
        <v>44760</v>
      </c>
      <c r="AP38" s="155">
        <f>SUM(AP39)</f>
        <v>44622</v>
      </c>
      <c r="AQ38" s="207">
        <f t="shared" si="3"/>
        <v>99.6916890080429</v>
      </c>
    </row>
    <row r="39" spans="1:43" s="24" customFormat="1" ht="60">
      <c r="A39" s="84"/>
      <c r="B39" s="78"/>
      <c r="C39" s="86">
        <v>2010</v>
      </c>
      <c r="D39" s="83" t="s">
        <v>280</v>
      </c>
      <c r="E39" s="76">
        <v>0</v>
      </c>
      <c r="F39" s="127"/>
      <c r="G39" s="127"/>
      <c r="H39" s="90">
        <v>0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>
        <v>0</v>
      </c>
      <c r="X39" s="94">
        <v>18750</v>
      </c>
      <c r="Y39" s="94">
        <v>0</v>
      </c>
      <c r="Z39" s="94">
        <f>W39+X39-Y39</f>
        <v>18750</v>
      </c>
      <c r="AA39" s="94">
        <v>26010</v>
      </c>
      <c r="AB39" s="94">
        <v>0</v>
      </c>
      <c r="AC39" s="94">
        <f>Z39+AA39-AB39</f>
        <v>44760</v>
      </c>
      <c r="AD39" s="94"/>
      <c r="AE39" s="94"/>
      <c r="AF39" s="94">
        <f>AC39+AD39-AE39</f>
        <v>44760</v>
      </c>
      <c r="AG39" s="94"/>
      <c r="AH39" s="94"/>
      <c r="AI39" s="94">
        <f>AF39+AG39-AH39</f>
        <v>44760</v>
      </c>
      <c r="AJ39" s="94"/>
      <c r="AK39" s="94"/>
      <c r="AL39" s="94">
        <f>AI39+AJ39-AK39</f>
        <v>44760</v>
      </c>
      <c r="AM39" s="94"/>
      <c r="AN39" s="94"/>
      <c r="AO39" s="94">
        <f>AL39+AM39-AN39</f>
        <v>44760</v>
      </c>
      <c r="AP39" s="155">
        <v>44622</v>
      </c>
      <c r="AQ39" s="207">
        <f t="shared" si="3"/>
        <v>99.6916890080429</v>
      </c>
    </row>
    <row r="40" spans="1:43" s="42" customFormat="1" ht="24">
      <c r="A40" s="30" t="s">
        <v>26</v>
      </c>
      <c r="B40" s="3"/>
      <c r="C40" s="20"/>
      <c r="D40" s="31" t="s">
        <v>27</v>
      </c>
      <c r="E40" s="66">
        <f>SUM(E43,E45,E41)</f>
        <v>2900</v>
      </c>
      <c r="F40" s="18">
        <f aca="true" t="shared" si="30" ref="F40:K40">SUM(F43,F45,)</f>
        <v>0</v>
      </c>
      <c r="G40" s="18">
        <f t="shared" si="30"/>
        <v>0</v>
      </c>
      <c r="H40" s="18">
        <f t="shared" si="30"/>
        <v>2900</v>
      </c>
      <c r="I40" s="18">
        <f t="shared" si="30"/>
        <v>0</v>
      </c>
      <c r="J40" s="18">
        <f t="shared" si="30"/>
        <v>0</v>
      </c>
      <c r="K40" s="18">
        <f t="shared" si="30"/>
        <v>2900</v>
      </c>
      <c r="L40" s="18">
        <f aca="true" t="shared" si="31" ref="L40:Q40">SUM(L43,L45,)</f>
        <v>0</v>
      </c>
      <c r="M40" s="18">
        <f t="shared" si="31"/>
        <v>0</v>
      </c>
      <c r="N40" s="18">
        <f t="shared" si="31"/>
        <v>2900</v>
      </c>
      <c r="O40" s="18">
        <f t="shared" si="31"/>
        <v>0</v>
      </c>
      <c r="P40" s="18">
        <f t="shared" si="31"/>
        <v>0</v>
      </c>
      <c r="Q40" s="18">
        <f t="shared" si="31"/>
        <v>2900</v>
      </c>
      <c r="R40" s="18">
        <f>SUM(R43,R45,)</f>
        <v>0</v>
      </c>
      <c r="S40" s="18">
        <f>SUM(S43,S45,)</f>
        <v>0</v>
      </c>
      <c r="T40" s="18">
        <f aca="true" t="shared" si="32" ref="T40:Z40">SUM(T43,T45,T41)</f>
        <v>7400</v>
      </c>
      <c r="U40" s="18">
        <f t="shared" si="32"/>
        <v>0</v>
      </c>
      <c r="V40" s="18">
        <f t="shared" si="32"/>
        <v>0</v>
      </c>
      <c r="W40" s="18">
        <f t="shared" si="32"/>
        <v>7400</v>
      </c>
      <c r="X40" s="18">
        <f t="shared" si="32"/>
        <v>2000</v>
      </c>
      <c r="Y40" s="18">
        <f t="shared" si="32"/>
        <v>0</v>
      </c>
      <c r="Z40" s="18">
        <f t="shared" si="32"/>
        <v>9400</v>
      </c>
      <c r="AA40" s="18">
        <f aca="true" t="shared" si="33" ref="AA40:AF40">SUM(AA43,AA45,AA41)</f>
        <v>0</v>
      </c>
      <c r="AB40" s="18">
        <f t="shared" si="33"/>
        <v>0</v>
      </c>
      <c r="AC40" s="18">
        <f t="shared" si="33"/>
        <v>9400</v>
      </c>
      <c r="AD40" s="18">
        <f t="shared" si="33"/>
        <v>0</v>
      </c>
      <c r="AE40" s="18">
        <f t="shared" si="33"/>
        <v>0</v>
      </c>
      <c r="AF40" s="18">
        <f t="shared" si="33"/>
        <v>9400</v>
      </c>
      <c r="AG40" s="18">
        <f aca="true" t="shared" si="34" ref="AG40:AL40">SUM(AG43,AG45,AG41)</f>
        <v>0</v>
      </c>
      <c r="AH40" s="18">
        <f t="shared" si="34"/>
        <v>0</v>
      </c>
      <c r="AI40" s="18">
        <f t="shared" si="34"/>
        <v>9400</v>
      </c>
      <c r="AJ40" s="18">
        <f t="shared" si="34"/>
        <v>600</v>
      </c>
      <c r="AK40" s="18">
        <f t="shared" si="34"/>
        <v>0</v>
      </c>
      <c r="AL40" s="18">
        <f t="shared" si="34"/>
        <v>10000</v>
      </c>
      <c r="AM40" s="18">
        <f>SUM(AM43,AM45,AM41)</f>
        <v>0</v>
      </c>
      <c r="AN40" s="18">
        <f>SUM(AN43,AN45,AN41)</f>
        <v>0</v>
      </c>
      <c r="AO40" s="18">
        <f>SUM(AO43,AO45,AO41)</f>
        <v>10000</v>
      </c>
      <c r="AP40" s="32">
        <f>SUM(AP41,AP43,AP45)</f>
        <v>9733</v>
      </c>
      <c r="AQ40" s="208">
        <f t="shared" si="3"/>
        <v>97.33000000000001</v>
      </c>
    </row>
    <row r="41" spans="1:43" s="24" customFormat="1" ht="24" customHeight="1">
      <c r="A41" s="77"/>
      <c r="B41" s="55">
        <v>75412</v>
      </c>
      <c r="C41" s="86"/>
      <c r="D41" s="83" t="s">
        <v>114</v>
      </c>
      <c r="E41" s="76">
        <f>SUM(E42)</f>
        <v>0</v>
      </c>
      <c r="F41" s="76">
        <f>SUM(F42)</f>
        <v>0</v>
      </c>
      <c r="G41" s="76">
        <f>SUM(G42)</f>
        <v>0</v>
      </c>
      <c r="H41" s="94">
        <f>SUM(E41+F41-G41)</f>
        <v>0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>
        <f aca="true" t="shared" si="35" ref="T41:AO41">SUM(T42)</f>
        <v>4500</v>
      </c>
      <c r="U41" s="90">
        <f t="shared" si="35"/>
        <v>0</v>
      </c>
      <c r="V41" s="90">
        <f t="shared" si="35"/>
        <v>0</v>
      </c>
      <c r="W41" s="90">
        <f t="shared" si="35"/>
        <v>4500</v>
      </c>
      <c r="X41" s="90">
        <f t="shared" si="35"/>
        <v>0</v>
      </c>
      <c r="Y41" s="90">
        <f t="shared" si="35"/>
        <v>0</v>
      </c>
      <c r="Z41" s="90">
        <f t="shared" si="35"/>
        <v>4500</v>
      </c>
      <c r="AA41" s="90">
        <f t="shared" si="35"/>
        <v>0</v>
      </c>
      <c r="AB41" s="90">
        <f t="shared" si="35"/>
        <v>0</v>
      </c>
      <c r="AC41" s="90">
        <f t="shared" si="35"/>
        <v>4500</v>
      </c>
      <c r="AD41" s="90">
        <f t="shared" si="35"/>
        <v>0</v>
      </c>
      <c r="AE41" s="90">
        <f t="shared" si="35"/>
        <v>0</v>
      </c>
      <c r="AF41" s="90">
        <f t="shared" si="35"/>
        <v>4500</v>
      </c>
      <c r="AG41" s="90">
        <f t="shared" si="35"/>
        <v>0</v>
      </c>
      <c r="AH41" s="90">
        <f t="shared" si="35"/>
        <v>0</v>
      </c>
      <c r="AI41" s="90">
        <f t="shared" si="35"/>
        <v>4500</v>
      </c>
      <c r="AJ41" s="90">
        <f t="shared" si="35"/>
        <v>0</v>
      </c>
      <c r="AK41" s="90">
        <f t="shared" si="35"/>
        <v>0</v>
      </c>
      <c r="AL41" s="90">
        <f t="shared" si="35"/>
        <v>4500</v>
      </c>
      <c r="AM41" s="90">
        <f t="shared" si="35"/>
        <v>0</v>
      </c>
      <c r="AN41" s="90">
        <f t="shared" si="35"/>
        <v>0</v>
      </c>
      <c r="AO41" s="90">
        <f t="shared" si="35"/>
        <v>4500</v>
      </c>
      <c r="AP41" s="155">
        <f>SUM(AP42)</f>
        <v>4500</v>
      </c>
      <c r="AQ41" s="207">
        <f t="shared" si="3"/>
        <v>100</v>
      </c>
    </row>
    <row r="42" spans="1:43" s="24" customFormat="1" ht="60">
      <c r="A42" s="77"/>
      <c r="B42" s="55"/>
      <c r="C42" s="86">
        <v>6290</v>
      </c>
      <c r="D42" s="83" t="s">
        <v>381</v>
      </c>
      <c r="E42" s="76">
        <v>0</v>
      </c>
      <c r="F42" s="90"/>
      <c r="G42" s="90"/>
      <c r="H42" s="94">
        <f>SUM(E42+F42-G42)</f>
        <v>0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>
        <v>4500</v>
      </c>
      <c r="U42" s="90">
        <v>0</v>
      </c>
      <c r="V42" s="90"/>
      <c r="W42" s="90">
        <v>4500</v>
      </c>
      <c r="X42" s="90"/>
      <c r="Y42" s="90"/>
      <c r="Z42" s="90">
        <v>4500</v>
      </c>
      <c r="AA42" s="90"/>
      <c r="AB42" s="90"/>
      <c r="AC42" s="90">
        <v>4500</v>
      </c>
      <c r="AD42" s="90"/>
      <c r="AE42" s="90"/>
      <c r="AF42" s="90">
        <v>4500</v>
      </c>
      <c r="AG42" s="90"/>
      <c r="AH42" s="90"/>
      <c r="AI42" s="90">
        <v>4500</v>
      </c>
      <c r="AJ42" s="90"/>
      <c r="AK42" s="90"/>
      <c r="AL42" s="90">
        <v>4500</v>
      </c>
      <c r="AM42" s="90"/>
      <c r="AN42" s="90"/>
      <c r="AO42" s="90">
        <v>4500</v>
      </c>
      <c r="AP42" s="155">
        <v>4500</v>
      </c>
      <c r="AQ42" s="207">
        <f t="shared" si="3"/>
        <v>100</v>
      </c>
    </row>
    <row r="43" spans="1:43" s="24" customFormat="1" ht="21.75" customHeight="1">
      <c r="A43" s="84"/>
      <c r="B43" s="78" t="s">
        <v>28</v>
      </c>
      <c r="C43" s="86"/>
      <c r="D43" s="83" t="s">
        <v>29</v>
      </c>
      <c r="E43" s="76">
        <f aca="true" t="shared" si="36" ref="E43:AO43">SUM(E44)</f>
        <v>1400</v>
      </c>
      <c r="F43" s="90">
        <f t="shared" si="36"/>
        <v>0</v>
      </c>
      <c r="G43" s="90">
        <f t="shared" si="36"/>
        <v>0</v>
      </c>
      <c r="H43" s="94">
        <f>SUM(E43+F43-G43)</f>
        <v>1400</v>
      </c>
      <c r="I43" s="90">
        <f t="shared" si="36"/>
        <v>0</v>
      </c>
      <c r="J43" s="90">
        <f t="shared" si="36"/>
        <v>0</v>
      </c>
      <c r="K43" s="90">
        <f t="shared" si="36"/>
        <v>1400</v>
      </c>
      <c r="L43" s="90">
        <f t="shared" si="36"/>
        <v>0</v>
      </c>
      <c r="M43" s="90">
        <f t="shared" si="36"/>
        <v>0</v>
      </c>
      <c r="N43" s="90">
        <f t="shared" si="36"/>
        <v>1400</v>
      </c>
      <c r="O43" s="90">
        <f t="shared" si="36"/>
        <v>0</v>
      </c>
      <c r="P43" s="90">
        <f t="shared" si="36"/>
        <v>0</v>
      </c>
      <c r="Q43" s="90">
        <f t="shared" si="36"/>
        <v>1400</v>
      </c>
      <c r="R43" s="90">
        <f t="shared" si="36"/>
        <v>0</v>
      </c>
      <c r="S43" s="90">
        <f t="shared" si="36"/>
        <v>0</v>
      </c>
      <c r="T43" s="90">
        <f t="shared" si="36"/>
        <v>1400</v>
      </c>
      <c r="U43" s="90">
        <f t="shared" si="36"/>
        <v>0</v>
      </c>
      <c r="V43" s="90">
        <f t="shared" si="36"/>
        <v>0</v>
      </c>
      <c r="W43" s="90">
        <f t="shared" si="36"/>
        <v>1400</v>
      </c>
      <c r="X43" s="90">
        <f t="shared" si="36"/>
        <v>0</v>
      </c>
      <c r="Y43" s="90">
        <f t="shared" si="36"/>
        <v>0</v>
      </c>
      <c r="Z43" s="90">
        <f t="shared" si="36"/>
        <v>1400</v>
      </c>
      <c r="AA43" s="90">
        <f t="shared" si="36"/>
        <v>0</v>
      </c>
      <c r="AB43" s="90">
        <f t="shared" si="36"/>
        <v>0</v>
      </c>
      <c r="AC43" s="90">
        <f t="shared" si="36"/>
        <v>1400</v>
      </c>
      <c r="AD43" s="90">
        <f t="shared" si="36"/>
        <v>0</v>
      </c>
      <c r="AE43" s="90">
        <f t="shared" si="36"/>
        <v>0</v>
      </c>
      <c r="AF43" s="90">
        <f t="shared" si="36"/>
        <v>1400</v>
      </c>
      <c r="AG43" s="90">
        <f t="shared" si="36"/>
        <v>0</v>
      </c>
      <c r="AH43" s="90">
        <f t="shared" si="36"/>
        <v>0</v>
      </c>
      <c r="AI43" s="90">
        <f t="shared" si="36"/>
        <v>1400</v>
      </c>
      <c r="AJ43" s="90">
        <f t="shared" si="36"/>
        <v>0</v>
      </c>
      <c r="AK43" s="90">
        <f t="shared" si="36"/>
        <v>0</v>
      </c>
      <c r="AL43" s="90">
        <f t="shared" si="36"/>
        <v>1400</v>
      </c>
      <c r="AM43" s="90">
        <f t="shared" si="36"/>
        <v>0</v>
      </c>
      <c r="AN43" s="90">
        <f t="shared" si="36"/>
        <v>0</v>
      </c>
      <c r="AO43" s="90">
        <f t="shared" si="36"/>
        <v>1400</v>
      </c>
      <c r="AP43" s="155">
        <f>SUM(AP44)</f>
        <v>1400</v>
      </c>
      <c r="AQ43" s="207">
        <f t="shared" si="3"/>
        <v>100</v>
      </c>
    </row>
    <row r="44" spans="1:43" s="24" customFormat="1" ht="60">
      <c r="A44" s="84"/>
      <c r="B44" s="78"/>
      <c r="C44" s="79">
        <v>2010</v>
      </c>
      <c r="D44" s="83" t="s">
        <v>280</v>
      </c>
      <c r="E44" s="76">
        <v>1400</v>
      </c>
      <c r="F44" s="127"/>
      <c r="G44" s="127"/>
      <c r="H44" s="94">
        <f>SUM(E44+F44-G44)</f>
        <v>1400</v>
      </c>
      <c r="I44" s="94"/>
      <c r="J44" s="94"/>
      <c r="K44" s="94">
        <f>SUM(H44+I44-J44)</f>
        <v>1400</v>
      </c>
      <c r="L44" s="94"/>
      <c r="M44" s="94"/>
      <c r="N44" s="94">
        <f>SUM(K44+L44-M44)</f>
        <v>1400</v>
      </c>
      <c r="O44" s="94"/>
      <c r="P44" s="94"/>
      <c r="Q44" s="94">
        <f>SUM(N44+O44-P44)</f>
        <v>1400</v>
      </c>
      <c r="R44" s="94"/>
      <c r="S44" s="94"/>
      <c r="T44" s="94">
        <f>SUM(Q44+R44-S44)</f>
        <v>1400</v>
      </c>
      <c r="U44" s="94"/>
      <c r="V44" s="94"/>
      <c r="W44" s="94">
        <f>SUM(T44+U44-V44)</f>
        <v>1400</v>
      </c>
      <c r="X44" s="94"/>
      <c r="Y44" s="94"/>
      <c r="Z44" s="94">
        <f>SUM(W44+X44-Y44)</f>
        <v>1400</v>
      </c>
      <c r="AA44" s="94"/>
      <c r="AB44" s="94"/>
      <c r="AC44" s="94">
        <f>SUM(Z44+AA44-AB44)</f>
        <v>1400</v>
      </c>
      <c r="AD44" s="94"/>
      <c r="AE44" s="94"/>
      <c r="AF44" s="94">
        <f>SUM(AC44+AD44-AE44)</f>
        <v>1400</v>
      </c>
      <c r="AG44" s="94"/>
      <c r="AH44" s="94"/>
      <c r="AI44" s="94">
        <f>SUM(AF44+AG44-AH44)</f>
        <v>1400</v>
      </c>
      <c r="AJ44" s="94"/>
      <c r="AK44" s="94"/>
      <c r="AL44" s="94">
        <f>SUM(AI44+AJ44-AK44)</f>
        <v>1400</v>
      </c>
      <c r="AM44" s="94"/>
      <c r="AN44" s="94"/>
      <c r="AO44" s="94">
        <f>SUM(AL44+AM44-AN44)</f>
        <v>1400</v>
      </c>
      <c r="AP44" s="155">
        <v>1400</v>
      </c>
      <c r="AQ44" s="207">
        <f t="shared" si="3"/>
        <v>100</v>
      </c>
    </row>
    <row r="45" spans="1:43" s="24" customFormat="1" ht="21.75" customHeight="1">
      <c r="A45" s="84"/>
      <c r="B45" s="78" t="s">
        <v>30</v>
      </c>
      <c r="C45" s="86"/>
      <c r="D45" s="83" t="s">
        <v>31</v>
      </c>
      <c r="E45" s="76">
        <f>SUM(E46:E47)</f>
        <v>1500</v>
      </c>
      <c r="F45" s="76">
        <f>SUM(F46:F47)</f>
        <v>0</v>
      </c>
      <c r="G45" s="76">
        <f>SUM(G46:G47)</f>
        <v>0</v>
      </c>
      <c r="H45" s="76">
        <f>SUM(H46:H47)</f>
        <v>1500</v>
      </c>
      <c r="I45" s="90">
        <f aca="true" t="shared" si="37" ref="I45:AH45">SUM(I46)</f>
        <v>0</v>
      </c>
      <c r="J45" s="90">
        <f t="shared" si="37"/>
        <v>0</v>
      </c>
      <c r="K45" s="90">
        <f t="shared" si="37"/>
        <v>1500</v>
      </c>
      <c r="L45" s="90">
        <f t="shared" si="37"/>
        <v>0</v>
      </c>
      <c r="M45" s="90">
        <f t="shared" si="37"/>
        <v>0</v>
      </c>
      <c r="N45" s="90">
        <f t="shared" si="37"/>
        <v>1500</v>
      </c>
      <c r="O45" s="90">
        <f t="shared" si="37"/>
        <v>0</v>
      </c>
      <c r="P45" s="90">
        <f t="shared" si="37"/>
        <v>0</v>
      </c>
      <c r="Q45" s="90">
        <f t="shared" si="37"/>
        <v>1500</v>
      </c>
      <c r="R45" s="90">
        <f t="shared" si="37"/>
        <v>0</v>
      </c>
      <c r="S45" s="90">
        <f t="shared" si="37"/>
        <v>0</v>
      </c>
      <c r="T45" s="90">
        <f t="shared" si="37"/>
        <v>1500</v>
      </c>
      <c r="U45" s="90">
        <f t="shared" si="37"/>
        <v>0</v>
      </c>
      <c r="V45" s="90">
        <f t="shared" si="37"/>
        <v>0</v>
      </c>
      <c r="W45" s="90">
        <f t="shared" si="37"/>
        <v>1500</v>
      </c>
      <c r="X45" s="90">
        <f t="shared" si="37"/>
        <v>2000</v>
      </c>
      <c r="Y45" s="90">
        <f t="shared" si="37"/>
        <v>0</v>
      </c>
      <c r="Z45" s="90">
        <f t="shared" si="37"/>
        <v>3500</v>
      </c>
      <c r="AA45" s="90">
        <v>0</v>
      </c>
      <c r="AB45" s="90">
        <f t="shared" si="37"/>
        <v>0</v>
      </c>
      <c r="AC45" s="90">
        <f t="shared" si="37"/>
        <v>3500</v>
      </c>
      <c r="AD45" s="90">
        <v>0</v>
      </c>
      <c r="AE45" s="90">
        <f t="shared" si="37"/>
        <v>0</v>
      </c>
      <c r="AF45" s="90">
        <f t="shared" si="37"/>
        <v>3500</v>
      </c>
      <c r="AG45" s="90">
        <v>0</v>
      </c>
      <c r="AH45" s="90">
        <f t="shared" si="37"/>
        <v>0</v>
      </c>
      <c r="AI45" s="90">
        <f aca="true" t="shared" si="38" ref="AI45:AO45">SUM(AI46:AI47)</f>
        <v>3500</v>
      </c>
      <c r="AJ45" s="90">
        <f t="shared" si="38"/>
        <v>600</v>
      </c>
      <c r="AK45" s="90">
        <f t="shared" si="38"/>
        <v>0</v>
      </c>
      <c r="AL45" s="90">
        <f t="shared" si="38"/>
        <v>4100</v>
      </c>
      <c r="AM45" s="90">
        <f t="shared" si="38"/>
        <v>0</v>
      </c>
      <c r="AN45" s="90">
        <f t="shared" si="38"/>
        <v>0</v>
      </c>
      <c r="AO45" s="90">
        <f t="shared" si="38"/>
        <v>4100</v>
      </c>
      <c r="AP45" s="155">
        <f>SUM(AP46:AP47)</f>
        <v>3833</v>
      </c>
      <c r="AQ45" s="207">
        <f t="shared" si="3"/>
        <v>93.48780487804879</v>
      </c>
    </row>
    <row r="46" spans="1:43" s="24" customFormat="1" ht="24">
      <c r="A46" s="84"/>
      <c r="B46" s="55"/>
      <c r="C46" s="79" t="s">
        <v>194</v>
      </c>
      <c r="D46" s="83" t="s">
        <v>32</v>
      </c>
      <c r="E46" s="76">
        <v>1500</v>
      </c>
      <c r="F46" s="127"/>
      <c r="G46" s="127"/>
      <c r="H46" s="94">
        <f>SUM(E46+F46-G46)</f>
        <v>1500</v>
      </c>
      <c r="I46" s="94"/>
      <c r="J46" s="94"/>
      <c r="K46" s="94">
        <f>SUM(H46+I46-J46)</f>
        <v>1500</v>
      </c>
      <c r="L46" s="94"/>
      <c r="M46" s="94"/>
      <c r="N46" s="94">
        <f>SUM(K46+L46-M46)</f>
        <v>1500</v>
      </c>
      <c r="O46" s="94"/>
      <c r="P46" s="94"/>
      <c r="Q46" s="94">
        <f>SUM(N46+O46-P46)</f>
        <v>1500</v>
      </c>
      <c r="R46" s="94"/>
      <c r="S46" s="94"/>
      <c r="T46" s="94">
        <f>SUM(Q46+R46-S46)</f>
        <v>1500</v>
      </c>
      <c r="U46" s="94"/>
      <c r="V46" s="94"/>
      <c r="W46" s="94">
        <f>SUM(T46+U46-V46)</f>
        <v>1500</v>
      </c>
      <c r="X46" s="94">
        <v>2000</v>
      </c>
      <c r="Y46" s="94"/>
      <c r="Z46" s="94">
        <f>SUM(W46+X46-Y46)</f>
        <v>3500</v>
      </c>
      <c r="AA46" s="94">
        <v>0</v>
      </c>
      <c r="AB46" s="94"/>
      <c r="AC46" s="94">
        <f>SUM(Z46+AA46-AB46)</f>
        <v>3500</v>
      </c>
      <c r="AD46" s="94">
        <v>0</v>
      </c>
      <c r="AE46" s="94"/>
      <c r="AF46" s="94">
        <f>SUM(AC46+AD46-AE46)</f>
        <v>3500</v>
      </c>
      <c r="AG46" s="94"/>
      <c r="AH46" s="94"/>
      <c r="AI46" s="94">
        <f>SUM(AF46+AG46-AH46)</f>
        <v>3500</v>
      </c>
      <c r="AJ46" s="94">
        <v>500</v>
      </c>
      <c r="AK46" s="94"/>
      <c r="AL46" s="94">
        <f>SUM(AI46+AJ46-AK46)</f>
        <v>4000</v>
      </c>
      <c r="AM46" s="94"/>
      <c r="AN46" s="94"/>
      <c r="AO46" s="94">
        <f>SUM(AL46+AM46-AN46)</f>
        <v>4000</v>
      </c>
      <c r="AP46" s="155">
        <v>3735</v>
      </c>
      <c r="AQ46" s="207">
        <f t="shared" si="3"/>
        <v>93.375</v>
      </c>
    </row>
    <row r="47" spans="1:43" s="24" customFormat="1" ht="21" customHeight="1">
      <c r="A47" s="84"/>
      <c r="B47" s="55"/>
      <c r="C47" s="79" t="s">
        <v>192</v>
      </c>
      <c r="D47" s="83" t="s">
        <v>15</v>
      </c>
      <c r="E47" s="76">
        <v>0</v>
      </c>
      <c r="F47" s="127"/>
      <c r="G47" s="127"/>
      <c r="H47" s="94">
        <v>0</v>
      </c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>
        <v>0</v>
      </c>
      <c r="AJ47" s="94">
        <v>100</v>
      </c>
      <c r="AK47" s="94"/>
      <c r="AL47" s="94">
        <f>SUM(AI47+AJ47-AK47)</f>
        <v>100</v>
      </c>
      <c r="AM47" s="94"/>
      <c r="AN47" s="94"/>
      <c r="AO47" s="94">
        <f>SUM(AL47+AM47-AN47)</f>
        <v>100</v>
      </c>
      <c r="AP47" s="155">
        <v>98</v>
      </c>
      <c r="AQ47" s="207">
        <f t="shared" si="3"/>
        <v>98</v>
      </c>
    </row>
    <row r="48" spans="1:43" s="42" customFormat="1" ht="75.75" customHeight="1">
      <c r="A48" s="30" t="s">
        <v>33</v>
      </c>
      <c r="B48" s="3"/>
      <c r="C48" s="20"/>
      <c r="D48" s="31" t="s">
        <v>181</v>
      </c>
      <c r="E48" s="66">
        <f aca="true" t="shared" si="39" ref="E48:K48">SUM(E49,E52,E60,E72,E78,)</f>
        <v>16123131</v>
      </c>
      <c r="F48" s="66">
        <f t="shared" si="39"/>
        <v>37694</v>
      </c>
      <c r="G48" s="66">
        <f t="shared" si="39"/>
        <v>0</v>
      </c>
      <c r="H48" s="66">
        <f t="shared" si="39"/>
        <v>16160825</v>
      </c>
      <c r="I48" s="66">
        <f t="shared" si="39"/>
        <v>0</v>
      </c>
      <c r="J48" s="66">
        <f t="shared" si="39"/>
        <v>0</v>
      </c>
      <c r="K48" s="66">
        <f t="shared" si="39"/>
        <v>16160825</v>
      </c>
      <c r="L48" s="66">
        <f aca="true" t="shared" si="40" ref="L48:Q48">SUM(L49,L52,L60,L72,L78,)</f>
        <v>0</v>
      </c>
      <c r="M48" s="66">
        <f t="shared" si="40"/>
        <v>0</v>
      </c>
      <c r="N48" s="66">
        <f t="shared" si="40"/>
        <v>16160825</v>
      </c>
      <c r="O48" s="66">
        <f t="shared" si="40"/>
        <v>0</v>
      </c>
      <c r="P48" s="66">
        <f t="shared" si="40"/>
        <v>0</v>
      </c>
      <c r="Q48" s="66">
        <f t="shared" si="40"/>
        <v>16160825</v>
      </c>
      <c r="R48" s="66">
        <f aca="true" t="shared" si="41" ref="R48:W48">SUM(R49,R52,R60,R72,R78,)</f>
        <v>0</v>
      </c>
      <c r="S48" s="66">
        <f t="shared" si="41"/>
        <v>0</v>
      </c>
      <c r="T48" s="66">
        <f t="shared" si="41"/>
        <v>16160825</v>
      </c>
      <c r="U48" s="66">
        <f t="shared" si="41"/>
        <v>0</v>
      </c>
      <c r="V48" s="66">
        <f t="shared" si="41"/>
        <v>0</v>
      </c>
      <c r="W48" s="66">
        <f t="shared" si="41"/>
        <v>16160825</v>
      </c>
      <c r="X48" s="66">
        <f>SUM(X49,X52,X60,X72,X78,)</f>
        <v>391780</v>
      </c>
      <c r="Y48" s="66">
        <f>SUM(Y49,Y52,Y60,Y72,Y78,)</f>
        <v>53000</v>
      </c>
      <c r="Z48" s="66">
        <f>SUM(Z49,Z52,Z60,Z72,Z78,)</f>
        <v>16499605</v>
      </c>
      <c r="AA48" s="66">
        <f>SUM(AA49,AA52,AA60,AA72,AA78,)</f>
        <v>0</v>
      </c>
      <c r="AB48" s="66">
        <f>SUM(AB49,AB52,AB60,AB72,AB78,)</f>
        <v>0</v>
      </c>
      <c r="AC48" s="66">
        <f aca="true" t="shared" si="42" ref="AC48:AI48">SUM(AC49,AC52,AC60,AC72,AC78,)</f>
        <v>16499605</v>
      </c>
      <c r="AD48" s="66">
        <f t="shared" si="42"/>
        <v>0</v>
      </c>
      <c r="AE48" s="66">
        <f t="shared" si="42"/>
        <v>0</v>
      </c>
      <c r="AF48" s="66">
        <f t="shared" si="42"/>
        <v>16499605</v>
      </c>
      <c r="AG48" s="66">
        <f t="shared" si="42"/>
        <v>13000</v>
      </c>
      <c r="AH48" s="66">
        <f t="shared" si="42"/>
        <v>0</v>
      </c>
      <c r="AI48" s="66">
        <f t="shared" si="42"/>
        <v>16512605</v>
      </c>
      <c r="AJ48" s="66">
        <f aca="true" t="shared" si="43" ref="AJ48:AO48">SUM(AJ49,AJ52,AJ60,AJ72,AJ78,)</f>
        <v>89495</v>
      </c>
      <c r="AK48" s="66">
        <f t="shared" si="43"/>
        <v>0</v>
      </c>
      <c r="AL48" s="66">
        <f t="shared" si="43"/>
        <v>16602100</v>
      </c>
      <c r="AM48" s="66">
        <f t="shared" si="43"/>
        <v>115400</v>
      </c>
      <c r="AN48" s="66">
        <f t="shared" si="43"/>
        <v>75000</v>
      </c>
      <c r="AO48" s="66">
        <f t="shared" si="43"/>
        <v>16642500</v>
      </c>
      <c r="AP48" s="32">
        <f>SUM(AP49,AP52,AP60,AP72,AP78,)</f>
        <v>16992250</v>
      </c>
      <c r="AQ48" s="208">
        <f t="shared" si="3"/>
        <v>102.10154724350309</v>
      </c>
    </row>
    <row r="49" spans="1:43" s="24" customFormat="1" ht="24">
      <c r="A49" s="77"/>
      <c r="B49" s="55">
        <v>75601</v>
      </c>
      <c r="C49" s="86"/>
      <c r="D49" s="83" t="s">
        <v>35</v>
      </c>
      <c r="E49" s="76">
        <f aca="true" t="shared" si="44" ref="E49:K49">SUM(E50:E51)</f>
        <v>44300</v>
      </c>
      <c r="F49" s="76">
        <f t="shared" si="44"/>
        <v>0</v>
      </c>
      <c r="G49" s="76">
        <f t="shared" si="44"/>
        <v>0</v>
      </c>
      <c r="H49" s="76">
        <f t="shared" si="44"/>
        <v>44300</v>
      </c>
      <c r="I49" s="76">
        <f t="shared" si="44"/>
        <v>0</v>
      </c>
      <c r="J49" s="76">
        <f t="shared" si="44"/>
        <v>0</v>
      </c>
      <c r="K49" s="76">
        <f t="shared" si="44"/>
        <v>44300</v>
      </c>
      <c r="L49" s="76">
        <f aca="true" t="shared" si="45" ref="L49:Q49">SUM(L50:L51)</f>
        <v>0</v>
      </c>
      <c r="M49" s="76">
        <f t="shared" si="45"/>
        <v>0</v>
      </c>
      <c r="N49" s="76">
        <f t="shared" si="45"/>
        <v>44300</v>
      </c>
      <c r="O49" s="76">
        <f t="shared" si="45"/>
        <v>0</v>
      </c>
      <c r="P49" s="76">
        <f t="shared" si="45"/>
        <v>0</v>
      </c>
      <c r="Q49" s="76">
        <f t="shared" si="45"/>
        <v>44300</v>
      </c>
      <c r="R49" s="76">
        <f aca="true" t="shared" si="46" ref="R49:W49">SUM(R50:R51)</f>
        <v>0</v>
      </c>
      <c r="S49" s="76">
        <f t="shared" si="46"/>
        <v>0</v>
      </c>
      <c r="T49" s="76">
        <f t="shared" si="46"/>
        <v>44300</v>
      </c>
      <c r="U49" s="76">
        <f t="shared" si="46"/>
        <v>0</v>
      </c>
      <c r="V49" s="76">
        <f t="shared" si="46"/>
        <v>0</v>
      </c>
      <c r="W49" s="76">
        <f t="shared" si="46"/>
        <v>44300</v>
      </c>
      <c r="X49" s="76">
        <f>SUM(X50:X51)</f>
        <v>600</v>
      </c>
      <c r="Y49" s="76">
        <f>SUM(Y50:Y51)</f>
        <v>0</v>
      </c>
      <c r="Z49" s="76">
        <f>SUM(Z50:Z51)</f>
        <v>44900</v>
      </c>
      <c r="AA49" s="76">
        <v>0</v>
      </c>
      <c r="AB49" s="76">
        <f>SUM(AB50:AB51)</f>
        <v>0</v>
      </c>
      <c r="AC49" s="76">
        <f>SUM(AC50:AC51)</f>
        <v>44900</v>
      </c>
      <c r="AD49" s="76">
        <v>0</v>
      </c>
      <c r="AE49" s="76">
        <f>SUM(AE50:AE51)</f>
        <v>0</v>
      </c>
      <c r="AF49" s="76">
        <f>SUM(AF50:AF51)</f>
        <v>44900</v>
      </c>
      <c r="AG49" s="76">
        <v>0</v>
      </c>
      <c r="AH49" s="76">
        <f>SUM(AH50:AH51)</f>
        <v>0</v>
      </c>
      <c r="AI49" s="76">
        <f>SUM(AI50:AI51)</f>
        <v>44900</v>
      </c>
      <c r="AJ49" s="76">
        <v>0</v>
      </c>
      <c r="AK49" s="76">
        <f aca="true" t="shared" si="47" ref="AK49:AP49">SUM(AK50:AK51)</f>
        <v>0</v>
      </c>
      <c r="AL49" s="76">
        <f t="shared" si="47"/>
        <v>44900</v>
      </c>
      <c r="AM49" s="76">
        <f t="shared" si="47"/>
        <v>1100</v>
      </c>
      <c r="AN49" s="76">
        <f t="shared" si="47"/>
        <v>0</v>
      </c>
      <c r="AO49" s="76">
        <f t="shared" si="47"/>
        <v>46000</v>
      </c>
      <c r="AP49" s="155">
        <f t="shared" si="47"/>
        <v>51232</v>
      </c>
      <c r="AQ49" s="207">
        <f t="shared" si="3"/>
        <v>111.37391304347825</v>
      </c>
    </row>
    <row r="50" spans="1:43" s="24" customFormat="1" ht="36">
      <c r="A50" s="77"/>
      <c r="B50" s="55"/>
      <c r="C50" s="85" t="s">
        <v>195</v>
      </c>
      <c r="D50" s="83" t="s">
        <v>36</v>
      </c>
      <c r="E50" s="76">
        <v>44000</v>
      </c>
      <c r="F50" s="127"/>
      <c r="G50" s="127"/>
      <c r="H50" s="94">
        <f aca="true" t="shared" si="48" ref="H50:H132">SUM(E50+F50-G50)</f>
        <v>44000</v>
      </c>
      <c r="I50" s="94"/>
      <c r="J50" s="94"/>
      <c r="K50" s="94">
        <f>SUM(H50+I50-J50)</f>
        <v>44000</v>
      </c>
      <c r="L50" s="94"/>
      <c r="M50" s="94"/>
      <c r="N50" s="94">
        <f>SUM(K50+L50-M50)</f>
        <v>44000</v>
      </c>
      <c r="O50" s="94"/>
      <c r="P50" s="94"/>
      <c r="Q50" s="94">
        <f>SUM(N50+O50-P50)</f>
        <v>44000</v>
      </c>
      <c r="R50" s="94"/>
      <c r="S50" s="94"/>
      <c r="T50" s="94">
        <f>SUM(Q50+R50-S50)</f>
        <v>44000</v>
      </c>
      <c r="U50" s="94"/>
      <c r="V50" s="94"/>
      <c r="W50" s="94">
        <f>SUM(T50+U50-V50)</f>
        <v>44000</v>
      </c>
      <c r="X50" s="94"/>
      <c r="Y50" s="94"/>
      <c r="Z50" s="94">
        <f>SUM(W50+X50-Y50)</f>
        <v>44000</v>
      </c>
      <c r="AA50" s="94"/>
      <c r="AB50" s="94"/>
      <c r="AC50" s="94">
        <f>SUM(Z50+AA50-AB50)</f>
        <v>44000</v>
      </c>
      <c r="AD50" s="94"/>
      <c r="AE50" s="94"/>
      <c r="AF50" s="94">
        <f>SUM(AC50+AD50-AE50)</f>
        <v>44000</v>
      </c>
      <c r="AG50" s="94"/>
      <c r="AH50" s="94"/>
      <c r="AI50" s="94">
        <f>SUM(AF50+AG50-AH50)</f>
        <v>44000</v>
      </c>
      <c r="AJ50" s="94"/>
      <c r="AK50" s="94"/>
      <c r="AL50" s="94">
        <f>SUM(AI50+AJ50-AK50)</f>
        <v>44000</v>
      </c>
      <c r="AM50" s="94"/>
      <c r="AN50" s="94"/>
      <c r="AO50" s="94">
        <f>SUM(AL50+AM50-AN50)</f>
        <v>44000</v>
      </c>
      <c r="AP50" s="155">
        <v>49274</v>
      </c>
      <c r="AQ50" s="207">
        <f t="shared" si="3"/>
        <v>111.98636363636363</v>
      </c>
    </row>
    <row r="51" spans="1:43" s="24" customFormat="1" ht="24">
      <c r="A51" s="77"/>
      <c r="B51" s="55"/>
      <c r="C51" s="85" t="s">
        <v>196</v>
      </c>
      <c r="D51" s="83" t="s">
        <v>382</v>
      </c>
      <c r="E51" s="76">
        <v>300</v>
      </c>
      <c r="F51" s="127"/>
      <c r="G51" s="127"/>
      <c r="H51" s="94">
        <f t="shared" si="48"/>
        <v>300</v>
      </c>
      <c r="I51" s="94"/>
      <c r="J51" s="94"/>
      <c r="K51" s="94">
        <f>SUM(H51+I51-J51)</f>
        <v>300</v>
      </c>
      <c r="L51" s="94"/>
      <c r="M51" s="94"/>
      <c r="N51" s="94">
        <f>SUM(K51+L51-M51)</f>
        <v>300</v>
      </c>
      <c r="O51" s="94"/>
      <c r="P51" s="94"/>
      <c r="Q51" s="94">
        <f>SUM(N51+O51-P51)</f>
        <v>300</v>
      </c>
      <c r="R51" s="94"/>
      <c r="S51" s="94"/>
      <c r="T51" s="94">
        <f>SUM(Q51+R51-S51)</f>
        <v>300</v>
      </c>
      <c r="U51" s="94"/>
      <c r="V51" s="94"/>
      <c r="W51" s="94">
        <f>SUM(T51+U51-V51)</f>
        <v>300</v>
      </c>
      <c r="X51" s="94">
        <v>600</v>
      </c>
      <c r="Y51" s="94"/>
      <c r="Z51" s="94">
        <f>SUM(W51+X51-Y51)</f>
        <v>900</v>
      </c>
      <c r="AA51" s="94">
        <v>0</v>
      </c>
      <c r="AB51" s="94"/>
      <c r="AC51" s="94">
        <f>SUM(Z51+AA51-AB51)</f>
        <v>900</v>
      </c>
      <c r="AD51" s="94"/>
      <c r="AE51" s="94"/>
      <c r="AF51" s="94">
        <f>SUM(AC51+AD51-AE51)</f>
        <v>900</v>
      </c>
      <c r="AG51" s="94"/>
      <c r="AH51" s="94"/>
      <c r="AI51" s="94">
        <f>SUM(AF51+AG51-AH51)</f>
        <v>900</v>
      </c>
      <c r="AJ51" s="94"/>
      <c r="AK51" s="94"/>
      <c r="AL51" s="94">
        <f>SUM(AI51+AJ51-AK51)</f>
        <v>900</v>
      </c>
      <c r="AM51" s="94">
        <v>1100</v>
      </c>
      <c r="AN51" s="94"/>
      <c r="AO51" s="94">
        <f>SUM(AL51+AM51-AN51)</f>
        <v>2000</v>
      </c>
      <c r="AP51" s="155">
        <v>1958</v>
      </c>
      <c r="AQ51" s="207">
        <f t="shared" si="3"/>
        <v>97.89999999999999</v>
      </c>
    </row>
    <row r="52" spans="1:43" s="24" customFormat="1" ht="57.75" customHeight="1">
      <c r="A52" s="77"/>
      <c r="B52" s="78" t="s">
        <v>37</v>
      </c>
      <c r="C52" s="86"/>
      <c r="D52" s="83" t="s">
        <v>243</v>
      </c>
      <c r="E52" s="76">
        <f aca="true" t="shared" si="49" ref="E52:K52">SUM(E53:E59)</f>
        <v>6441323</v>
      </c>
      <c r="F52" s="76">
        <f t="shared" si="49"/>
        <v>0</v>
      </c>
      <c r="G52" s="76">
        <f t="shared" si="49"/>
        <v>0</v>
      </c>
      <c r="H52" s="76">
        <f t="shared" si="49"/>
        <v>6441323</v>
      </c>
      <c r="I52" s="76">
        <f t="shared" si="49"/>
        <v>0</v>
      </c>
      <c r="J52" s="76">
        <f t="shared" si="49"/>
        <v>0</v>
      </c>
      <c r="K52" s="76">
        <f t="shared" si="49"/>
        <v>6441323</v>
      </c>
      <c r="L52" s="76">
        <f aca="true" t="shared" si="50" ref="L52:Q52">SUM(L53:L59)</f>
        <v>0</v>
      </c>
      <c r="M52" s="76">
        <f t="shared" si="50"/>
        <v>0</v>
      </c>
      <c r="N52" s="76">
        <f t="shared" si="50"/>
        <v>6441323</v>
      </c>
      <c r="O52" s="76">
        <f t="shared" si="50"/>
        <v>0</v>
      </c>
      <c r="P52" s="76">
        <f t="shared" si="50"/>
        <v>0</v>
      </c>
      <c r="Q52" s="76">
        <f t="shared" si="50"/>
        <v>6441323</v>
      </c>
      <c r="R52" s="76">
        <f aca="true" t="shared" si="51" ref="R52:W52">SUM(R53:R59)</f>
        <v>0</v>
      </c>
      <c r="S52" s="76">
        <f t="shared" si="51"/>
        <v>0</v>
      </c>
      <c r="T52" s="76">
        <f t="shared" si="51"/>
        <v>6441323</v>
      </c>
      <c r="U52" s="76">
        <f t="shared" si="51"/>
        <v>0</v>
      </c>
      <c r="V52" s="76">
        <f t="shared" si="51"/>
        <v>0</v>
      </c>
      <c r="W52" s="76">
        <f t="shared" si="51"/>
        <v>6441323</v>
      </c>
      <c r="X52" s="76">
        <f aca="true" t="shared" si="52" ref="X52:AC52">SUM(X53:X59)</f>
        <v>254180</v>
      </c>
      <c r="Y52" s="76">
        <f t="shared" si="52"/>
        <v>13000</v>
      </c>
      <c r="Z52" s="76">
        <f t="shared" si="52"/>
        <v>6682503</v>
      </c>
      <c r="AA52" s="76">
        <f t="shared" si="52"/>
        <v>0</v>
      </c>
      <c r="AB52" s="76">
        <f t="shared" si="52"/>
        <v>0</v>
      </c>
      <c r="AC52" s="76">
        <f t="shared" si="52"/>
        <v>6682503</v>
      </c>
      <c r="AD52" s="76"/>
      <c r="AE52" s="76"/>
      <c r="AF52" s="76">
        <f>SUM(AF53:AF59)</f>
        <v>6682503</v>
      </c>
      <c r="AG52" s="76"/>
      <c r="AH52" s="76"/>
      <c r="AI52" s="76">
        <f>SUM(AI53:AI59)</f>
        <v>6682503</v>
      </c>
      <c r="AJ52" s="76"/>
      <c r="AK52" s="76"/>
      <c r="AL52" s="76">
        <f>SUM(AL53:AL59)</f>
        <v>6682503</v>
      </c>
      <c r="AM52" s="76">
        <f>SUM(AM53:AM59)</f>
        <v>85000</v>
      </c>
      <c r="AN52" s="76">
        <f>SUM(AN53:AN59)</f>
        <v>15000</v>
      </c>
      <c r="AO52" s="76">
        <f>SUM(AO53:AO59)</f>
        <v>6752503</v>
      </c>
      <c r="AP52" s="155">
        <f>SUM(AP53:AP59)</f>
        <v>6882099</v>
      </c>
      <c r="AQ52" s="207">
        <f t="shared" si="3"/>
        <v>101.91922906217145</v>
      </c>
    </row>
    <row r="53" spans="1:43" s="24" customFormat="1" ht="21.75" customHeight="1">
      <c r="A53" s="77"/>
      <c r="B53" s="78"/>
      <c r="C53" s="79" t="s">
        <v>197</v>
      </c>
      <c r="D53" s="83" t="s">
        <v>38</v>
      </c>
      <c r="E53" s="76">
        <v>5949318</v>
      </c>
      <c r="F53" s="127"/>
      <c r="G53" s="127"/>
      <c r="H53" s="94">
        <f t="shared" si="48"/>
        <v>5949318</v>
      </c>
      <c r="I53" s="94"/>
      <c r="J53" s="94"/>
      <c r="K53" s="94">
        <f aca="true" t="shared" si="53" ref="K53:K59">SUM(H53+I53-J53)</f>
        <v>5949318</v>
      </c>
      <c r="L53" s="94"/>
      <c r="M53" s="94"/>
      <c r="N53" s="94">
        <f aca="true" t="shared" si="54" ref="N53:N59">SUM(K53+L53-M53)</f>
        <v>5949318</v>
      </c>
      <c r="O53" s="94"/>
      <c r="P53" s="94"/>
      <c r="Q53" s="94">
        <f aca="true" t="shared" si="55" ref="Q53:Q59">SUM(N53+O53-P53)</f>
        <v>5949318</v>
      </c>
      <c r="R53" s="94"/>
      <c r="S53" s="94"/>
      <c r="T53" s="94">
        <f aca="true" t="shared" si="56" ref="T53:T59">SUM(Q53+R53-S53)</f>
        <v>5949318</v>
      </c>
      <c r="U53" s="94"/>
      <c r="V53" s="94"/>
      <c r="W53" s="94">
        <f aca="true" t="shared" si="57" ref="W53:W59">SUM(T53+U53-V53)</f>
        <v>5949318</v>
      </c>
      <c r="X53" s="94"/>
      <c r="Y53" s="94"/>
      <c r="Z53" s="94">
        <f aca="true" t="shared" si="58" ref="Z53:Z59">SUM(W53+X53-Y53)</f>
        <v>5949318</v>
      </c>
      <c r="AA53" s="94"/>
      <c r="AB53" s="94"/>
      <c r="AC53" s="94">
        <f>SUM(Z53+AA53-AB53)</f>
        <v>5949318</v>
      </c>
      <c r="AD53" s="94"/>
      <c r="AE53" s="94"/>
      <c r="AF53" s="94">
        <f>SUM(AC53+AD53-AE53)</f>
        <v>5949318</v>
      </c>
      <c r="AG53" s="94"/>
      <c r="AH53" s="94"/>
      <c r="AI53" s="94">
        <f>SUM(AF53+AG53-AH53)</f>
        <v>5949318</v>
      </c>
      <c r="AJ53" s="94"/>
      <c r="AK53" s="94"/>
      <c r="AL53" s="94">
        <f>SUM(AI53+AJ53-AK53)</f>
        <v>5949318</v>
      </c>
      <c r="AM53" s="94">
        <v>80000</v>
      </c>
      <c r="AN53" s="94"/>
      <c r="AO53" s="94">
        <f aca="true" t="shared" si="59" ref="AO53:AO59">SUM(AL53+AM53-AN53)</f>
        <v>6029318</v>
      </c>
      <c r="AP53" s="155">
        <v>6175127</v>
      </c>
      <c r="AQ53" s="207">
        <f t="shared" si="3"/>
        <v>102.41833321778682</v>
      </c>
    </row>
    <row r="54" spans="1:43" s="24" customFormat="1" ht="21.75" customHeight="1">
      <c r="A54" s="77"/>
      <c r="B54" s="78"/>
      <c r="C54" s="79" t="s">
        <v>198</v>
      </c>
      <c r="D54" s="83" t="s">
        <v>39</v>
      </c>
      <c r="E54" s="76">
        <v>38800</v>
      </c>
      <c r="F54" s="127"/>
      <c r="G54" s="127"/>
      <c r="H54" s="94">
        <f t="shared" si="48"/>
        <v>38800</v>
      </c>
      <c r="I54" s="94"/>
      <c r="J54" s="94"/>
      <c r="K54" s="94">
        <f t="shared" si="53"/>
        <v>38800</v>
      </c>
      <c r="L54" s="94"/>
      <c r="M54" s="94"/>
      <c r="N54" s="94">
        <f t="shared" si="54"/>
        <v>38800</v>
      </c>
      <c r="O54" s="94"/>
      <c r="P54" s="94"/>
      <c r="Q54" s="94">
        <f t="shared" si="55"/>
        <v>38800</v>
      </c>
      <c r="R54" s="94"/>
      <c r="S54" s="94"/>
      <c r="T54" s="94">
        <f t="shared" si="56"/>
        <v>38800</v>
      </c>
      <c r="U54" s="94"/>
      <c r="V54" s="94"/>
      <c r="W54" s="94">
        <f t="shared" si="57"/>
        <v>38800</v>
      </c>
      <c r="X54" s="94"/>
      <c r="Y54" s="94"/>
      <c r="Z54" s="94">
        <f t="shared" si="58"/>
        <v>38800</v>
      </c>
      <c r="AA54" s="94"/>
      <c r="AB54" s="94"/>
      <c r="AC54" s="94">
        <f>SUM(Z54+AA54-AB54)</f>
        <v>38800</v>
      </c>
      <c r="AD54" s="94"/>
      <c r="AE54" s="94"/>
      <c r="AF54" s="94">
        <f>SUM(AC54+AD54-AE54)</f>
        <v>38800</v>
      </c>
      <c r="AG54" s="94"/>
      <c r="AH54" s="94"/>
      <c r="AI54" s="94">
        <f>SUM(AF54+AG54-AH54)</f>
        <v>38800</v>
      </c>
      <c r="AJ54" s="94"/>
      <c r="AK54" s="94"/>
      <c r="AL54" s="94">
        <f>SUM(AI54+AJ54-AK54)</f>
        <v>38800</v>
      </c>
      <c r="AM54" s="94"/>
      <c r="AN54" s="94"/>
      <c r="AO54" s="94">
        <f t="shared" si="59"/>
        <v>38800</v>
      </c>
      <c r="AP54" s="155">
        <v>33455</v>
      </c>
      <c r="AQ54" s="207">
        <f t="shared" si="3"/>
        <v>86.22422680412372</v>
      </c>
    </row>
    <row r="55" spans="1:43" s="24" customFormat="1" ht="21.75" customHeight="1">
      <c r="A55" s="77"/>
      <c r="B55" s="78"/>
      <c r="C55" s="79" t="s">
        <v>199</v>
      </c>
      <c r="D55" s="83" t="s">
        <v>40</v>
      </c>
      <c r="E55" s="76">
        <v>222870</v>
      </c>
      <c r="F55" s="127"/>
      <c r="G55" s="127"/>
      <c r="H55" s="94">
        <f t="shared" si="48"/>
        <v>222870</v>
      </c>
      <c r="I55" s="94"/>
      <c r="J55" s="94"/>
      <c r="K55" s="94">
        <f t="shared" si="53"/>
        <v>222870</v>
      </c>
      <c r="L55" s="94"/>
      <c r="M55" s="94"/>
      <c r="N55" s="94">
        <f t="shared" si="54"/>
        <v>222870</v>
      </c>
      <c r="O55" s="94"/>
      <c r="P55" s="94"/>
      <c r="Q55" s="94">
        <f t="shared" si="55"/>
        <v>222870</v>
      </c>
      <c r="R55" s="94"/>
      <c r="S55" s="94"/>
      <c r="T55" s="94">
        <f t="shared" si="56"/>
        <v>222870</v>
      </c>
      <c r="U55" s="94"/>
      <c r="V55" s="94"/>
      <c r="W55" s="94">
        <f t="shared" si="57"/>
        <v>222870</v>
      </c>
      <c r="X55" s="94">
        <v>56670</v>
      </c>
      <c r="Y55" s="94"/>
      <c r="Z55" s="94">
        <f t="shared" si="58"/>
        <v>279540</v>
      </c>
      <c r="AA55" s="94">
        <v>0</v>
      </c>
      <c r="AB55" s="94"/>
      <c r="AC55" s="94">
        <f>SUM(Z55+AA55-AB55)</f>
        <v>279540</v>
      </c>
      <c r="AD55" s="94"/>
      <c r="AE55" s="94"/>
      <c r="AF55" s="94">
        <f>SUM(AC55+AD55-AE55)</f>
        <v>279540</v>
      </c>
      <c r="AG55" s="94"/>
      <c r="AH55" s="94"/>
      <c r="AI55" s="94">
        <f>SUM(AF55+AG55-AH55)</f>
        <v>279540</v>
      </c>
      <c r="AJ55" s="94"/>
      <c r="AK55" s="94"/>
      <c r="AL55" s="94">
        <f>SUM(AI55+AJ55-AK55)</f>
        <v>279540</v>
      </c>
      <c r="AM55" s="94"/>
      <c r="AN55" s="94"/>
      <c r="AO55" s="94">
        <f t="shared" si="59"/>
        <v>279540</v>
      </c>
      <c r="AP55" s="155">
        <v>280340</v>
      </c>
      <c r="AQ55" s="207">
        <f t="shared" si="3"/>
        <v>100.28618444587536</v>
      </c>
    </row>
    <row r="56" spans="1:43" s="24" customFormat="1" ht="21.75" customHeight="1">
      <c r="A56" s="77"/>
      <c r="B56" s="78"/>
      <c r="C56" s="79" t="s">
        <v>200</v>
      </c>
      <c r="D56" s="83" t="s">
        <v>41</v>
      </c>
      <c r="E56" s="76">
        <v>37000</v>
      </c>
      <c r="F56" s="127"/>
      <c r="G56" s="127"/>
      <c r="H56" s="94">
        <f t="shared" si="48"/>
        <v>37000</v>
      </c>
      <c r="I56" s="94"/>
      <c r="J56" s="94"/>
      <c r="K56" s="94">
        <f t="shared" si="53"/>
        <v>37000</v>
      </c>
      <c r="L56" s="94"/>
      <c r="M56" s="94"/>
      <c r="N56" s="94">
        <f t="shared" si="54"/>
        <v>37000</v>
      </c>
      <c r="O56" s="94"/>
      <c r="P56" s="94"/>
      <c r="Q56" s="94">
        <f t="shared" si="55"/>
        <v>37000</v>
      </c>
      <c r="R56" s="94"/>
      <c r="S56" s="94"/>
      <c r="T56" s="94">
        <f t="shared" si="56"/>
        <v>37000</v>
      </c>
      <c r="U56" s="94"/>
      <c r="V56" s="94"/>
      <c r="W56" s="94">
        <f t="shared" si="57"/>
        <v>37000</v>
      </c>
      <c r="X56" s="94">
        <v>16000</v>
      </c>
      <c r="Y56" s="94"/>
      <c r="Z56" s="94">
        <f t="shared" si="58"/>
        <v>53000</v>
      </c>
      <c r="AA56" s="94">
        <v>0</v>
      </c>
      <c r="AB56" s="94"/>
      <c r="AC56" s="94">
        <f>SUM(Z56+AA56-AB56)</f>
        <v>53000</v>
      </c>
      <c r="AD56" s="94"/>
      <c r="AE56" s="94"/>
      <c r="AF56" s="94">
        <f>SUM(AC56+AD56-AE56)</f>
        <v>53000</v>
      </c>
      <c r="AG56" s="94"/>
      <c r="AH56" s="94"/>
      <c r="AI56" s="94">
        <f>SUM(AF56+AG56-AH56)</f>
        <v>53000</v>
      </c>
      <c r="AJ56" s="94"/>
      <c r="AK56" s="94"/>
      <c r="AL56" s="94">
        <f>SUM(AI56+AJ56-AK56)</f>
        <v>53000</v>
      </c>
      <c r="AM56" s="94"/>
      <c r="AN56" s="94">
        <v>15000</v>
      </c>
      <c r="AO56" s="94">
        <f t="shared" si="59"/>
        <v>38000</v>
      </c>
      <c r="AP56" s="155">
        <v>35484</v>
      </c>
      <c r="AQ56" s="207">
        <f t="shared" si="3"/>
        <v>93.37894736842105</v>
      </c>
    </row>
    <row r="57" spans="1:43" s="24" customFormat="1" ht="21.75" customHeight="1">
      <c r="A57" s="77"/>
      <c r="B57" s="78"/>
      <c r="C57" s="79" t="s">
        <v>207</v>
      </c>
      <c r="D57" s="83" t="s">
        <v>48</v>
      </c>
      <c r="E57" s="76">
        <v>0</v>
      </c>
      <c r="F57" s="127"/>
      <c r="G57" s="127"/>
      <c r="H57" s="94">
        <f t="shared" si="48"/>
        <v>0</v>
      </c>
      <c r="I57" s="94"/>
      <c r="J57" s="94"/>
      <c r="K57" s="94">
        <f t="shared" si="53"/>
        <v>0</v>
      </c>
      <c r="L57" s="94"/>
      <c r="M57" s="94"/>
      <c r="N57" s="94">
        <f t="shared" si="54"/>
        <v>0</v>
      </c>
      <c r="O57" s="94"/>
      <c r="P57" s="94"/>
      <c r="Q57" s="94">
        <f t="shared" si="55"/>
        <v>0</v>
      </c>
      <c r="R57" s="94"/>
      <c r="S57" s="94"/>
      <c r="T57" s="94">
        <f t="shared" si="56"/>
        <v>0</v>
      </c>
      <c r="U57" s="94"/>
      <c r="V57" s="94"/>
      <c r="W57" s="94">
        <v>0</v>
      </c>
      <c r="X57" s="94">
        <v>40000</v>
      </c>
      <c r="Y57" s="94"/>
      <c r="Z57" s="94">
        <v>40000</v>
      </c>
      <c r="AA57" s="94">
        <v>0</v>
      </c>
      <c r="AB57" s="94"/>
      <c r="AC57" s="94">
        <v>40000</v>
      </c>
      <c r="AD57" s="94"/>
      <c r="AE57" s="94"/>
      <c r="AF57" s="94">
        <v>40000</v>
      </c>
      <c r="AG57" s="94"/>
      <c r="AH57" s="94"/>
      <c r="AI57" s="94">
        <v>40000</v>
      </c>
      <c r="AJ57" s="94"/>
      <c r="AK57" s="94"/>
      <c r="AL57" s="94">
        <v>40000</v>
      </c>
      <c r="AM57" s="94">
        <f>3000+2000</f>
        <v>5000</v>
      </c>
      <c r="AN57" s="94"/>
      <c r="AO57" s="94">
        <f t="shared" si="59"/>
        <v>45000</v>
      </c>
      <c r="AP57" s="155">
        <v>42592</v>
      </c>
      <c r="AQ57" s="207">
        <f t="shared" si="3"/>
        <v>94.64888888888889</v>
      </c>
    </row>
    <row r="58" spans="1:43" s="24" customFormat="1" ht="21.75" customHeight="1">
      <c r="A58" s="77"/>
      <c r="B58" s="78"/>
      <c r="C58" s="75" t="s">
        <v>196</v>
      </c>
      <c r="D58" s="72" t="s">
        <v>281</v>
      </c>
      <c r="E58" s="87">
        <v>47500</v>
      </c>
      <c r="F58" s="127"/>
      <c r="G58" s="127"/>
      <c r="H58" s="94">
        <f t="shared" si="48"/>
        <v>47500</v>
      </c>
      <c r="I58" s="94"/>
      <c r="J58" s="94"/>
      <c r="K58" s="94">
        <f t="shared" si="53"/>
        <v>47500</v>
      </c>
      <c r="L58" s="94"/>
      <c r="M58" s="94"/>
      <c r="N58" s="94">
        <f t="shared" si="54"/>
        <v>47500</v>
      </c>
      <c r="O58" s="94"/>
      <c r="P58" s="94"/>
      <c r="Q58" s="94">
        <f t="shared" si="55"/>
        <v>47500</v>
      </c>
      <c r="R58" s="94"/>
      <c r="S58" s="94"/>
      <c r="T58" s="94">
        <f t="shared" si="56"/>
        <v>47500</v>
      </c>
      <c r="U58" s="94"/>
      <c r="V58" s="94"/>
      <c r="W58" s="94">
        <f t="shared" si="57"/>
        <v>47500</v>
      </c>
      <c r="X58" s="94"/>
      <c r="Y58" s="94">
        <v>13000</v>
      </c>
      <c r="Z58" s="94">
        <f t="shared" si="58"/>
        <v>34500</v>
      </c>
      <c r="AA58" s="94"/>
      <c r="AB58" s="94">
        <v>0</v>
      </c>
      <c r="AC58" s="94">
        <f>SUM(Z58+AA58-AB58)</f>
        <v>34500</v>
      </c>
      <c r="AD58" s="94"/>
      <c r="AE58" s="94"/>
      <c r="AF58" s="94">
        <f>SUM(AC58+AD58-AE58)</f>
        <v>34500</v>
      </c>
      <c r="AG58" s="94"/>
      <c r="AH58" s="94"/>
      <c r="AI58" s="94">
        <f>SUM(AF58+AG58-AH58)</f>
        <v>34500</v>
      </c>
      <c r="AJ58" s="94"/>
      <c r="AK58" s="94"/>
      <c r="AL58" s="94">
        <f>SUM(AI58+AJ58-AK58)</f>
        <v>34500</v>
      </c>
      <c r="AM58" s="94"/>
      <c r="AN58" s="94"/>
      <c r="AO58" s="94">
        <f t="shared" si="59"/>
        <v>34500</v>
      </c>
      <c r="AP58" s="155">
        <v>27756</v>
      </c>
      <c r="AQ58" s="207">
        <f t="shared" si="3"/>
        <v>80.45217391304348</v>
      </c>
    </row>
    <row r="59" spans="1:43" s="24" customFormat="1" ht="36">
      <c r="A59" s="77"/>
      <c r="B59" s="78"/>
      <c r="C59" s="79">
        <v>2440</v>
      </c>
      <c r="D59" s="83" t="s">
        <v>224</v>
      </c>
      <c r="E59" s="76">
        <v>145835</v>
      </c>
      <c r="F59" s="127"/>
      <c r="G59" s="127"/>
      <c r="H59" s="94">
        <f t="shared" si="48"/>
        <v>145835</v>
      </c>
      <c r="I59" s="94"/>
      <c r="J59" s="94"/>
      <c r="K59" s="94">
        <f t="shared" si="53"/>
        <v>145835</v>
      </c>
      <c r="L59" s="94"/>
      <c r="M59" s="94"/>
      <c r="N59" s="94">
        <f t="shared" si="54"/>
        <v>145835</v>
      </c>
      <c r="O59" s="94"/>
      <c r="P59" s="94"/>
      <c r="Q59" s="94">
        <f t="shared" si="55"/>
        <v>145835</v>
      </c>
      <c r="R59" s="94"/>
      <c r="S59" s="94"/>
      <c r="T59" s="94">
        <f t="shared" si="56"/>
        <v>145835</v>
      </c>
      <c r="U59" s="94"/>
      <c r="V59" s="94"/>
      <c r="W59" s="94">
        <f t="shared" si="57"/>
        <v>145835</v>
      </c>
      <c r="X59" s="94">
        <v>141510</v>
      </c>
      <c r="Y59" s="94"/>
      <c r="Z59" s="94">
        <f t="shared" si="58"/>
        <v>287345</v>
      </c>
      <c r="AA59" s="94">
        <v>0</v>
      </c>
      <c r="AB59" s="94"/>
      <c r="AC59" s="94">
        <f>SUM(Z59+AA59-AB59)</f>
        <v>287345</v>
      </c>
      <c r="AD59" s="94"/>
      <c r="AE59" s="94"/>
      <c r="AF59" s="94">
        <f>SUM(AC59+AD59-AE59)</f>
        <v>287345</v>
      </c>
      <c r="AG59" s="94"/>
      <c r="AH59" s="94"/>
      <c r="AI59" s="94">
        <f>SUM(AF59+AG59-AH59)</f>
        <v>287345</v>
      </c>
      <c r="AJ59" s="94"/>
      <c r="AK59" s="94"/>
      <c r="AL59" s="94">
        <f>SUM(AI59+AJ59-AK59)</f>
        <v>287345</v>
      </c>
      <c r="AM59" s="94"/>
      <c r="AN59" s="94"/>
      <c r="AO59" s="94">
        <f t="shared" si="59"/>
        <v>287345</v>
      </c>
      <c r="AP59" s="155">
        <v>287345</v>
      </c>
      <c r="AQ59" s="207">
        <f t="shared" si="3"/>
        <v>100</v>
      </c>
    </row>
    <row r="60" spans="1:43" s="24" customFormat="1" ht="59.25" customHeight="1">
      <c r="A60" s="77"/>
      <c r="B60" s="78">
        <v>75616</v>
      </c>
      <c r="C60" s="79"/>
      <c r="D60" s="83" t="s">
        <v>244</v>
      </c>
      <c r="E60" s="76">
        <f aca="true" t="shared" si="60" ref="E60:K60">SUM(E61:E71)</f>
        <v>3024880</v>
      </c>
      <c r="F60" s="76">
        <f t="shared" si="60"/>
        <v>0</v>
      </c>
      <c r="G60" s="76">
        <f t="shared" si="60"/>
        <v>0</v>
      </c>
      <c r="H60" s="76">
        <f t="shared" si="60"/>
        <v>3024880</v>
      </c>
      <c r="I60" s="76">
        <f t="shared" si="60"/>
        <v>0</v>
      </c>
      <c r="J60" s="76">
        <f t="shared" si="60"/>
        <v>0</v>
      </c>
      <c r="K60" s="76">
        <f t="shared" si="60"/>
        <v>3024880</v>
      </c>
      <c r="L60" s="76">
        <f aca="true" t="shared" si="61" ref="L60:Q60">SUM(L61:L71)</f>
        <v>0</v>
      </c>
      <c r="M60" s="76">
        <f t="shared" si="61"/>
        <v>0</v>
      </c>
      <c r="N60" s="76">
        <f t="shared" si="61"/>
        <v>3024880</v>
      </c>
      <c r="O60" s="76">
        <f t="shared" si="61"/>
        <v>0</v>
      </c>
      <c r="P60" s="76">
        <f t="shared" si="61"/>
        <v>0</v>
      </c>
      <c r="Q60" s="76">
        <f t="shared" si="61"/>
        <v>3024880</v>
      </c>
      <c r="R60" s="76">
        <f aca="true" t="shared" si="62" ref="R60:W60">SUM(R61:R71)</f>
        <v>0</v>
      </c>
      <c r="S60" s="76">
        <f t="shared" si="62"/>
        <v>0</v>
      </c>
      <c r="T60" s="76">
        <f t="shared" si="62"/>
        <v>3024880</v>
      </c>
      <c r="U60" s="76">
        <f t="shared" si="62"/>
        <v>0</v>
      </c>
      <c r="V60" s="76">
        <f t="shared" si="62"/>
        <v>0</v>
      </c>
      <c r="W60" s="76">
        <f t="shared" si="62"/>
        <v>3024880</v>
      </c>
      <c r="X60" s="76">
        <f>SUM(X61:X71)</f>
        <v>37000</v>
      </c>
      <c r="Y60" s="76">
        <f>SUM(Y61:Y71)</f>
        <v>40000</v>
      </c>
      <c r="Z60" s="76">
        <f>SUM(Z61:Z71)</f>
        <v>3021880</v>
      </c>
      <c r="AA60" s="76">
        <v>0</v>
      </c>
      <c r="AB60" s="76">
        <v>0</v>
      </c>
      <c r="AC60" s="76">
        <f>SUM(AC61:AC71)</f>
        <v>3021880</v>
      </c>
      <c r="AD60" s="76">
        <v>0</v>
      </c>
      <c r="AE60" s="76">
        <v>0</v>
      </c>
      <c r="AF60" s="76">
        <f>SUM(AF61:AF71)</f>
        <v>3021880</v>
      </c>
      <c r="AG60" s="76">
        <v>0</v>
      </c>
      <c r="AH60" s="76">
        <v>0</v>
      </c>
      <c r="AI60" s="76">
        <f aca="true" t="shared" si="63" ref="AI60:AO60">SUM(AI61:AI71)</f>
        <v>3021880</v>
      </c>
      <c r="AJ60" s="76">
        <f t="shared" si="63"/>
        <v>10000</v>
      </c>
      <c r="AK60" s="76">
        <f t="shared" si="63"/>
        <v>0</v>
      </c>
      <c r="AL60" s="76">
        <f t="shared" si="63"/>
        <v>3031880</v>
      </c>
      <c r="AM60" s="76">
        <f t="shared" si="63"/>
        <v>29300</v>
      </c>
      <c r="AN60" s="76">
        <f t="shared" si="63"/>
        <v>10000</v>
      </c>
      <c r="AO60" s="76">
        <f t="shared" si="63"/>
        <v>3051180</v>
      </c>
      <c r="AP60" s="155">
        <f>SUM(AP61:AP71)</f>
        <v>2996210</v>
      </c>
      <c r="AQ60" s="207">
        <f t="shared" si="3"/>
        <v>98.19840192974522</v>
      </c>
    </row>
    <row r="61" spans="1:43" s="24" customFormat="1" ht="21.75" customHeight="1">
      <c r="A61" s="77"/>
      <c r="B61" s="78"/>
      <c r="C61" s="79" t="s">
        <v>197</v>
      </c>
      <c r="D61" s="83" t="s">
        <v>38</v>
      </c>
      <c r="E61" s="76">
        <v>2000600</v>
      </c>
      <c r="F61" s="127"/>
      <c r="G61" s="127"/>
      <c r="H61" s="94">
        <f t="shared" si="48"/>
        <v>2000600</v>
      </c>
      <c r="I61" s="94"/>
      <c r="J61" s="94"/>
      <c r="K61" s="94">
        <f aca="true" t="shared" si="64" ref="K61:K71">SUM(H61+I61-J61)</f>
        <v>2000600</v>
      </c>
      <c r="L61" s="94"/>
      <c r="M61" s="94"/>
      <c r="N61" s="94">
        <f aca="true" t="shared" si="65" ref="N61:N71">SUM(K61+L61-M61)</f>
        <v>2000600</v>
      </c>
      <c r="O61" s="94"/>
      <c r="P61" s="94"/>
      <c r="Q61" s="94">
        <f aca="true" t="shared" si="66" ref="Q61:Q71">SUM(N61+O61-P61)</f>
        <v>2000600</v>
      </c>
      <c r="R61" s="94"/>
      <c r="S61" s="94"/>
      <c r="T61" s="94">
        <f aca="true" t="shared" si="67" ref="T61:T71">SUM(Q61+R61-S61)</f>
        <v>2000600</v>
      </c>
      <c r="U61" s="94"/>
      <c r="V61" s="94"/>
      <c r="W61" s="94">
        <f aca="true" t="shared" si="68" ref="W61:W71">SUM(T61+U61-V61)</f>
        <v>2000600</v>
      </c>
      <c r="X61" s="94"/>
      <c r="Y61" s="94"/>
      <c r="Z61" s="94">
        <f aca="true" t="shared" si="69" ref="Z61:Z71">SUM(W61+X61-Y61)</f>
        <v>2000600</v>
      </c>
      <c r="AA61" s="94"/>
      <c r="AB61" s="94"/>
      <c r="AC61" s="94">
        <f aca="true" t="shared" si="70" ref="AC61:AC71">SUM(Z61+AA61-AB61)</f>
        <v>2000600</v>
      </c>
      <c r="AD61" s="94"/>
      <c r="AE61" s="94"/>
      <c r="AF61" s="94">
        <f aca="true" t="shared" si="71" ref="AF61:AF71">SUM(AC61+AD61-AE61)</f>
        <v>2000600</v>
      </c>
      <c r="AG61" s="94"/>
      <c r="AH61" s="94"/>
      <c r="AI61" s="94">
        <f aca="true" t="shared" si="72" ref="AI61:AI71">SUM(AF61+AG61-AH61)</f>
        <v>2000600</v>
      </c>
      <c r="AJ61" s="94"/>
      <c r="AK61" s="94"/>
      <c r="AL61" s="94">
        <f aca="true" t="shared" si="73" ref="AL61:AL71">SUM(AI61+AJ61-AK61)</f>
        <v>2000600</v>
      </c>
      <c r="AM61" s="94"/>
      <c r="AN61" s="94"/>
      <c r="AO61" s="94">
        <f aca="true" t="shared" si="74" ref="AO61:AO71">SUM(AL61+AM61-AN61)</f>
        <v>2000600</v>
      </c>
      <c r="AP61" s="155">
        <v>1983139</v>
      </c>
      <c r="AQ61" s="207">
        <f t="shared" si="3"/>
        <v>99.12721183644906</v>
      </c>
    </row>
    <row r="62" spans="1:43" s="24" customFormat="1" ht="21.75" customHeight="1">
      <c r="A62" s="77"/>
      <c r="B62" s="78"/>
      <c r="C62" s="79" t="s">
        <v>198</v>
      </c>
      <c r="D62" s="83" t="s">
        <v>39</v>
      </c>
      <c r="E62" s="76">
        <v>400000</v>
      </c>
      <c r="F62" s="127"/>
      <c r="G62" s="127"/>
      <c r="H62" s="94">
        <f t="shared" si="48"/>
        <v>400000</v>
      </c>
      <c r="I62" s="94"/>
      <c r="J62" s="94"/>
      <c r="K62" s="94">
        <f t="shared" si="64"/>
        <v>400000</v>
      </c>
      <c r="L62" s="94"/>
      <c r="M62" s="94"/>
      <c r="N62" s="94">
        <f t="shared" si="65"/>
        <v>400000</v>
      </c>
      <c r="O62" s="94"/>
      <c r="P62" s="94"/>
      <c r="Q62" s="94">
        <f t="shared" si="66"/>
        <v>400000</v>
      </c>
      <c r="R62" s="94"/>
      <c r="S62" s="94"/>
      <c r="T62" s="94">
        <f t="shared" si="67"/>
        <v>400000</v>
      </c>
      <c r="U62" s="94"/>
      <c r="V62" s="94"/>
      <c r="W62" s="94">
        <f t="shared" si="68"/>
        <v>400000</v>
      </c>
      <c r="X62" s="94"/>
      <c r="Y62" s="94"/>
      <c r="Z62" s="94">
        <f t="shared" si="69"/>
        <v>400000</v>
      </c>
      <c r="AA62" s="94"/>
      <c r="AB62" s="94"/>
      <c r="AC62" s="94">
        <f t="shared" si="70"/>
        <v>400000</v>
      </c>
      <c r="AD62" s="94"/>
      <c r="AE62" s="94"/>
      <c r="AF62" s="94">
        <f t="shared" si="71"/>
        <v>400000</v>
      </c>
      <c r="AG62" s="94"/>
      <c r="AH62" s="94"/>
      <c r="AI62" s="94">
        <f t="shared" si="72"/>
        <v>400000</v>
      </c>
      <c r="AJ62" s="94"/>
      <c r="AK62" s="94"/>
      <c r="AL62" s="94">
        <f t="shared" si="73"/>
        <v>400000</v>
      </c>
      <c r="AM62" s="94"/>
      <c r="AN62" s="94"/>
      <c r="AO62" s="94">
        <f t="shared" si="74"/>
        <v>400000</v>
      </c>
      <c r="AP62" s="155">
        <v>385668</v>
      </c>
      <c r="AQ62" s="207">
        <f t="shared" si="3"/>
        <v>96.417</v>
      </c>
    </row>
    <row r="63" spans="1:43" s="24" customFormat="1" ht="21.75" customHeight="1">
      <c r="A63" s="77"/>
      <c r="B63" s="78"/>
      <c r="C63" s="79" t="s">
        <v>199</v>
      </c>
      <c r="D63" s="83" t="s">
        <v>40</v>
      </c>
      <c r="E63" s="76">
        <v>6680</v>
      </c>
      <c r="F63" s="127"/>
      <c r="G63" s="127"/>
      <c r="H63" s="94">
        <f t="shared" si="48"/>
        <v>6680</v>
      </c>
      <c r="I63" s="94"/>
      <c r="J63" s="94"/>
      <c r="K63" s="94">
        <f t="shared" si="64"/>
        <v>6680</v>
      </c>
      <c r="L63" s="94"/>
      <c r="M63" s="94"/>
      <c r="N63" s="94">
        <f t="shared" si="65"/>
        <v>6680</v>
      </c>
      <c r="O63" s="94"/>
      <c r="P63" s="94"/>
      <c r="Q63" s="94">
        <f t="shared" si="66"/>
        <v>6680</v>
      </c>
      <c r="R63" s="94"/>
      <c r="S63" s="94"/>
      <c r="T63" s="94">
        <f t="shared" si="67"/>
        <v>6680</v>
      </c>
      <c r="U63" s="94"/>
      <c r="V63" s="94"/>
      <c r="W63" s="94">
        <f t="shared" si="68"/>
        <v>6680</v>
      </c>
      <c r="X63" s="94"/>
      <c r="Y63" s="94"/>
      <c r="Z63" s="94">
        <f t="shared" si="69"/>
        <v>6680</v>
      </c>
      <c r="AA63" s="94"/>
      <c r="AB63" s="94"/>
      <c r="AC63" s="94">
        <f t="shared" si="70"/>
        <v>6680</v>
      </c>
      <c r="AD63" s="94"/>
      <c r="AE63" s="94"/>
      <c r="AF63" s="94">
        <f t="shared" si="71"/>
        <v>6680</v>
      </c>
      <c r="AG63" s="94"/>
      <c r="AH63" s="94"/>
      <c r="AI63" s="94">
        <f t="shared" si="72"/>
        <v>6680</v>
      </c>
      <c r="AJ63" s="94"/>
      <c r="AK63" s="94"/>
      <c r="AL63" s="94">
        <f t="shared" si="73"/>
        <v>6680</v>
      </c>
      <c r="AM63" s="94"/>
      <c r="AN63" s="94"/>
      <c r="AO63" s="94">
        <f t="shared" si="74"/>
        <v>6680</v>
      </c>
      <c r="AP63" s="155">
        <v>5909</v>
      </c>
      <c r="AQ63" s="207">
        <f t="shared" si="3"/>
        <v>88.45808383233533</v>
      </c>
    </row>
    <row r="64" spans="1:43" s="24" customFormat="1" ht="21.75" customHeight="1">
      <c r="A64" s="77"/>
      <c r="B64" s="78"/>
      <c r="C64" s="79" t="s">
        <v>200</v>
      </c>
      <c r="D64" s="83" t="s">
        <v>41</v>
      </c>
      <c r="E64" s="76">
        <v>130000</v>
      </c>
      <c r="F64" s="127"/>
      <c r="G64" s="127"/>
      <c r="H64" s="94">
        <f t="shared" si="48"/>
        <v>130000</v>
      </c>
      <c r="I64" s="94"/>
      <c r="J64" s="94"/>
      <c r="K64" s="94">
        <f t="shared" si="64"/>
        <v>130000</v>
      </c>
      <c r="L64" s="94"/>
      <c r="M64" s="94"/>
      <c r="N64" s="94">
        <f t="shared" si="65"/>
        <v>130000</v>
      </c>
      <c r="O64" s="94"/>
      <c r="P64" s="94"/>
      <c r="Q64" s="94">
        <f t="shared" si="66"/>
        <v>130000</v>
      </c>
      <c r="R64" s="94"/>
      <c r="S64" s="94"/>
      <c r="T64" s="94">
        <f t="shared" si="67"/>
        <v>130000</v>
      </c>
      <c r="U64" s="94"/>
      <c r="V64" s="94"/>
      <c r="W64" s="94">
        <f t="shared" si="68"/>
        <v>130000</v>
      </c>
      <c r="X64" s="94"/>
      <c r="Y64" s="94"/>
      <c r="Z64" s="94">
        <f t="shared" si="69"/>
        <v>130000</v>
      </c>
      <c r="AA64" s="94"/>
      <c r="AB64" s="94"/>
      <c r="AC64" s="94">
        <f t="shared" si="70"/>
        <v>130000</v>
      </c>
      <c r="AD64" s="94"/>
      <c r="AE64" s="94"/>
      <c r="AF64" s="94">
        <f t="shared" si="71"/>
        <v>130000</v>
      </c>
      <c r="AG64" s="94"/>
      <c r="AH64" s="94"/>
      <c r="AI64" s="94">
        <f t="shared" si="72"/>
        <v>130000</v>
      </c>
      <c r="AJ64" s="94">
        <v>10000</v>
      </c>
      <c r="AK64" s="94"/>
      <c r="AL64" s="94">
        <f t="shared" si="73"/>
        <v>140000</v>
      </c>
      <c r="AM64" s="94">
        <f>15000+500</f>
        <v>15500</v>
      </c>
      <c r="AN64" s="94"/>
      <c r="AO64" s="94">
        <f t="shared" si="74"/>
        <v>155500</v>
      </c>
      <c r="AP64" s="155">
        <v>155541</v>
      </c>
      <c r="AQ64" s="207">
        <f t="shared" si="3"/>
        <v>100.02636655948554</v>
      </c>
    </row>
    <row r="65" spans="1:43" s="24" customFormat="1" ht="21.75" customHeight="1">
      <c r="A65" s="77"/>
      <c r="B65" s="78"/>
      <c r="C65" s="79" t="s">
        <v>201</v>
      </c>
      <c r="D65" s="83" t="s">
        <v>43</v>
      </c>
      <c r="E65" s="76">
        <f>20000+10000</f>
        <v>30000</v>
      </c>
      <c r="F65" s="127"/>
      <c r="G65" s="127"/>
      <c r="H65" s="94">
        <f t="shared" si="48"/>
        <v>30000</v>
      </c>
      <c r="I65" s="94"/>
      <c r="J65" s="94"/>
      <c r="K65" s="94">
        <f t="shared" si="64"/>
        <v>30000</v>
      </c>
      <c r="L65" s="94"/>
      <c r="M65" s="94"/>
      <c r="N65" s="94">
        <f t="shared" si="65"/>
        <v>30000</v>
      </c>
      <c r="O65" s="94"/>
      <c r="P65" s="94"/>
      <c r="Q65" s="94">
        <f t="shared" si="66"/>
        <v>30000</v>
      </c>
      <c r="R65" s="94"/>
      <c r="S65" s="94"/>
      <c r="T65" s="94">
        <f t="shared" si="67"/>
        <v>30000</v>
      </c>
      <c r="U65" s="94"/>
      <c r="V65" s="94"/>
      <c r="W65" s="94">
        <f t="shared" si="68"/>
        <v>30000</v>
      </c>
      <c r="X65" s="94"/>
      <c r="Y65" s="94"/>
      <c r="Z65" s="94">
        <f t="shared" si="69"/>
        <v>30000</v>
      </c>
      <c r="AA65" s="94"/>
      <c r="AB65" s="94"/>
      <c r="AC65" s="94">
        <f t="shared" si="70"/>
        <v>30000</v>
      </c>
      <c r="AD65" s="94"/>
      <c r="AE65" s="94"/>
      <c r="AF65" s="94">
        <f t="shared" si="71"/>
        <v>30000</v>
      </c>
      <c r="AG65" s="94"/>
      <c r="AH65" s="94"/>
      <c r="AI65" s="94">
        <f t="shared" si="72"/>
        <v>30000</v>
      </c>
      <c r="AJ65" s="94"/>
      <c r="AK65" s="94"/>
      <c r="AL65" s="94">
        <f t="shared" si="73"/>
        <v>30000</v>
      </c>
      <c r="AM65" s="94">
        <v>0</v>
      </c>
      <c r="AN65" s="94">
        <v>10000</v>
      </c>
      <c r="AO65" s="94">
        <f t="shared" si="74"/>
        <v>20000</v>
      </c>
      <c r="AP65" s="155">
        <v>21352</v>
      </c>
      <c r="AQ65" s="207">
        <f t="shared" si="3"/>
        <v>106.76</v>
      </c>
    </row>
    <row r="66" spans="1:43" s="24" customFormat="1" ht="21.75" customHeight="1">
      <c r="A66" s="77"/>
      <c r="B66" s="78"/>
      <c r="C66" s="79" t="s">
        <v>202</v>
      </c>
      <c r="D66" s="83" t="s">
        <v>44</v>
      </c>
      <c r="E66" s="76">
        <v>15000</v>
      </c>
      <c r="F66" s="127"/>
      <c r="G66" s="127"/>
      <c r="H66" s="94">
        <f t="shared" si="48"/>
        <v>15000</v>
      </c>
      <c r="I66" s="94"/>
      <c r="J66" s="94"/>
      <c r="K66" s="94">
        <f t="shared" si="64"/>
        <v>15000</v>
      </c>
      <c r="L66" s="94"/>
      <c r="M66" s="94"/>
      <c r="N66" s="94">
        <f t="shared" si="65"/>
        <v>15000</v>
      </c>
      <c r="O66" s="94"/>
      <c r="P66" s="94"/>
      <c r="Q66" s="94">
        <f t="shared" si="66"/>
        <v>15000</v>
      </c>
      <c r="R66" s="94"/>
      <c r="S66" s="94"/>
      <c r="T66" s="94">
        <f t="shared" si="67"/>
        <v>15000</v>
      </c>
      <c r="U66" s="94"/>
      <c r="V66" s="94"/>
      <c r="W66" s="94">
        <f t="shared" si="68"/>
        <v>15000</v>
      </c>
      <c r="X66" s="94"/>
      <c r="Y66" s="94"/>
      <c r="Z66" s="94">
        <f t="shared" si="69"/>
        <v>15000</v>
      </c>
      <c r="AA66" s="94"/>
      <c r="AB66" s="94"/>
      <c r="AC66" s="94">
        <f t="shared" si="70"/>
        <v>15000</v>
      </c>
      <c r="AD66" s="94"/>
      <c r="AE66" s="94"/>
      <c r="AF66" s="94">
        <f t="shared" si="71"/>
        <v>15000</v>
      </c>
      <c r="AG66" s="94"/>
      <c r="AH66" s="94"/>
      <c r="AI66" s="94">
        <f t="shared" si="72"/>
        <v>15000</v>
      </c>
      <c r="AJ66" s="94"/>
      <c r="AK66" s="94"/>
      <c r="AL66" s="94">
        <f t="shared" si="73"/>
        <v>15000</v>
      </c>
      <c r="AM66" s="94"/>
      <c r="AN66" s="94"/>
      <c r="AO66" s="94">
        <f t="shared" si="74"/>
        <v>15000</v>
      </c>
      <c r="AP66" s="155">
        <v>6667</v>
      </c>
      <c r="AQ66" s="207">
        <f t="shared" si="3"/>
        <v>44.446666666666665</v>
      </c>
    </row>
    <row r="67" spans="1:43" s="24" customFormat="1" ht="21.75" customHeight="1">
      <c r="A67" s="77"/>
      <c r="B67" s="78"/>
      <c r="C67" s="79" t="s">
        <v>203</v>
      </c>
      <c r="D67" s="83" t="s">
        <v>45</v>
      </c>
      <c r="E67" s="76">
        <v>58000</v>
      </c>
      <c r="F67" s="127"/>
      <c r="G67" s="127"/>
      <c r="H67" s="94">
        <f t="shared" si="48"/>
        <v>58000</v>
      </c>
      <c r="I67" s="94"/>
      <c r="J67" s="94"/>
      <c r="K67" s="94">
        <f t="shared" si="64"/>
        <v>58000</v>
      </c>
      <c r="L67" s="94"/>
      <c r="M67" s="94"/>
      <c r="N67" s="94">
        <f t="shared" si="65"/>
        <v>58000</v>
      </c>
      <c r="O67" s="94"/>
      <c r="P67" s="94"/>
      <c r="Q67" s="94">
        <f t="shared" si="66"/>
        <v>58000</v>
      </c>
      <c r="R67" s="94"/>
      <c r="S67" s="94"/>
      <c r="T67" s="94">
        <f t="shared" si="67"/>
        <v>58000</v>
      </c>
      <c r="U67" s="94"/>
      <c r="V67" s="94"/>
      <c r="W67" s="94">
        <f t="shared" si="68"/>
        <v>58000</v>
      </c>
      <c r="X67" s="94"/>
      <c r="Y67" s="94"/>
      <c r="Z67" s="94">
        <f t="shared" si="69"/>
        <v>58000</v>
      </c>
      <c r="AA67" s="94"/>
      <c r="AB67" s="94"/>
      <c r="AC67" s="94">
        <f t="shared" si="70"/>
        <v>58000</v>
      </c>
      <c r="AD67" s="94"/>
      <c r="AE67" s="94"/>
      <c r="AF67" s="94">
        <f t="shared" si="71"/>
        <v>58000</v>
      </c>
      <c r="AG67" s="94"/>
      <c r="AH67" s="94"/>
      <c r="AI67" s="94">
        <f t="shared" si="72"/>
        <v>58000</v>
      </c>
      <c r="AJ67" s="94"/>
      <c r="AK67" s="94"/>
      <c r="AL67" s="94">
        <f t="shared" si="73"/>
        <v>58000</v>
      </c>
      <c r="AM67" s="94">
        <f>10000+3000</f>
        <v>13000</v>
      </c>
      <c r="AN67" s="94"/>
      <c r="AO67" s="94">
        <f t="shared" si="74"/>
        <v>71000</v>
      </c>
      <c r="AP67" s="155">
        <v>71595</v>
      </c>
      <c r="AQ67" s="207">
        <f t="shared" si="3"/>
        <v>100.83802816901408</v>
      </c>
    </row>
    <row r="68" spans="1:43" s="24" customFormat="1" ht="21.75" customHeight="1">
      <c r="A68" s="77"/>
      <c r="B68" s="78"/>
      <c r="C68" s="79" t="s">
        <v>204</v>
      </c>
      <c r="D68" s="83" t="s">
        <v>46</v>
      </c>
      <c r="E68" s="76">
        <v>1000</v>
      </c>
      <c r="F68" s="127"/>
      <c r="G68" s="127"/>
      <c r="H68" s="94">
        <f t="shared" si="48"/>
        <v>1000</v>
      </c>
      <c r="I68" s="94"/>
      <c r="J68" s="94"/>
      <c r="K68" s="94">
        <f t="shared" si="64"/>
        <v>1000</v>
      </c>
      <c r="L68" s="94"/>
      <c r="M68" s="94"/>
      <c r="N68" s="94">
        <f t="shared" si="65"/>
        <v>1000</v>
      </c>
      <c r="O68" s="94"/>
      <c r="P68" s="94"/>
      <c r="Q68" s="94">
        <f t="shared" si="66"/>
        <v>1000</v>
      </c>
      <c r="R68" s="94"/>
      <c r="S68" s="94"/>
      <c r="T68" s="94">
        <f t="shared" si="67"/>
        <v>1000</v>
      </c>
      <c r="U68" s="94"/>
      <c r="V68" s="94"/>
      <c r="W68" s="94">
        <f t="shared" si="68"/>
        <v>1000</v>
      </c>
      <c r="X68" s="94"/>
      <c r="Y68" s="94"/>
      <c r="Z68" s="94">
        <f t="shared" si="69"/>
        <v>1000</v>
      </c>
      <c r="AA68" s="94"/>
      <c r="AB68" s="94"/>
      <c r="AC68" s="94">
        <f t="shared" si="70"/>
        <v>1000</v>
      </c>
      <c r="AD68" s="94"/>
      <c r="AE68" s="94"/>
      <c r="AF68" s="94">
        <f t="shared" si="71"/>
        <v>1000</v>
      </c>
      <c r="AG68" s="94"/>
      <c r="AH68" s="94"/>
      <c r="AI68" s="94">
        <f t="shared" si="72"/>
        <v>1000</v>
      </c>
      <c r="AJ68" s="94"/>
      <c r="AK68" s="94"/>
      <c r="AL68" s="94">
        <f t="shared" si="73"/>
        <v>1000</v>
      </c>
      <c r="AM68" s="94"/>
      <c r="AN68" s="94"/>
      <c r="AO68" s="94">
        <f t="shared" si="74"/>
        <v>1000</v>
      </c>
      <c r="AP68" s="155">
        <v>1599</v>
      </c>
      <c r="AQ68" s="207">
        <f t="shared" si="3"/>
        <v>159.9</v>
      </c>
    </row>
    <row r="69" spans="1:43" s="24" customFormat="1" ht="24">
      <c r="A69" s="77"/>
      <c r="B69" s="78"/>
      <c r="C69" s="79" t="s">
        <v>205</v>
      </c>
      <c r="D69" s="83" t="s">
        <v>47</v>
      </c>
      <c r="E69" s="76">
        <v>1400</v>
      </c>
      <c r="F69" s="127"/>
      <c r="G69" s="127"/>
      <c r="H69" s="94">
        <f t="shared" si="48"/>
        <v>1400</v>
      </c>
      <c r="I69" s="94"/>
      <c r="J69" s="94"/>
      <c r="K69" s="94">
        <f t="shared" si="64"/>
        <v>1400</v>
      </c>
      <c r="L69" s="94"/>
      <c r="M69" s="94"/>
      <c r="N69" s="94">
        <f t="shared" si="65"/>
        <v>1400</v>
      </c>
      <c r="O69" s="94"/>
      <c r="P69" s="94"/>
      <c r="Q69" s="94">
        <f t="shared" si="66"/>
        <v>1400</v>
      </c>
      <c r="R69" s="94"/>
      <c r="S69" s="94"/>
      <c r="T69" s="94">
        <f t="shared" si="67"/>
        <v>1400</v>
      </c>
      <c r="U69" s="94"/>
      <c r="V69" s="94"/>
      <c r="W69" s="94">
        <f t="shared" si="68"/>
        <v>1400</v>
      </c>
      <c r="X69" s="94"/>
      <c r="Y69" s="94"/>
      <c r="Z69" s="94">
        <f t="shared" si="69"/>
        <v>1400</v>
      </c>
      <c r="AA69" s="94"/>
      <c r="AB69" s="94"/>
      <c r="AC69" s="94">
        <f t="shared" si="70"/>
        <v>1400</v>
      </c>
      <c r="AD69" s="94"/>
      <c r="AE69" s="94"/>
      <c r="AF69" s="94">
        <f t="shared" si="71"/>
        <v>1400</v>
      </c>
      <c r="AG69" s="94"/>
      <c r="AH69" s="94"/>
      <c r="AI69" s="94">
        <f t="shared" si="72"/>
        <v>1400</v>
      </c>
      <c r="AJ69" s="94"/>
      <c r="AK69" s="94"/>
      <c r="AL69" s="94">
        <f t="shared" si="73"/>
        <v>1400</v>
      </c>
      <c r="AM69" s="94">
        <f>700+100</f>
        <v>800</v>
      </c>
      <c r="AN69" s="94"/>
      <c r="AO69" s="94">
        <f t="shared" si="74"/>
        <v>2200</v>
      </c>
      <c r="AP69" s="155">
        <v>2190</v>
      </c>
      <c r="AQ69" s="207">
        <f t="shared" si="3"/>
        <v>99.54545454545455</v>
      </c>
    </row>
    <row r="70" spans="1:43" s="24" customFormat="1" ht="21.75" customHeight="1">
      <c r="A70" s="77"/>
      <c r="B70" s="78"/>
      <c r="C70" s="79" t="s">
        <v>207</v>
      </c>
      <c r="D70" s="83" t="s">
        <v>48</v>
      </c>
      <c r="E70" s="76">
        <v>360000</v>
      </c>
      <c r="F70" s="127"/>
      <c r="G70" s="127"/>
      <c r="H70" s="94">
        <f t="shared" si="48"/>
        <v>360000</v>
      </c>
      <c r="I70" s="94"/>
      <c r="J70" s="94"/>
      <c r="K70" s="94">
        <f t="shared" si="64"/>
        <v>360000</v>
      </c>
      <c r="L70" s="94"/>
      <c r="M70" s="94"/>
      <c r="N70" s="94">
        <f t="shared" si="65"/>
        <v>360000</v>
      </c>
      <c r="O70" s="94"/>
      <c r="P70" s="94"/>
      <c r="Q70" s="94">
        <f t="shared" si="66"/>
        <v>360000</v>
      </c>
      <c r="R70" s="94"/>
      <c r="S70" s="94"/>
      <c r="T70" s="94">
        <f t="shared" si="67"/>
        <v>360000</v>
      </c>
      <c r="U70" s="94"/>
      <c r="V70" s="94"/>
      <c r="W70" s="94">
        <f t="shared" si="68"/>
        <v>360000</v>
      </c>
      <c r="X70" s="94"/>
      <c r="Y70" s="94">
        <v>40000</v>
      </c>
      <c r="Z70" s="94">
        <f t="shared" si="69"/>
        <v>320000</v>
      </c>
      <c r="AA70" s="94"/>
      <c r="AB70" s="94">
        <v>0</v>
      </c>
      <c r="AC70" s="94">
        <f t="shared" si="70"/>
        <v>320000</v>
      </c>
      <c r="AD70" s="94"/>
      <c r="AE70" s="94"/>
      <c r="AF70" s="94">
        <f t="shared" si="71"/>
        <v>320000</v>
      </c>
      <c r="AG70" s="94"/>
      <c r="AH70" s="94"/>
      <c r="AI70" s="94">
        <f t="shared" si="72"/>
        <v>320000</v>
      </c>
      <c r="AJ70" s="94"/>
      <c r="AK70" s="94"/>
      <c r="AL70" s="94">
        <f t="shared" si="73"/>
        <v>320000</v>
      </c>
      <c r="AM70" s="94"/>
      <c r="AN70" s="94"/>
      <c r="AO70" s="94">
        <f t="shared" si="74"/>
        <v>320000</v>
      </c>
      <c r="AP70" s="155">
        <v>293416</v>
      </c>
      <c r="AQ70" s="207">
        <f t="shared" si="3"/>
        <v>91.6925</v>
      </c>
    </row>
    <row r="71" spans="1:43" s="24" customFormat="1" ht="21.75" customHeight="1">
      <c r="A71" s="77"/>
      <c r="B71" s="78"/>
      <c r="C71" s="79" t="s">
        <v>196</v>
      </c>
      <c r="D71" s="83" t="s">
        <v>281</v>
      </c>
      <c r="E71" s="76">
        <v>22200</v>
      </c>
      <c r="F71" s="127"/>
      <c r="G71" s="127"/>
      <c r="H71" s="94">
        <f t="shared" si="48"/>
        <v>22200</v>
      </c>
      <c r="I71" s="94"/>
      <c r="J71" s="94"/>
      <c r="K71" s="94">
        <f t="shared" si="64"/>
        <v>22200</v>
      </c>
      <c r="L71" s="94"/>
      <c r="M71" s="94"/>
      <c r="N71" s="94">
        <f t="shared" si="65"/>
        <v>22200</v>
      </c>
      <c r="O71" s="94"/>
      <c r="P71" s="94"/>
      <c r="Q71" s="94">
        <f t="shared" si="66"/>
        <v>22200</v>
      </c>
      <c r="R71" s="94"/>
      <c r="S71" s="94"/>
      <c r="T71" s="94">
        <f t="shared" si="67"/>
        <v>22200</v>
      </c>
      <c r="U71" s="94"/>
      <c r="V71" s="94"/>
      <c r="W71" s="94">
        <f t="shared" si="68"/>
        <v>22200</v>
      </c>
      <c r="X71" s="94">
        <v>37000</v>
      </c>
      <c r="Y71" s="94"/>
      <c r="Z71" s="94">
        <f t="shared" si="69"/>
        <v>59200</v>
      </c>
      <c r="AA71" s="94">
        <v>0</v>
      </c>
      <c r="AB71" s="94"/>
      <c r="AC71" s="94">
        <f t="shared" si="70"/>
        <v>59200</v>
      </c>
      <c r="AD71" s="94"/>
      <c r="AE71" s="94"/>
      <c r="AF71" s="94">
        <f t="shared" si="71"/>
        <v>59200</v>
      </c>
      <c r="AG71" s="94"/>
      <c r="AH71" s="94"/>
      <c r="AI71" s="94">
        <f t="shared" si="72"/>
        <v>59200</v>
      </c>
      <c r="AJ71" s="94"/>
      <c r="AK71" s="94"/>
      <c r="AL71" s="94">
        <f t="shared" si="73"/>
        <v>59200</v>
      </c>
      <c r="AM71" s="94"/>
      <c r="AN71" s="94"/>
      <c r="AO71" s="94">
        <f t="shared" si="74"/>
        <v>59200</v>
      </c>
      <c r="AP71" s="155">
        <v>69134</v>
      </c>
      <c r="AQ71" s="207">
        <f t="shared" si="3"/>
        <v>116.78040540540539</v>
      </c>
    </row>
    <row r="72" spans="1:43" s="24" customFormat="1" ht="36">
      <c r="A72" s="77"/>
      <c r="B72" s="78" t="s">
        <v>49</v>
      </c>
      <c r="C72" s="86"/>
      <c r="D72" s="83" t="s">
        <v>50</v>
      </c>
      <c r="E72" s="76">
        <f>SUM(E73:E76)</f>
        <v>584000</v>
      </c>
      <c r="F72" s="76">
        <f>SUM(F73:F76)</f>
        <v>0</v>
      </c>
      <c r="G72" s="76">
        <f>SUM(G73:G76)</f>
        <v>0</v>
      </c>
      <c r="H72" s="76">
        <f>SUM(H73:H77)</f>
        <v>584000</v>
      </c>
      <c r="I72" s="76">
        <f aca="true" t="shared" si="75" ref="I72:AP72">SUM(I73:I77)</f>
        <v>0</v>
      </c>
      <c r="J72" s="76">
        <f t="shared" si="75"/>
        <v>0</v>
      </c>
      <c r="K72" s="76">
        <f t="shared" si="75"/>
        <v>584000</v>
      </c>
      <c r="L72" s="76">
        <f t="shared" si="75"/>
        <v>0</v>
      </c>
      <c r="M72" s="76">
        <f t="shared" si="75"/>
        <v>0</v>
      </c>
      <c r="N72" s="76">
        <f t="shared" si="75"/>
        <v>584000</v>
      </c>
      <c r="O72" s="76">
        <f t="shared" si="75"/>
        <v>0</v>
      </c>
      <c r="P72" s="76">
        <f t="shared" si="75"/>
        <v>0</v>
      </c>
      <c r="Q72" s="76">
        <f t="shared" si="75"/>
        <v>584000</v>
      </c>
      <c r="R72" s="76">
        <f t="shared" si="75"/>
        <v>0</v>
      </c>
      <c r="S72" s="76">
        <f t="shared" si="75"/>
        <v>0</v>
      </c>
      <c r="T72" s="76">
        <f t="shared" si="75"/>
        <v>584000</v>
      </c>
      <c r="U72" s="76">
        <f t="shared" si="75"/>
        <v>0</v>
      </c>
      <c r="V72" s="76">
        <f t="shared" si="75"/>
        <v>0</v>
      </c>
      <c r="W72" s="76">
        <f t="shared" si="75"/>
        <v>584000</v>
      </c>
      <c r="X72" s="76">
        <f t="shared" si="75"/>
        <v>0</v>
      </c>
      <c r="Y72" s="76">
        <f t="shared" si="75"/>
        <v>0</v>
      </c>
      <c r="Z72" s="76">
        <f t="shared" si="75"/>
        <v>584000</v>
      </c>
      <c r="AA72" s="76">
        <f t="shared" si="75"/>
        <v>0</v>
      </c>
      <c r="AB72" s="76">
        <f t="shared" si="75"/>
        <v>0</v>
      </c>
      <c r="AC72" s="76">
        <f t="shared" si="75"/>
        <v>584000</v>
      </c>
      <c r="AD72" s="76">
        <f t="shared" si="75"/>
        <v>0</v>
      </c>
      <c r="AE72" s="76">
        <f t="shared" si="75"/>
        <v>0</v>
      </c>
      <c r="AF72" s="76">
        <f t="shared" si="75"/>
        <v>584000</v>
      </c>
      <c r="AG72" s="76">
        <f t="shared" si="75"/>
        <v>13000</v>
      </c>
      <c r="AH72" s="76">
        <f t="shared" si="75"/>
        <v>0</v>
      </c>
      <c r="AI72" s="76">
        <f t="shared" si="75"/>
        <v>597000</v>
      </c>
      <c r="AJ72" s="76">
        <f t="shared" si="75"/>
        <v>9495</v>
      </c>
      <c r="AK72" s="76">
        <f t="shared" si="75"/>
        <v>0</v>
      </c>
      <c r="AL72" s="76">
        <f t="shared" si="75"/>
        <v>606495</v>
      </c>
      <c r="AM72" s="76">
        <f t="shared" si="75"/>
        <v>0</v>
      </c>
      <c r="AN72" s="76">
        <f t="shared" si="75"/>
        <v>50000</v>
      </c>
      <c r="AO72" s="76">
        <f t="shared" si="75"/>
        <v>556495</v>
      </c>
      <c r="AP72" s="76">
        <f t="shared" si="75"/>
        <v>533345</v>
      </c>
      <c r="AQ72" s="207">
        <f t="shared" si="3"/>
        <v>95.8400345016577</v>
      </c>
    </row>
    <row r="73" spans="1:43" s="24" customFormat="1" ht="21.75" customHeight="1">
      <c r="A73" s="77"/>
      <c r="B73" s="78"/>
      <c r="C73" s="79" t="s">
        <v>208</v>
      </c>
      <c r="D73" s="83" t="s">
        <v>51</v>
      </c>
      <c r="E73" s="76">
        <f>200000+20000</f>
        <v>220000</v>
      </c>
      <c r="F73" s="127"/>
      <c r="G73" s="127"/>
      <c r="H73" s="94">
        <f t="shared" si="48"/>
        <v>220000</v>
      </c>
      <c r="I73" s="94"/>
      <c r="J73" s="94"/>
      <c r="K73" s="94">
        <f>SUM(H73+I73-J73)</f>
        <v>220000</v>
      </c>
      <c r="L73" s="94"/>
      <c r="M73" s="94"/>
      <c r="N73" s="94">
        <f>SUM(K73+L73-M73)</f>
        <v>220000</v>
      </c>
      <c r="O73" s="94"/>
      <c r="P73" s="94"/>
      <c r="Q73" s="94">
        <f>SUM(N73+O73-P73)</f>
        <v>220000</v>
      </c>
      <c r="R73" s="94"/>
      <c r="S73" s="94"/>
      <c r="T73" s="94">
        <f>SUM(Q73+R73-S73)</f>
        <v>220000</v>
      </c>
      <c r="U73" s="94"/>
      <c r="V73" s="94"/>
      <c r="W73" s="94">
        <f>SUM(T73+U73-V73)</f>
        <v>220000</v>
      </c>
      <c r="X73" s="94"/>
      <c r="Y73" s="94"/>
      <c r="Z73" s="94">
        <f>SUM(W73+X73-Y73)</f>
        <v>220000</v>
      </c>
      <c r="AA73" s="94"/>
      <c r="AB73" s="94"/>
      <c r="AC73" s="94">
        <f>SUM(Z73+AA73-AB73)</f>
        <v>220000</v>
      </c>
      <c r="AD73" s="94"/>
      <c r="AE73" s="94"/>
      <c r="AF73" s="94">
        <f>SUM(AC73+AD73-AE73)</f>
        <v>220000</v>
      </c>
      <c r="AG73" s="94"/>
      <c r="AH73" s="94"/>
      <c r="AI73" s="94">
        <f>SUM(AF73+AG73-AH73)</f>
        <v>220000</v>
      </c>
      <c r="AJ73" s="94"/>
      <c r="AK73" s="94"/>
      <c r="AL73" s="94">
        <f>SUM(AI73+AJ73-AK73)</f>
        <v>220000</v>
      </c>
      <c r="AM73" s="94"/>
      <c r="AN73" s="94"/>
      <c r="AO73" s="94">
        <f>SUM(AL73+AM73-AN73)</f>
        <v>220000</v>
      </c>
      <c r="AP73" s="155">
        <v>201362</v>
      </c>
      <c r="AQ73" s="207">
        <f t="shared" si="3"/>
        <v>91.52818181818182</v>
      </c>
    </row>
    <row r="74" spans="1:43" s="24" customFormat="1" ht="21.75" customHeight="1">
      <c r="A74" s="77"/>
      <c r="B74" s="78"/>
      <c r="C74" s="79" t="s">
        <v>206</v>
      </c>
      <c r="D74" s="83" t="s">
        <v>42</v>
      </c>
      <c r="E74" s="76">
        <v>14000</v>
      </c>
      <c r="F74" s="127"/>
      <c r="G74" s="127"/>
      <c r="H74" s="94">
        <f t="shared" si="48"/>
        <v>14000</v>
      </c>
      <c r="I74" s="94"/>
      <c r="J74" s="94"/>
      <c r="K74" s="94">
        <f>SUM(H74+I74-J74)</f>
        <v>14000</v>
      </c>
      <c r="L74" s="94"/>
      <c r="M74" s="94"/>
      <c r="N74" s="94">
        <f>SUM(K74+L74-M74)</f>
        <v>14000</v>
      </c>
      <c r="O74" s="94"/>
      <c r="P74" s="94"/>
      <c r="Q74" s="94">
        <f>SUM(N74+O74-P74)</f>
        <v>14000</v>
      </c>
      <c r="R74" s="94"/>
      <c r="S74" s="94"/>
      <c r="T74" s="94">
        <f>SUM(Q74+R74-S74)</f>
        <v>14000</v>
      </c>
      <c r="U74" s="94"/>
      <c r="V74" s="94"/>
      <c r="W74" s="94">
        <f>SUM(T74+U74-V74)</f>
        <v>14000</v>
      </c>
      <c r="X74" s="94"/>
      <c r="Y74" s="94"/>
      <c r="Z74" s="94">
        <f>SUM(W74+X74-Y74)</f>
        <v>14000</v>
      </c>
      <c r="AA74" s="94"/>
      <c r="AB74" s="94"/>
      <c r="AC74" s="94">
        <f>SUM(Z74+AA74-AB74)</f>
        <v>14000</v>
      </c>
      <c r="AD74" s="94"/>
      <c r="AE74" s="94"/>
      <c r="AF74" s="94">
        <f>SUM(AC74+AD74-AE74)</f>
        <v>14000</v>
      </c>
      <c r="AG74" s="94"/>
      <c r="AH74" s="94"/>
      <c r="AI74" s="94">
        <f>SUM(AF74+AG74-AH74)</f>
        <v>14000</v>
      </c>
      <c r="AJ74" s="94">
        <v>5737</v>
      </c>
      <c r="AK74" s="94"/>
      <c r="AL74" s="94">
        <f>SUM(AI74+AJ74-AK74)</f>
        <v>19737</v>
      </c>
      <c r="AM74" s="94"/>
      <c r="AN74" s="94"/>
      <c r="AO74" s="94">
        <f>SUM(AL74+AM74-AN74)</f>
        <v>19737</v>
      </c>
      <c r="AP74" s="155">
        <v>15959</v>
      </c>
      <c r="AQ74" s="207">
        <f t="shared" si="3"/>
        <v>80.8582864670416</v>
      </c>
    </row>
    <row r="75" spans="1:43" s="24" customFormat="1" ht="24">
      <c r="A75" s="77"/>
      <c r="B75" s="78"/>
      <c r="C75" s="79" t="s">
        <v>212</v>
      </c>
      <c r="D75" s="83" t="s">
        <v>66</v>
      </c>
      <c r="E75" s="76">
        <v>280000</v>
      </c>
      <c r="F75" s="127"/>
      <c r="G75" s="127"/>
      <c r="H75" s="94">
        <f t="shared" si="48"/>
        <v>280000</v>
      </c>
      <c r="I75" s="94"/>
      <c r="J75" s="94"/>
      <c r="K75" s="94">
        <f>SUM(H75+I75-J75)</f>
        <v>280000</v>
      </c>
      <c r="L75" s="94"/>
      <c r="M75" s="94"/>
      <c r="N75" s="94">
        <f>SUM(K75+L75-M75)</f>
        <v>280000</v>
      </c>
      <c r="O75" s="94"/>
      <c r="P75" s="94"/>
      <c r="Q75" s="94">
        <f>SUM(N75+O75-P75)</f>
        <v>280000</v>
      </c>
      <c r="R75" s="94"/>
      <c r="S75" s="94"/>
      <c r="T75" s="94">
        <f>SUM(Q75+R75-S75)</f>
        <v>280000</v>
      </c>
      <c r="U75" s="94"/>
      <c r="V75" s="94"/>
      <c r="W75" s="94">
        <f>SUM(T75+U75-V75)</f>
        <v>280000</v>
      </c>
      <c r="X75" s="94"/>
      <c r="Y75" s="94"/>
      <c r="Z75" s="94">
        <f>SUM(W75+X75-Y75)</f>
        <v>280000</v>
      </c>
      <c r="AA75" s="94"/>
      <c r="AB75" s="94"/>
      <c r="AC75" s="94">
        <f>SUM(Z75+AA75-AB75)</f>
        <v>280000</v>
      </c>
      <c r="AD75" s="94"/>
      <c r="AE75" s="94"/>
      <c r="AF75" s="94">
        <f>SUM(AC75+AD75-AE75)</f>
        <v>280000</v>
      </c>
      <c r="AG75" s="94">
        <v>13000</v>
      </c>
      <c r="AH75" s="94"/>
      <c r="AI75" s="94">
        <f>SUM(AF75+AG75-AH75)</f>
        <v>293000</v>
      </c>
      <c r="AJ75" s="94">
        <v>3758</v>
      </c>
      <c r="AK75" s="94"/>
      <c r="AL75" s="94">
        <f>SUM(AI75+AJ75-AK75)</f>
        <v>296758</v>
      </c>
      <c r="AM75" s="94"/>
      <c r="AN75" s="94"/>
      <c r="AO75" s="94">
        <f>SUM(AL75+AM75-AN75)</f>
        <v>296758</v>
      </c>
      <c r="AP75" s="155">
        <v>296758</v>
      </c>
      <c r="AQ75" s="207">
        <f aca="true" t="shared" si="76" ref="AQ75:AQ141">AP75/AO75*100</f>
        <v>100</v>
      </c>
    </row>
    <row r="76" spans="1:43" s="24" customFormat="1" ht="48">
      <c r="A76" s="77"/>
      <c r="B76" s="78"/>
      <c r="C76" s="79" t="s">
        <v>189</v>
      </c>
      <c r="D76" s="83" t="s">
        <v>7</v>
      </c>
      <c r="E76" s="76">
        <v>70000</v>
      </c>
      <c r="F76" s="127"/>
      <c r="G76" s="127"/>
      <c r="H76" s="94">
        <f t="shared" si="48"/>
        <v>70000</v>
      </c>
      <c r="I76" s="94"/>
      <c r="J76" s="94"/>
      <c r="K76" s="94">
        <f>SUM(H76+I76-J76)</f>
        <v>70000</v>
      </c>
      <c r="L76" s="94"/>
      <c r="M76" s="94"/>
      <c r="N76" s="94">
        <f>SUM(K76+L76-M76)</f>
        <v>70000</v>
      </c>
      <c r="O76" s="94"/>
      <c r="P76" s="94"/>
      <c r="Q76" s="94">
        <f>SUM(N76+O76-P76)</f>
        <v>70000</v>
      </c>
      <c r="R76" s="94"/>
      <c r="S76" s="94"/>
      <c r="T76" s="94">
        <f>SUM(Q76+R76-S76)</f>
        <v>70000</v>
      </c>
      <c r="U76" s="94"/>
      <c r="V76" s="94"/>
      <c r="W76" s="94">
        <f>SUM(T76+U76-V76)</f>
        <v>70000</v>
      </c>
      <c r="X76" s="94"/>
      <c r="Y76" s="94"/>
      <c r="Z76" s="94">
        <f>SUM(W76+X76-Y76)</f>
        <v>70000</v>
      </c>
      <c r="AA76" s="94"/>
      <c r="AB76" s="94"/>
      <c r="AC76" s="94">
        <f>SUM(Z76+AA76-AB76)</f>
        <v>70000</v>
      </c>
      <c r="AD76" s="94"/>
      <c r="AE76" s="94"/>
      <c r="AF76" s="94">
        <f>SUM(AC76+AD76-AE76)</f>
        <v>70000</v>
      </c>
      <c r="AG76" s="94"/>
      <c r="AH76" s="94"/>
      <c r="AI76" s="94">
        <f>SUM(AF76+AG76-AH76)</f>
        <v>70000</v>
      </c>
      <c r="AJ76" s="94"/>
      <c r="AK76" s="94"/>
      <c r="AL76" s="94">
        <f>SUM(AI76+AJ76-AK76)</f>
        <v>70000</v>
      </c>
      <c r="AM76" s="94"/>
      <c r="AN76" s="94">
        <v>50000</v>
      </c>
      <c r="AO76" s="94">
        <f>SUM(AL76+AM76-AN76)</f>
        <v>20000</v>
      </c>
      <c r="AP76" s="155">
        <v>19288</v>
      </c>
      <c r="AQ76" s="207">
        <f t="shared" si="76"/>
        <v>96.44</v>
      </c>
    </row>
    <row r="77" spans="1:43" s="24" customFormat="1" ht="21.75" customHeight="1">
      <c r="A77" s="77"/>
      <c r="B77" s="78"/>
      <c r="C77" s="79" t="s">
        <v>196</v>
      </c>
      <c r="D77" s="83" t="s">
        <v>281</v>
      </c>
      <c r="E77" s="76"/>
      <c r="F77" s="127"/>
      <c r="G77" s="127"/>
      <c r="H77" s="94">
        <v>0</v>
      </c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v>0</v>
      </c>
      <c r="AP77" s="155">
        <v>-22</v>
      </c>
      <c r="AQ77" s="207">
        <v>0</v>
      </c>
    </row>
    <row r="78" spans="1:43" s="24" customFormat="1" ht="24">
      <c r="A78" s="77"/>
      <c r="B78" s="78" t="s">
        <v>52</v>
      </c>
      <c r="C78" s="86"/>
      <c r="D78" s="83" t="s">
        <v>53</v>
      </c>
      <c r="E78" s="76">
        <f aca="true" t="shared" si="77" ref="E78:K78">SUM(E79:E80)</f>
        <v>6028628</v>
      </c>
      <c r="F78" s="76">
        <f t="shared" si="77"/>
        <v>37694</v>
      </c>
      <c r="G78" s="76">
        <f t="shared" si="77"/>
        <v>0</v>
      </c>
      <c r="H78" s="76">
        <f t="shared" si="77"/>
        <v>6066322</v>
      </c>
      <c r="I78" s="76">
        <f t="shared" si="77"/>
        <v>0</v>
      </c>
      <c r="J78" s="76">
        <f t="shared" si="77"/>
        <v>0</v>
      </c>
      <c r="K78" s="76">
        <f t="shared" si="77"/>
        <v>6066322</v>
      </c>
      <c r="L78" s="76">
        <f aca="true" t="shared" si="78" ref="L78:Q78">SUM(L79:L80)</f>
        <v>0</v>
      </c>
      <c r="M78" s="76">
        <f t="shared" si="78"/>
        <v>0</v>
      </c>
      <c r="N78" s="76">
        <f t="shared" si="78"/>
        <v>6066322</v>
      </c>
      <c r="O78" s="76">
        <f t="shared" si="78"/>
        <v>0</v>
      </c>
      <c r="P78" s="76">
        <f t="shared" si="78"/>
        <v>0</v>
      </c>
      <c r="Q78" s="76">
        <f t="shared" si="78"/>
        <v>6066322</v>
      </c>
      <c r="R78" s="76">
        <f aca="true" t="shared" si="79" ref="R78:W78">SUM(R79:R80)</f>
        <v>0</v>
      </c>
      <c r="S78" s="76">
        <f t="shared" si="79"/>
        <v>0</v>
      </c>
      <c r="T78" s="76">
        <f t="shared" si="79"/>
        <v>6066322</v>
      </c>
      <c r="U78" s="76">
        <f t="shared" si="79"/>
        <v>0</v>
      </c>
      <c r="V78" s="76">
        <f t="shared" si="79"/>
        <v>0</v>
      </c>
      <c r="W78" s="76">
        <f t="shared" si="79"/>
        <v>6066322</v>
      </c>
      <c r="X78" s="76">
        <f>SUM(X79:X80)</f>
        <v>100000</v>
      </c>
      <c r="Y78" s="76">
        <f>SUM(Y79:Y80)</f>
        <v>0</v>
      </c>
      <c r="Z78" s="76">
        <f>SUM(Z79:Z80)</f>
        <v>6166322</v>
      </c>
      <c r="AA78" s="76">
        <v>0</v>
      </c>
      <c r="AB78" s="76">
        <f>SUM(AB79:AB80)</f>
        <v>0</v>
      </c>
      <c r="AC78" s="76">
        <f>SUM(AC79:AC80)</f>
        <v>6166322</v>
      </c>
      <c r="AD78" s="76">
        <v>0</v>
      </c>
      <c r="AE78" s="76">
        <f>SUM(AE79:AE80)</f>
        <v>0</v>
      </c>
      <c r="AF78" s="76">
        <f>SUM(AF79:AF80)</f>
        <v>6166322</v>
      </c>
      <c r="AG78" s="76">
        <v>0</v>
      </c>
      <c r="AH78" s="76">
        <f aca="true" t="shared" si="80" ref="AH78:AO78">SUM(AH79:AH80)</f>
        <v>0</v>
      </c>
      <c r="AI78" s="76">
        <f t="shared" si="80"/>
        <v>6166322</v>
      </c>
      <c r="AJ78" s="76">
        <f t="shared" si="80"/>
        <v>70000</v>
      </c>
      <c r="AK78" s="76">
        <f t="shared" si="80"/>
        <v>0</v>
      </c>
      <c r="AL78" s="76">
        <f t="shared" si="80"/>
        <v>6236322</v>
      </c>
      <c r="AM78" s="76">
        <f t="shared" si="80"/>
        <v>0</v>
      </c>
      <c r="AN78" s="76">
        <f t="shared" si="80"/>
        <v>0</v>
      </c>
      <c r="AO78" s="76">
        <f t="shared" si="80"/>
        <v>6236322</v>
      </c>
      <c r="AP78" s="155">
        <f>SUM(AP79:AP80)</f>
        <v>6529364</v>
      </c>
      <c r="AQ78" s="207">
        <f t="shared" si="76"/>
        <v>104.69895557028646</v>
      </c>
    </row>
    <row r="79" spans="1:43" s="24" customFormat="1" ht="21.75" customHeight="1">
      <c r="A79" s="77"/>
      <c r="B79" s="78"/>
      <c r="C79" s="79" t="s">
        <v>209</v>
      </c>
      <c r="D79" s="83" t="s">
        <v>54</v>
      </c>
      <c r="E79" s="76">
        <v>5628628</v>
      </c>
      <c r="F79" s="94">
        <v>37694</v>
      </c>
      <c r="G79" s="127"/>
      <c r="H79" s="94">
        <f t="shared" si="48"/>
        <v>5666322</v>
      </c>
      <c r="I79" s="94"/>
      <c r="J79" s="94"/>
      <c r="K79" s="94">
        <f>SUM(H79+I79-J79)</f>
        <v>5666322</v>
      </c>
      <c r="L79" s="94"/>
      <c r="M79" s="94"/>
      <c r="N79" s="94">
        <f>SUM(K79+L79-M79)</f>
        <v>5666322</v>
      </c>
      <c r="O79" s="94"/>
      <c r="P79" s="94"/>
      <c r="Q79" s="94">
        <f>SUM(N79+O79-P79)</f>
        <v>5666322</v>
      </c>
      <c r="R79" s="94"/>
      <c r="S79" s="94"/>
      <c r="T79" s="94">
        <f>SUM(Q79+R79-S79)</f>
        <v>5666322</v>
      </c>
      <c r="U79" s="94"/>
      <c r="V79" s="94"/>
      <c r="W79" s="94">
        <f>SUM(T79+U79-V79)</f>
        <v>5666322</v>
      </c>
      <c r="X79" s="94"/>
      <c r="Y79" s="94"/>
      <c r="Z79" s="94">
        <f>SUM(W79+X79-Y79)</f>
        <v>5666322</v>
      </c>
      <c r="AA79" s="94"/>
      <c r="AB79" s="94"/>
      <c r="AC79" s="94">
        <f>SUM(Z79+AA79-AB79)</f>
        <v>5666322</v>
      </c>
      <c r="AD79" s="94"/>
      <c r="AE79" s="94"/>
      <c r="AF79" s="94">
        <f>SUM(AC79+AD79-AE79)</f>
        <v>5666322</v>
      </c>
      <c r="AG79" s="94"/>
      <c r="AH79" s="94"/>
      <c r="AI79" s="94">
        <f>SUM(AF79+AG79-AH79)</f>
        <v>5666322</v>
      </c>
      <c r="AJ79" s="94"/>
      <c r="AK79" s="94"/>
      <c r="AL79" s="94">
        <f>SUM(AI79+AJ79-AK79)</f>
        <v>5666322</v>
      </c>
      <c r="AM79" s="94"/>
      <c r="AN79" s="94"/>
      <c r="AO79" s="94">
        <f>SUM(AL79+AM79-AN79)</f>
        <v>5666322</v>
      </c>
      <c r="AP79" s="155">
        <v>5875720</v>
      </c>
      <c r="AQ79" s="207">
        <f t="shared" si="76"/>
        <v>103.69548359588461</v>
      </c>
    </row>
    <row r="80" spans="1:43" s="24" customFormat="1" ht="21.75" customHeight="1">
      <c r="A80" s="77"/>
      <c r="B80" s="78"/>
      <c r="C80" s="79" t="s">
        <v>210</v>
      </c>
      <c r="D80" s="83" t="s">
        <v>55</v>
      </c>
      <c r="E80" s="76">
        <v>400000</v>
      </c>
      <c r="F80" s="127"/>
      <c r="G80" s="127"/>
      <c r="H80" s="94">
        <f t="shared" si="48"/>
        <v>400000</v>
      </c>
      <c r="I80" s="94"/>
      <c r="J80" s="94"/>
      <c r="K80" s="94">
        <f>SUM(H80+I80-J80)</f>
        <v>400000</v>
      </c>
      <c r="L80" s="94"/>
      <c r="M80" s="94"/>
      <c r="N80" s="94">
        <f>SUM(K80+L80-M80)</f>
        <v>400000</v>
      </c>
      <c r="O80" s="94"/>
      <c r="P80" s="94"/>
      <c r="Q80" s="94">
        <f>SUM(N80+O80-P80)</f>
        <v>400000</v>
      </c>
      <c r="R80" s="94"/>
      <c r="S80" s="94"/>
      <c r="T80" s="94">
        <f>SUM(Q80+R80-S80)</f>
        <v>400000</v>
      </c>
      <c r="U80" s="94"/>
      <c r="V80" s="94"/>
      <c r="W80" s="94">
        <f>SUM(T80+U80-V80)</f>
        <v>400000</v>
      </c>
      <c r="X80" s="94">
        <v>100000</v>
      </c>
      <c r="Y80" s="94"/>
      <c r="Z80" s="94">
        <f>SUM(W80+X80-Y80)</f>
        <v>500000</v>
      </c>
      <c r="AA80" s="94">
        <v>0</v>
      </c>
      <c r="AB80" s="94"/>
      <c r="AC80" s="94">
        <f>SUM(Z80+AA80-AB80)</f>
        <v>500000</v>
      </c>
      <c r="AD80" s="94"/>
      <c r="AE80" s="94"/>
      <c r="AF80" s="94">
        <f>SUM(AC80+AD80-AE80)</f>
        <v>500000</v>
      </c>
      <c r="AG80" s="94"/>
      <c r="AH80" s="94"/>
      <c r="AI80" s="94">
        <f>SUM(AF80+AG80-AH80)</f>
        <v>500000</v>
      </c>
      <c r="AJ80" s="94">
        <v>70000</v>
      </c>
      <c r="AK80" s="94"/>
      <c r="AL80" s="94">
        <f>SUM(AI80+AJ80-AK80)</f>
        <v>570000</v>
      </c>
      <c r="AM80" s="94"/>
      <c r="AN80" s="94"/>
      <c r="AO80" s="94">
        <f>SUM(AL80+AM80-AN80)</f>
        <v>570000</v>
      </c>
      <c r="AP80" s="155">
        <v>653644</v>
      </c>
      <c r="AQ80" s="207">
        <f t="shared" si="76"/>
        <v>114.67438596491229</v>
      </c>
    </row>
    <row r="81" spans="1:43" s="42" customFormat="1" ht="21.75" customHeight="1">
      <c r="A81" s="30" t="s">
        <v>56</v>
      </c>
      <c r="B81" s="3"/>
      <c r="C81" s="20"/>
      <c r="D81" s="31" t="s">
        <v>57</v>
      </c>
      <c r="E81" s="66">
        <f>SUM(E82,E86,E84)</f>
        <v>13579690</v>
      </c>
      <c r="F81" s="66">
        <f>SUM(F82,F86,F84)</f>
        <v>0</v>
      </c>
      <c r="G81" s="66">
        <f>SUM(G82,G86,G84)</f>
        <v>806739</v>
      </c>
      <c r="H81" s="66">
        <f>SUM(H82,H86,H84,H88)</f>
        <v>12772951</v>
      </c>
      <c r="I81" s="66">
        <f aca="true" t="shared" si="81" ref="I81:AP81">SUM(I82,I86,I84,I88)</f>
        <v>0</v>
      </c>
      <c r="J81" s="66">
        <f t="shared" si="81"/>
        <v>0</v>
      </c>
      <c r="K81" s="66">
        <f t="shared" si="81"/>
        <v>12772951</v>
      </c>
      <c r="L81" s="66">
        <f t="shared" si="81"/>
        <v>0</v>
      </c>
      <c r="M81" s="66">
        <f t="shared" si="81"/>
        <v>0</v>
      </c>
      <c r="N81" s="66">
        <f t="shared" si="81"/>
        <v>12772951</v>
      </c>
      <c r="O81" s="66">
        <f t="shared" si="81"/>
        <v>0</v>
      </c>
      <c r="P81" s="66">
        <f t="shared" si="81"/>
        <v>0</v>
      </c>
      <c r="Q81" s="66">
        <f t="shared" si="81"/>
        <v>12772951</v>
      </c>
      <c r="R81" s="66">
        <f t="shared" si="81"/>
        <v>0</v>
      </c>
      <c r="S81" s="66">
        <f t="shared" si="81"/>
        <v>0</v>
      </c>
      <c r="T81" s="66">
        <f t="shared" si="81"/>
        <v>12772951</v>
      </c>
      <c r="U81" s="66">
        <f t="shared" si="81"/>
        <v>0</v>
      </c>
      <c r="V81" s="66">
        <f t="shared" si="81"/>
        <v>0</v>
      </c>
      <c r="W81" s="66">
        <f t="shared" si="81"/>
        <v>12772951</v>
      </c>
      <c r="X81" s="66">
        <f t="shared" si="81"/>
        <v>0</v>
      </c>
      <c r="Y81" s="66">
        <f t="shared" si="81"/>
        <v>0</v>
      </c>
      <c r="Z81" s="66">
        <f t="shared" si="81"/>
        <v>12772951</v>
      </c>
      <c r="AA81" s="66">
        <f t="shared" si="81"/>
        <v>0</v>
      </c>
      <c r="AB81" s="66">
        <f t="shared" si="81"/>
        <v>0</v>
      </c>
      <c r="AC81" s="66">
        <f t="shared" si="81"/>
        <v>12772951</v>
      </c>
      <c r="AD81" s="66">
        <f t="shared" si="81"/>
        <v>0</v>
      </c>
      <c r="AE81" s="66">
        <f t="shared" si="81"/>
        <v>0</v>
      </c>
      <c r="AF81" s="66">
        <f t="shared" si="81"/>
        <v>12772951</v>
      </c>
      <c r="AG81" s="66">
        <f t="shared" si="81"/>
        <v>0</v>
      </c>
      <c r="AH81" s="66">
        <f t="shared" si="81"/>
        <v>0</v>
      </c>
      <c r="AI81" s="66">
        <f t="shared" si="81"/>
        <v>12772951</v>
      </c>
      <c r="AJ81" s="66">
        <f t="shared" si="81"/>
        <v>0</v>
      </c>
      <c r="AK81" s="66">
        <f t="shared" si="81"/>
        <v>0</v>
      </c>
      <c r="AL81" s="66">
        <f t="shared" si="81"/>
        <v>12772951</v>
      </c>
      <c r="AM81" s="66">
        <f t="shared" si="81"/>
        <v>293895</v>
      </c>
      <c r="AN81" s="66">
        <f t="shared" si="81"/>
        <v>0</v>
      </c>
      <c r="AO81" s="66">
        <f t="shared" si="81"/>
        <v>13066846</v>
      </c>
      <c r="AP81" s="66">
        <f t="shared" si="81"/>
        <v>13064158</v>
      </c>
      <c r="AQ81" s="208">
        <f t="shared" si="76"/>
        <v>99.97942885375706</v>
      </c>
    </row>
    <row r="82" spans="1:43" s="24" customFormat="1" ht="24">
      <c r="A82" s="77"/>
      <c r="B82" s="78" t="s">
        <v>58</v>
      </c>
      <c r="C82" s="86"/>
      <c r="D82" s="83" t="s">
        <v>59</v>
      </c>
      <c r="E82" s="76">
        <f aca="true" t="shared" si="82" ref="E82:AO82">SUM(E83)</f>
        <v>10853230</v>
      </c>
      <c r="F82" s="76">
        <f t="shared" si="82"/>
        <v>0</v>
      </c>
      <c r="G82" s="76">
        <f t="shared" si="82"/>
        <v>806739</v>
      </c>
      <c r="H82" s="76">
        <f t="shared" si="82"/>
        <v>10046491</v>
      </c>
      <c r="I82" s="76">
        <f t="shared" si="82"/>
        <v>0</v>
      </c>
      <c r="J82" s="76">
        <f t="shared" si="82"/>
        <v>0</v>
      </c>
      <c r="K82" s="76">
        <f t="shared" si="82"/>
        <v>10046491</v>
      </c>
      <c r="L82" s="76">
        <f t="shared" si="82"/>
        <v>0</v>
      </c>
      <c r="M82" s="76">
        <f t="shared" si="82"/>
        <v>0</v>
      </c>
      <c r="N82" s="76">
        <f t="shared" si="82"/>
        <v>10046491</v>
      </c>
      <c r="O82" s="76">
        <f t="shared" si="82"/>
        <v>0</v>
      </c>
      <c r="P82" s="76">
        <f t="shared" si="82"/>
        <v>0</v>
      </c>
      <c r="Q82" s="76">
        <f t="shared" si="82"/>
        <v>10046491</v>
      </c>
      <c r="R82" s="76">
        <f t="shared" si="82"/>
        <v>0</v>
      </c>
      <c r="S82" s="76">
        <f t="shared" si="82"/>
        <v>0</v>
      </c>
      <c r="T82" s="76">
        <f t="shared" si="82"/>
        <v>10046491</v>
      </c>
      <c r="U82" s="76">
        <f t="shared" si="82"/>
        <v>0</v>
      </c>
      <c r="V82" s="76">
        <f t="shared" si="82"/>
        <v>0</v>
      </c>
      <c r="W82" s="76">
        <f t="shared" si="82"/>
        <v>10046491</v>
      </c>
      <c r="X82" s="76">
        <f t="shared" si="82"/>
        <v>0</v>
      </c>
      <c r="Y82" s="76">
        <f t="shared" si="82"/>
        <v>0</v>
      </c>
      <c r="Z82" s="76">
        <f t="shared" si="82"/>
        <v>10046491</v>
      </c>
      <c r="AA82" s="76">
        <f t="shared" si="82"/>
        <v>0</v>
      </c>
      <c r="AB82" s="76">
        <f t="shared" si="82"/>
        <v>0</v>
      </c>
      <c r="AC82" s="76">
        <f t="shared" si="82"/>
        <v>10046491</v>
      </c>
      <c r="AD82" s="76">
        <f t="shared" si="82"/>
        <v>0</v>
      </c>
      <c r="AE82" s="76">
        <f t="shared" si="82"/>
        <v>0</v>
      </c>
      <c r="AF82" s="76">
        <f t="shared" si="82"/>
        <v>10046491</v>
      </c>
      <c r="AG82" s="76">
        <f t="shared" si="82"/>
        <v>0</v>
      </c>
      <c r="AH82" s="76">
        <f t="shared" si="82"/>
        <v>0</v>
      </c>
      <c r="AI82" s="76">
        <f t="shared" si="82"/>
        <v>10046491</v>
      </c>
      <c r="AJ82" s="76">
        <f t="shared" si="82"/>
        <v>0</v>
      </c>
      <c r="AK82" s="76">
        <f t="shared" si="82"/>
        <v>0</v>
      </c>
      <c r="AL82" s="76">
        <f t="shared" si="82"/>
        <v>10046491</v>
      </c>
      <c r="AM82" s="76">
        <f t="shared" si="82"/>
        <v>293895</v>
      </c>
      <c r="AN82" s="76">
        <f t="shared" si="82"/>
        <v>0</v>
      </c>
      <c r="AO82" s="76">
        <f t="shared" si="82"/>
        <v>10340386</v>
      </c>
      <c r="AP82" s="155">
        <f>SUM(AP83)</f>
        <v>10340386</v>
      </c>
      <c r="AQ82" s="207">
        <f t="shared" si="76"/>
        <v>100</v>
      </c>
    </row>
    <row r="83" spans="1:43" s="24" customFormat="1" ht="24" customHeight="1">
      <c r="A83" s="77"/>
      <c r="B83" s="78"/>
      <c r="C83" s="79">
        <v>2920</v>
      </c>
      <c r="D83" s="83" t="s">
        <v>60</v>
      </c>
      <c r="E83" s="76">
        <v>10853230</v>
      </c>
      <c r="F83" s="127"/>
      <c r="G83" s="94">
        <v>806739</v>
      </c>
      <c r="H83" s="94">
        <f t="shared" si="48"/>
        <v>10046491</v>
      </c>
      <c r="I83" s="94"/>
      <c r="J83" s="94"/>
      <c r="K83" s="94">
        <f>SUM(H83+I83-J83)</f>
        <v>10046491</v>
      </c>
      <c r="L83" s="94"/>
      <c r="M83" s="94"/>
      <c r="N83" s="94">
        <f>SUM(K83+L83-M83)</f>
        <v>10046491</v>
      </c>
      <c r="O83" s="94"/>
      <c r="P83" s="94"/>
      <c r="Q83" s="94">
        <f>SUM(N83+O83-P83)</f>
        <v>10046491</v>
      </c>
      <c r="R83" s="94"/>
      <c r="S83" s="94"/>
      <c r="T83" s="94">
        <f>SUM(Q83+R83-S83)</f>
        <v>10046491</v>
      </c>
      <c r="U83" s="94"/>
      <c r="V83" s="94"/>
      <c r="W83" s="94">
        <f>SUM(T83+U83-V83)</f>
        <v>10046491</v>
      </c>
      <c r="X83" s="94"/>
      <c r="Y83" s="94"/>
      <c r="Z83" s="94">
        <f>SUM(W83+X83-Y83)</f>
        <v>10046491</v>
      </c>
      <c r="AA83" s="94"/>
      <c r="AB83" s="94"/>
      <c r="AC83" s="94">
        <f>SUM(Z83+AA83-AB83)</f>
        <v>10046491</v>
      </c>
      <c r="AD83" s="94"/>
      <c r="AE83" s="94"/>
      <c r="AF83" s="94">
        <f>SUM(AC83+AD83-AE83)</f>
        <v>10046491</v>
      </c>
      <c r="AG83" s="94"/>
      <c r="AH83" s="94"/>
      <c r="AI83" s="94">
        <f>SUM(AF83+AG83-AH83)</f>
        <v>10046491</v>
      </c>
      <c r="AJ83" s="94"/>
      <c r="AK83" s="94"/>
      <c r="AL83" s="94">
        <f>SUM(AI83+AJ83-AK83)</f>
        <v>10046491</v>
      </c>
      <c r="AM83" s="94">
        <v>293895</v>
      </c>
      <c r="AN83" s="94"/>
      <c r="AO83" s="94">
        <f>SUM(AL83+AM83-AN83)</f>
        <v>10340386</v>
      </c>
      <c r="AP83" s="155">
        <v>10340386</v>
      </c>
      <c r="AQ83" s="207">
        <f t="shared" si="76"/>
        <v>100</v>
      </c>
    </row>
    <row r="84" spans="1:43" s="24" customFormat="1" ht="24">
      <c r="A84" s="77"/>
      <c r="B84" s="78" t="s">
        <v>226</v>
      </c>
      <c r="C84" s="86"/>
      <c r="D84" s="83" t="s">
        <v>225</v>
      </c>
      <c r="E84" s="76">
        <f aca="true" t="shared" si="83" ref="E84:AO84">SUM(E85)</f>
        <v>2718460</v>
      </c>
      <c r="F84" s="76">
        <f t="shared" si="83"/>
        <v>0</v>
      </c>
      <c r="G84" s="76">
        <f t="shared" si="83"/>
        <v>0</v>
      </c>
      <c r="H84" s="76">
        <f t="shared" si="83"/>
        <v>2718460</v>
      </c>
      <c r="I84" s="76">
        <f t="shared" si="83"/>
        <v>0</v>
      </c>
      <c r="J84" s="76">
        <f t="shared" si="83"/>
        <v>0</v>
      </c>
      <c r="K84" s="76">
        <f t="shared" si="83"/>
        <v>2718460</v>
      </c>
      <c r="L84" s="76">
        <f t="shared" si="83"/>
        <v>0</v>
      </c>
      <c r="M84" s="76">
        <f t="shared" si="83"/>
        <v>0</v>
      </c>
      <c r="N84" s="76">
        <f t="shared" si="83"/>
        <v>2718460</v>
      </c>
      <c r="O84" s="76">
        <f t="shared" si="83"/>
        <v>0</v>
      </c>
      <c r="P84" s="76">
        <f t="shared" si="83"/>
        <v>0</v>
      </c>
      <c r="Q84" s="76">
        <f t="shared" si="83"/>
        <v>2718460</v>
      </c>
      <c r="R84" s="76">
        <f t="shared" si="83"/>
        <v>0</v>
      </c>
      <c r="S84" s="76">
        <f t="shared" si="83"/>
        <v>0</v>
      </c>
      <c r="T84" s="76">
        <f t="shared" si="83"/>
        <v>2718460</v>
      </c>
      <c r="U84" s="76">
        <f t="shared" si="83"/>
        <v>0</v>
      </c>
      <c r="V84" s="76">
        <f t="shared" si="83"/>
        <v>0</v>
      </c>
      <c r="W84" s="76">
        <f t="shared" si="83"/>
        <v>2718460</v>
      </c>
      <c r="X84" s="76">
        <f t="shared" si="83"/>
        <v>0</v>
      </c>
      <c r="Y84" s="76">
        <f t="shared" si="83"/>
        <v>0</v>
      </c>
      <c r="Z84" s="76">
        <f t="shared" si="83"/>
        <v>2718460</v>
      </c>
      <c r="AA84" s="76">
        <f t="shared" si="83"/>
        <v>0</v>
      </c>
      <c r="AB84" s="76">
        <f t="shared" si="83"/>
        <v>0</v>
      </c>
      <c r="AC84" s="76">
        <f t="shared" si="83"/>
        <v>2718460</v>
      </c>
      <c r="AD84" s="76">
        <f t="shared" si="83"/>
        <v>0</v>
      </c>
      <c r="AE84" s="76">
        <f t="shared" si="83"/>
        <v>0</v>
      </c>
      <c r="AF84" s="76">
        <f t="shared" si="83"/>
        <v>2718460</v>
      </c>
      <c r="AG84" s="76">
        <f t="shared" si="83"/>
        <v>0</v>
      </c>
      <c r="AH84" s="76">
        <f t="shared" si="83"/>
        <v>0</v>
      </c>
      <c r="AI84" s="76">
        <f t="shared" si="83"/>
        <v>2718460</v>
      </c>
      <c r="AJ84" s="76">
        <f t="shared" si="83"/>
        <v>0</v>
      </c>
      <c r="AK84" s="76">
        <f t="shared" si="83"/>
        <v>0</v>
      </c>
      <c r="AL84" s="76">
        <f t="shared" si="83"/>
        <v>2718460</v>
      </c>
      <c r="AM84" s="76">
        <f t="shared" si="83"/>
        <v>0</v>
      </c>
      <c r="AN84" s="76">
        <f t="shared" si="83"/>
        <v>0</v>
      </c>
      <c r="AO84" s="76">
        <f t="shared" si="83"/>
        <v>2718460</v>
      </c>
      <c r="AP84" s="155">
        <f>SUM(AP85)</f>
        <v>2718460</v>
      </c>
      <c r="AQ84" s="207">
        <f t="shared" si="76"/>
        <v>100</v>
      </c>
    </row>
    <row r="85" spans="1:43" s="24" customFormat="1" ht="25.5" customHeight="1">
      <c r="A85" s="77"/>
      <c r="B85" s="78"/>
      <c r="C85" s="79">
        <v>2920</v>
      </c>
      <c r="D85" s="83" t="s">
        <v>60</v>
      </c>
      <c r="E85" s="76">
        <f>1256117+1462343</f>
        <v>2718460</v>
      </c>
      <c r="F85" s="127"/>
      <c r="G85" s="127"/>
      <c r="H85" s="94">
        <f t="shared" si="48"/>
        <v>2718460</v>
      </c>
      <c r="I85" s="94"/>
      <c r="J85" s="94"/>
      <c r="K85" s="94">
        <f>SUM(H85+I85-J85)</f>
        <v>2718460</v>
      </c>
      <c r="L85" s="94"/>
      <c r="M85" s="94"/>
      <c r="N85" s="94">
        <f>SUM(K85+L85-M85)</f>
        <v>2718460</v>
      </c>
      <c r="O85" s="94"/>
      <c r="P85" s="94"/>
      <c r="Q85" s="94">
        <f>SUM(N85+O85-P85)</f>
        <v>2718460</v>
      </c>
      <c r="R85" s="94"/>
      <c r="S85" s="94"/>
      <c r="T85" s="94">
        <f>SUM(Q85+R85-S85)</f>
        <v>2718460</v>
      </c>
      <c r="U85" s="94"/>
      <c r="V85" s="94"/>
      <c r="W85" s="94">
        <f>SUM(T85+U85-V85)</f>
        <v>2718460</v>
      </c>
      <c r="X85" s="94"/>
      <c r="Y85" s="94"/>
      <c r="Z85" s="94">
        <f>SUM(W85+X85-Y85)</f>
        <v>2718460</v>
      </c>
      <c r="AA85" s="94"/>
      <c r="AB85" s="94"/>
      <c r="AC85" s="94">
        <f>SUM(Z85+AA85-AB85)</f>
        <v>2718460</v>
      </c>
      <c r="AD85" s="94"/>
      <c r="AE85" s="94"/>
      <c r="AF85" s="94">
        <f>SUM(AC85+AD85-AE85)</f>
        <v>2718460</v>
      </c>
      <c r="AG85" s="94"/>
      <c r="AH85" s="94"/>
      <c r="AI85" s="94">
        <f>SUM(AF85+AG85-AH85)</f>
        <v>2718460</v>
      </c>
      <c r="AJ85" s="94"/>
      <c r="AK85" s="94"/>
      <c r="AL85" s="94">
        <f>SUM(AI85+AJ85-AK85)</f>
        <v>2718460</v>
      </c>
      <c r="AM85" s="94"/>
      <c r="AN85" s="94"/>
      <c r="AO85" s="94">
        <f>SUM(AL85+AM85-AN85)</f>
        <v>2718460</v>
      </c>
      <c r="AP85" s="155">
        <v>2718460</v>
      </c>
      <c r="AQ85" s="207">
        <f t="shared" si="76"/>
        <v>100</v>
      </c>
    </row>
    <row r="86" spans="1:43" s="24" customFormat="1" ht="21" customHeight="1">
      <c r="A86" s="77"/>
      <c r="B86" s="78">
        <v>75814</v>
      </c>
      <c r="C86" s="86"/>
      <c r="D86" s="83" t="s">
        <v>61</v>
      </c>
      <c r="E86" s="76">
        <f aca="true" t="shared" si="84" ref="E86:AO86">SUM(E87)</f>
        <v>8000</v>
      </c>
      <c r="F86" s="76">
        <f t="shared" si="84"/>
        <v>0</v>
      </c>
      <c r="G86" s="76">
        <f t="shared" si="84"/>
        <v>0</v>
      </c>
      <c r="H86" s="76">
        <f t="shared" si="84"/>
        <v>8000</v>
      </c>
      <c r="I86" s="76">
        <f t="shared" si="84"/>
        <v>0</v>
      </c>
      <c r="J86" s="76">
        <f t="shared" si="84"/>
        <v>0</v>
      </c>
      <c r="K86" s="76">
        <f t="shared" si="84"/>
        <v>8000</v>
      </c>
      <c r="L86" s="76">
        <f t="shared" si="84"/>
        <v>0</v>
      </c>
      <c r="M86" s="76">
        <f t="shared" si="84"/>
        <v>0</v>
      </c>
      <c r="N86" s="76">
        <f t="shared" si="84"/>
        <v>8000</v>
      </c>
      <c r="O86" s="76">
        <f t="shared" si="84"/>
        <v>0</v>
      </c>
      <c r="P86" s="76">
        <f t="shared" si="84"/>
        <v>0</v>
      </c>
      <c r="Q86" s="76">
        <f t="shared" si="84"/>
        <v>8000</v>
      </c>
      <c r="R86" s="76">
        <f t="shared" si="84"/>
        <v>0</v>
      </c>
      <c r="S86" s="76">
        <f t="shared" si="84"/>
        <v>0</v>
      </c>
      <c r="T86" s="76">
        <f t="shared" si="84"/>
        <v>8000</v>
      </c>
      <c r="U86" s="76">
        <f t="shared" si="84"/>
        <v>0</v>
      </c>
      <c r="V86" s="76">
        <f t="shared" si="84"/>
        <v>0</v>
      </c>
      <c r="W86" s="76">
        <f t="shared" si="84"/>
        <v>8000</v>
      </c>
      <c r="X86" s="76">
        <f t="shared" si="84"/>
        <v>0</v>
      </c>
      <c r="Y86" s="76">
        <f t="shared" si="84"/>
        <v>0</v>
      </c>
      <c r="Z86" s="76">
        <f t="shared" si="84"/>
        <v>8000</v>
      </c>
      <c r="AA86" s="76">
        <f t="shared" si="84"/>
        <v>0</v>
      </c>
      <c r="AB86" s="76">
        <f t="shared" si="84"/>
        <v>0</v>
      </c>
      <c r="AC86" s="76">
        <f t="shared" si="84"/>
        <v>8000</v>
      </c>
      <c r="AD86" s="76">
        <f t="shared" si="84"/>
        <v>0</v>
      </c>
      <c r="AE86" s="76">
        <f t="shared" si="84"/>
        <v>0</v>
      </c>
      <c r="AF86" s="76">
        <f t="shared" si="84"/>
        <v>8000</v>
      </c>
      <c r="AG86" s="76">
        <f t="shared" si="84"/>
        <v>0</v>
      </c>
      <c r="AH86" s="76">
        <f t="shared" si="84"/>
        <v>0</v>
      </c>
      <c r="AI86" s="76">
        <f t="shared" si="84"/>
        <v>8000</v>
      </c>
      <c r="AJ86" s="76">
        <f t="shared" si="84"/>
        <v>0</v>
      </c>
      <c r="AK86" s="76">
        <f t="shared" si="84"/>
        <v>0</v>
      </c>
      <c r="AL86" s="76">
        <f t="shared" si="84"/>
        <v>8000</v>
      </c>
      <c r="AM86" s="76">
        <f t="shared" si="84"/>
        <v>0</v>
      </c>
      <c r="AN86" s="76">
        <f t="shared" si="84"/>
        <v>0</v>
      </c>
      <c r="AO86" s="76">
        <f t="shared" si="84"/>
        <v>8000</v>
      </c>
      <c r="AP86" s="155">
        <f>SUM(AP87)</f>
        <v>6992</v>
      </c>
      <c r="AQ86" s="207">
        <f t="shared" si="76"/>
        <v>87.4</v>
      </c>
    </row>
    <row r="87" spans="1:43" s="24" customFormat="1" ht="21.75" customHeight="1">
      <c r="A87" s="77"/>
      <c r="B87" s="78"/>
      <c r="C87" s="79" t="s">
        <v>192</v>
      </c>
      <c r="D87" s="83" t="s">
        <v>15</v>
      </c>
      <c r="E87" s="76">
        <f>7000+1000</f>
        <v>8000</v>
      </c>
      <c r="F87" s="127"/>
      <c r="G87" s="127"/>
      <c r="H87" s="94">
        <f t="shared" si="48"/>
        <v>8000</v>
      </c>
      <c r="I87" s="94"/>
      <c r="J87" s="94"/>
      <c r="K87" s="94">
        <f>SUM(H87+I87-J87)</f>
        <v>8000</v>
      </c>
      <c r="L87" s="94"/>
      <c r="M87" s="94"/>
      <c r="N87" s="94">
        <f>SUM(K87+L87-M87)</f>
        <v>8000</v>
      </c>
      <c r="O87" s="94"/>
      <c r="P87" s="94"/>
      <c r="Q87" s="94">
        <f>SUM(N87+O87-P87)</f>
        <v>8000</v>
      </c>
      <c r="R87" s="94"/>
      <c r="S87" s="94"/>
      <c r="T87" s="94">
        <f>SUM(Q87+R87-S87)</f>
        <v>8000</v>
      </c>
      <c r="U87" s="94"/>
      <c r="V87" s="94"/>
      <c r="W87" s="94">
        <f>SUM(T87+U87-V87)</f>
        <v>8000</v>
      </c>
      <c r="X87" s="94"/>
      <c r="Y87" s="94"/>
      <c r="Z87" s="94">
        <f>SUM(W87+X87-Y87)</f>
        <v>8000</v>
      </c>
      <c r="AA87" s="94"/>
      <c r="AB87" s="94"/>
      <c r="AC87" s="94">
        <f>SUM(Z87+AA87-AB87)</f>
        <v>8000</v>
      </c>
      <c r="AD87" s="94"/>
      <c r="AE87" s="94"/>
      <c r="AF87" s="94">
        <f>SUM(AC87+AD87-AE87)</f>
        <v>8000</v>
      </c>
      <c r="AG87" s="94"/>
      <c r="AH87" s="94"/>
      <c r="AI87" s="94">
        <f>SUM(AF87+AG87-AH87)</f>
        <v>8000</v>
      </c>
      <c r="AJ87" s="94"/>
      <c r="AK87" s="94"/>
      <c r="AL87" s="94">
        <f>SUM(AI87+AJ87-AK87)</f>
        <v>8000</v>
      </c>
      <c r="AM87" s="94"/>
      <c r="AN87" s="94"/>
      <c r="AO87" s="94">
        <f>SUM(AL87+AM87-AN87)</f>
        <v>8000</v>
      </c>
      <c r="AP87" s="155">
        <v>6992</v>
      </c>
      <c r="AQ87" s="207">
        <f t="shared" si="76"/>
        <v>87.4</v>
      </c>
    </row>
    <row r="88" spans="1:43" s="24" customFormat="1" ht="21.75" customHeight="1">
      <c r="A88" s="77"/>
      <c r="B88" s="78">
        <v>75815</v>
      </c>
      <c r="C88" s="79"/>
      <c r="D88" s="83" t="s">
        <v>377</v>
      </c>
      <c r="E88" s="76"/>
      <c r="F88" s="127"/>
      <c r="G88" s="127"/>
      <c r="H88" s="94">
        <f>SUM(H89)</f>
        <v>0</v>
      </c>
      <c r="I88" s="94">
        <f aca="true" t="shared" si="85" ref="I88:AP88">SUM(I89)</f>
        <v>0</v>
      </c>
      <c r="J88" s="94">
        <f t="shared" si="85"/>
        <v>0</v>
      </c>
      <c r="K88" s="94">
        <f t="shared" si="85"/>
        <v>0</v>
      </c>
      <c r="L88" s="94">
        <f t="shared" si="85"/>
        <v>0</v>
      </c>
      <c r="M88" s="94">
        <f t="shared" si="85"/>
        <v>0</v>
      </c>
      <c r="N88" s="94">
        <f t="shared" si="85"/>
        <v>0</v>
      </c>
      <c r="O88" s="94">
        <f t="shared" si="85"/>
        <v>0</v>
      </c>
      <c r="P88" s="94">
        <f t="shared" si="85"/>
        <v>0</v>
      </c>
      <c r="Q88" s="94">
        <f t="shared" si="85"/>
        <v>0</v>
      </c>
      <c r="R88" s="94">
        <f t="shared" si="85"/>
        <v>0</v>
      </c>
      <c r="S88" s="94">
        <f t="shared" si="85"/>
        <v>0</v>
      </c>
      <c r="T88" s="94">
        <f t="shared" si="85"/>
        <v>0</v>
      </c>
      <c r="U88" s="94">
        <f t="shared" si="85"/>
        <v>0</v>
      </c>
      <c r="V88" s="94">
        <f t="shared" si="85"/>
        <v>0</v>
      </c>
      <c r="W88" s="94">
        <f t="shared" si="85"/>
        <v>0</v>
      </c>
      <c r="X88" s="94">
        <f t="shared" si="85"/>
        <v>0</v>
      </c>
      <c r="Y88" s="94">
        <f t="shared" si="85"/>
        <v>0</v>
      </c>
      <c r="Z88" s="94">
        <f t="shared" si="85"/>
        <v>0</v>
      </c>
      <c r="AA88" s="94">
        <f t="shared" si="85"/>
        <v>0</v>
      </c>
      <c r="AB88" s="94">
        <f t="shared" si="85"/>
        <v>0</v>
      </c>
      <c r="AC88" s="94">
        <f t="shared" si="85"/>
        <v>0</v>
      </c>
      <c r="AD88" s="94">
        <f t="shared" si="85"/>
        <v>0</v>
      </c>
      <c r="AE88" s="94">
        <f t="shared" si="85"/>
        <v>0</v>
      </c>
      <c r="AF88" s="94">
        <f t="shared" si="85"/>
        <v>0</v>
      </c>
      <c r="AG88" s="94">
        <f t="shared" si="85"/>
        <v>0</v>
      </c>
      <c r="AH88" s="94">
        <f t="shared" si="85"/>
        <v>0</v>
      </c>
      <c r="AI88" s="94">
        <f t="shared" si="85"/>
        <v>0</v>
      </c>
      <c r="AJ88" s="94">
        <f t="shared" si="85"/>
        <v>0</v>
      </c>
      <c r="AK88" s="94">
        <f t="shared" si="85"/>
        <v>0</v>
      </c>
      <c r="AL88" s="94">
        <f t="shared" si="85"/>
        <v>0</v>
      </c>
      <c r="AM88" s="94">
        <f t="shared" si="85"/>
        <v>0</v>
      </c>
      <c r="AN88" s="94">
        <f t="shared" si="85"/>
        <v>0</v>
      </c>
      <c r="AO88" s="94">
        <f t="shared" si="85"/>
        <v>0</v>
      </c>
      <c r="AP88" s="94">
        <f t="shared" si="85"/>
        <v>-1680</v>
      </c>
      <c r="AQ88" s="207">
        <v>0</v>
      </c>
    </row>
    <row r="89" spans="1:43" s="24" customFormat="1" ht="21.75" customHeight="1">
      <c r="A89" s="77"/>
      <c r="B89" s="78"/>
      <c r="C89" s="79">
        <v>2980</v>
      </c>
      <c r="D89" s="83" t="s">
        <v>377</v>
      </c>
      <c r="E89" s="76"/>
      <c r="F89" s="127"/>
      <c r="G89" s="127"/>
      <c r="H89" s="94">
        <v>0</v>
      </c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>
        <v>0</v>
      </c>
      <c r="AP89" s="155">
        <v>-1680</v>
      </c>
      <c r="AQ89" s="207">
        <v>0</v>
      </c>
    </row>
    <row r="90" spans="1:43" s="42" customFormat="1" ht="21.75" customHeight="1">
      <c r="A90" s="30">
        <v>801</v>
      </c>
      <c r="B90" s="33"/>
      <c r="C90" s="34"/>
      <c r="D90" s="31" t="s">
        <v>126</v>
      </c>
      <c r="E90" s="66">
        <f>SUM(E91,E96,E100,E102,)</f>
        <v>83000</v>
      </c>
      <c r="F90" s="66">
        <f>SUM(F91,F96,F100,F102,)</f>
        <v>0</v>
      </c>
      <c r="G90" s="66">
        <f>SUM(G91,G96,G100,G102,)</f>
        <v>0</v>
      </c>
      <c r="H90" s="66">
        <f>SUM(H91,H96,H100,H102,)</f>
        <v>83000</v>
      </c>
      <c r="I90" s="66">
        <f>SUM(I91,I96)</f>
        <v>300</v>
      </c>
      <c r="J90" s="66">
        <f>SUM(J91,J96)</f>
        <v>0</v>
      </c>
      <c r="K90" s="66">
        <f>SUM(K91,K96)</f>
        <v>83300</v>
      </c>
      <c r="L90" s="66">
        <f aca="true" t="shared" si="86" ref="L90:Q90">SUM(L91,L96)</f>
        <v>0</v>
      </c>
      <c r="M90" s="66">
        <f t="shared" si="86"/>
        <v>0</v>
      </c>
      <c r="N90" s="66">
        <f t="shared" si="86"/>
        <v>83300</v>
      </c>
      <c r="O90" s="66">
        <f t="shared" si="86"/>
        <v>0</v>
      </c>
      <c r="P90" s="66">
        <f t="shared" si="86"/>
        <v>0</v>
      </c>
      <c r="Q90" s="66">
        <f t="shared" si="86"/>
        <v>83300</v>
      </c>
      <c r="R90" s="66">
        <f>SUM(R91,R96)</f>
        <v>0</v>
      </c>
      <c r="S90" s="66">
        <f>SUM(S91,S96)</f>
        <v>0</v>
      </c>
      <c r="T90" s="66">
        <f aca="true" t="shared" si="87" ref="T90:Z90">SUM(T91,T96,T102)</f>
        <v>83300</v>
      </c>
      <c r="U90" s="66">
        <f t="shared" si="87"/>
        <v>6044</v>
      </c>
      <c r="V90" s="66">
        <f t="shared" si="87"/>
        <v>0</v>
      </c>
      <c r="W90" s="66">
        <f t="shared" si="87"/>
        <v>89344</v>
      </c>
      <c r="X90" s="66">
        <f t="shared" si="87"/>
        <v>18436</v>
      </c>
      <c r="Y90" s="66">
        <f t="shared" si="87"/>
        <v>44000</v>
      </c>
      <c r="Z90" s="66">
        <f t="shared" si="87"/>
        <v>63780</v>
      </c>
      <c r="AA90" s="66">
        <f aca="true" t="shared" si="88" ref="AA90:AF90">SUM(AA91,AA96,AA102)</f>
        <v>0</v>
      </c>
      <c r="AB90" s="66">
        <f t="shared" si="88"/>
        <v>0</v>
      </c>
      <c r="AC90" s="66">
        <f t="shared" si="88"/>
        <v>63780</v>
      </c>
      <c r="AD90" s="66">
        <f t="shared" si="88"/>
        <v>0</v>
      </c>
      <c r="AE90" s="66">
        <f t="shared" si="88"/>
        <v>0</v>
      </c>
      <c r="AF90" s="66">
        <f t="shared" si="88"/>
        <v>63780</v>
      </c>
      <c r="AG90" s="66">
        <f>SUM(AG91,AG96,AG102)</f>
        <v>0</v>
      </c>
      <c r="AH90" s="66">
        <f>SUM(AH91,AH96,AH102)</f>
        <v>0</v>
      </c>
      <c r="AI90" s="66">
        <f>SUM(AI91,AI96,AI102)</f>
        <v>63780</v>
      </c>
      <c r="AJ90" s="66">
        <f>SUM(AJ91,AJ96,AJ102)</f>
        <v>9440</v>
      </c>
      <c r="AK90" s="66">
        <f>SUM(AK91,AK96,AK102)</f>
        <v>0</v>
      </c>
      <c r="AL90" s="66">
        <f>SUM(AL91,AL96,AL102,AL100)</f>
        <v>73220</v>
      </c>
      <c r="AM90" s="66">
        <f>SUM(AM91,AM96,AM102,AM100)</f>
        <v>11667</v>
      </c>
      <c r="AN90" s="66">
        <f>SUM(AN91,AN96,AN102,AN100)</f>
        <v>6000</v>
      </c>
      <c r="AO90" s="66">
        <f>SUM(AO91,AO96,AO102,AO100)</f>
        <v>78887</v>
      </c>
      <c r="AP90" s="32">
        <f>SUM(AP91,AP96,AP100,AP102,)</f>
        <v>73952</v>
      </c>
      <c r="AQ90" s="208">
        <f t="shared" si="76"/>
        <v>93.74421641081547</v>
      </c>
    </row>
    <row r="91" spans="1:43" s="24" customFormat="1" ht="21.75" customHeight="1">
      <c r="A91" s="77"/>
      <c r="B91" s="78">
        <v>80101</v>
      </c>
      <c r="C91" s="79"/>
      <c r="D91" s="83" t="s">
        <v>62</v>
      </c>
      <c r="E91" s="76">
        <f>SUM(E92:E95)</f>
        <v>62000</v>
      </c>
      <c r="F91" s="76">
        <f>SUM(F92:F95)</f>
        <v>0</v>
      </c>
      <c r="G91" s="76">
        <f>SUM(G92:G95)</f>
        <v>0</v>
      </c>
      <c r="H91" s="76">
        <f>SUM(H92:H95)</f>
        <v>62000</v>
      </c>
      <c r="I91" s="76">
        <f>SUM(I93:I94)</f>
        <v>0</v>
      </c>
      <c r="J91" s="76">
        <f>SUM(J93:J94)</f>
        <v>0</v>
      </c>
      <c r="K91" s="76">
        <f>SUM(K93:K94)</f>
        <v>62000</v>
      </c>
      <c r="L91" s="76">
        <f aca="true" t="shared" si="89" ref="L91:Q91">SUM(L93:L94)</f>
        <v>0</v>
      </c>
      <c r="M91" s="76">
        <f t="shared" si="89"/>
        <v>0</v>
      </c>
      <c r="N91" s="76">
        <f t="shared" si="89"/>
        <v>62000</v>
      </c>
      <c r="O91" s="76">
        <f t="shared" si="89"/>
        <v>0</v>
      </c>
      <c r="P91" s="76">
        <f t="shared" si="89"/>
        <v>0</v>
      </c>
      <c r="Q91" s="76">
        <f t="shared" si="89"/>
        <v>62000</v>
      </c>
      <c r="R91" s="76">
        <f>SUM(R93:R94)</f>
        <v>0</v>
      </c>
      <c r="S91" s="76">
        <f>SUM(S93:S94)</f>
        <v>0</v>
      </c>
      <c r="T91" s="76">
        <f>SUM(T92:T94)</f>
        <v>62000</v>
      </c>
      <c r="U91" s="76">
        <f>SUM(U92:U94)</f>
        <v>5744</v>
      </c>
      <c r="V91" s="76">
        <f>SUM(V92:V94)</f>
        <v>0</v>
      </c>
      <c r="W91" s="76">
        <f aca="true" t="shared" si="90" ref="W91:AC91">SUM(W92:W95)</f>
        <v>67744</v>
      </c>
      <c r="X91" s="76">
        <f t="shared" si="90"/>
        <v>18436</v>
      </c>
      <c r="Y91" s="76">
        <f t="shared" si="90"/>
        <v>37000</v>
      </c>
      <c r="Z91" s="76">
        <f t="shared" si="90"/>
        <v>49180</v>
      </c>
      <c r="AA91" s="76">
        <f t="shared" si="90"/>
        <v>0</v>
      </c>
      <c r="AB91" s="76">
        <f t="shared" si="90"/>
        <v>0</v>
      </c>
      <c r="AC91" s="76">
        <f t="shared" si="90"/>
        <v>49180</v>
      </c>
      <c r="AD91" s="76">
        <f aca="true" t="shared" si="91" ref="AD91:AI91">SUM(AD92:AD95)</f>
        <v>0</v>
      </c>
      <c r="AE91" s="76">
        <f t="shared" si="91"/>
        <v>0</v>
      </c>
      <c r="AF91" s="76">
        <f t="shared" si="91"/>
        <v>49180</v>
      </c>
      <c r="AG91" s="76">
        <f t="shared" si="91"/>
        <v>0</v>
      </c>
      <c r="AH91" s="76">
        <f t="shared" si="91"/>
        <v>0</v>
      </c>
      <c r="AI91" s="76">
        <f t="shared" si="91"/>
        <v>49180</v>
      </c>
      <c r="AJ91" s="76">
        <f aca="true" t="shared" si="92" ref="AJ91:AO91">SUM(AJ92:AJ95)</f>
        <v>0</v>
      </c>
      <c r="AK91" s="76">
        <f t="shared" si="92"/>
        <v>0</v>
      </c>
      <c r="AL91" s="76">
        <f t="shared" si="92"/>
        <v>49180</v>
      </c>
      <c r="AM91" s="76">
        <f t="shared" si="92"/>
        <v>6000</v>
      </c>
      <c r="AN91" s="76">
        <f t="shared" si="92"/>
        <v>0</v>
      </c>
      <c r="AO91" s="76">
        <f t="shared" si="92"/>
        <v>55180</v>
      </c>
      <c r="AP91" s="155">
        <f>SUM(AP92:AP95)</f>
        <v>50691</v>
      </c>
      <c r="AQ91" s="207">
        <f t="shared" si="76"/>
        <v>91.86480608916274</v>
      </c>
    </row>
    <row r="92" spans="1:43" s="24" customFormat="1" ht="47.25" customHeight="1">
      <c r="A92" s="77"/>
      <c r="B92" s="78"/>
      <c r="C92" s="79">
        <v>2030</v>
      </c>
      <c r="D92" s="83" t="s">
        <v>283</v>
      </c>
      <c r="E92" s="76">
        <v>0</v>
      </c>
      <c r="F92" s="76"/>
      <c r="G92" s="76"/>
      <c r="H92" s="94">
        <f t="shared" si="48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>
        <v>0</v>
      </c>
      <c r="U92" s="76">
        <v>5744</v>
      </c>
      <c r="V92" s="76"/>
      <c r="W92" s="76">
        <f>T92+U92-V92</f>
        <v>5744</v>
      </c>
      <c r="X92" s="76">
        <v>1436</v>
      </c>
      <c r="Y92" s="76"/>
      <c r="Z92" s="76">
        <f>W92+X92-Y92</f>
        <v>7180</v>
      </c>
      <c r="AA92" s="76">
        <v>0</v>
      </c>
      <c r="AB92" s="76"/>
      <c r="AC92" s="76">
        <f>Z92+AA92-AB92</f>
        <v>7180</v>
      </c>
      <c r="AD92" s="76"/>
      <c r="AE92" s="76"/>
      <c r="AF92" s="76">
        <f>AC92+AD92-AE92</f>
        <v>7180</v>
      </c>
      <c r="AG92" s="76"/>
      <c r="AH92" s="76"/>
      <c r="AI92" s="76">
        <f>AF92+AG92-AH92</f>
        <v>7180</v>
      </c>
      <c r="AJ92" s="76"/>
      <c r="AK92" s="76"/>
      <c r="AL92" s="76">
        <f>AI92+AJ92-AK92</f>
        <v>7180</v>
      </c>
      <c r="AM92" s="76"/>
      <c r="AN92" s="76"/>
      <c r="AO92" s="76">
        <f>AL92+AM92-AN92</f>
        <v>7180</v>
      </c>
      <c r="AP92" s="155">
        <v>7180</v>
      </c>
      <c r="AQ92" s="207">
        <f t="shared" si="76"/>
        <v>100</v>
      </c>
    </row>
    <row r="93" spans="1:43" s="24" customFormat="1" ht="72">
      <c r="A93" s="77"/>
      <c r="B93" s="78"/>
      <c r="C93" s="79" t="s">
        <v>191</v>
      </c>
      <c r="D93" s="83" t="s">
        <v>67</v>
      </c>
      <c r="E93" s="76">
        <v>25000</v>
      </c>
      <c r="F93" s="127"/>
      <c r="G93" s="127"/>
      <c r="H93" s="94">
        <f t="shared" si="48"/>
        <v>25000</v>
      </c>
      <c r="I93" s="94"/>
      <c r="J93" s="94"/>
      <c r="K93" s="94">
        <f>SUM(H93+I93-J93)</f>
        <v>25000</v>
      </c>
      <c r="L93" s="94"/>
      <c r="M93" s="94"/>
      <c r="N93" s="94">
        <f>SUM(K93+L93-M93)</f>
        <v>25000</v>
      </c>
      <c r="O93" s="94"/>
      <c r="P93" s="94"/>
      <c r="Q93" s="94">
        <f>SUM(N93+O93-P93)</f>
        <v>25000</v>
      </c>
      <c r="R93" s="94"/>
      <c r="S93" s="94"/>
      <c r="T93" s="94">
        <f>SUM(Q93+R93-S93)</f>
        <v>25000</v>
      </c>
      <c r="U93" s="94"/>
      <c r="V93" s="94"/>
      <c r="W93" s="94">
        <f>SUM(T93+U93-V93)</f>
        <v>25000</v>
      </c>
      <c r="X93" s="94"/>
      <c r="Y93" s="94"/>
      <c r="Z93" s="94">
        <f>SUM(W93+X93-Y93)</f>
        <v>25000</v>
      </c>
      <c r="AA93" s="94"/>
      <c r="AB93" s="94"/>
      <c r="AC93" s="94">
        <f>SUM(Z93+AA93-AB93)</f>
        <v>25000</v>
      </c>
      <c r="AD93" s="94"/>
      <c r="AE93" s="94"/>
      <c r="AF93" s="94">
        <f>SUM(AC93+AD93-AE93)</f>
        <v>25000</v>
      </c>
      <c r="AG93" s="94"/>
      <c r="AH93" s="94"/>
      <c r="AI93" s="94">
        <f>SUM(AF93+AG93-AH93)</f>
        <v>25000</v>
      </c>
      <c r="AJ93" s="94"/>
      <c r="AK93" s="94"/>
      <c r="AL93" s="94">
        <f>SUM(AI93+AJ93-AK93)</f>
        <v>25000</v>
      </c>
      <c r="AM93" s="94">
        <v>6000</v>
      </c>
      <c r="AN93" s="94"/>
      <c r="AO93" s="94">
        <f aca="true" t="shared" si="93" ref="AO93:AO99">SUM(AL93+AM93-AN93)</f>
        <v>31000</v>
      </c>
      <c r="AP93" s="155">
        <v>31493</v>
      </c>
      <c r="AQ93" s="207">
        <f t="shared" si="76"/>
        <v>101.59032258064515</v>
      </c>
    </row>
    <row r="94" spans="1:43" s="24" customFormat="1" ht="18.75" customHeight="1">
      <c r="A94" s="77"/>
      <c r="B94" s="78"/>
      <c r="C94" s="79" t="s">
        <v>251</v>
      </c>
      <c r="D94" s="83" t="s">
        <v>252</v>
      </c>
      <c r="E94" s="76">
        <v>37000</v>
      </c>
      <c r="F94" s="127"/>
      <c r="G94" s="127"/>
      <c r="H94" s="94">
        <f t="shared" si="48"/>
        <v>37000</v>
      </c>
      <c r="I94" s="94"/>
      <c r="J94" s="94"/>
      <c r="K94" s="94">
        <f>SUM(H94+I94-J94)</f>
        <v>37000</v>
      </c>
      <c r="L94" s="94"/>
      <c r="M94" s="94"/>
      <c r="N94" s="94">
        <f>SUM(K94+L94-M94)</f>
        <v>37000</v>
      </c>
      <c r="O94" s="94"/>
      <c r="P94" s="94"/>
      <c r="Q94" s="94">
        <f>SUM(N94+O94-P94)</f>
        <v>37000</v>
      </c>
      <c r="R94" s="94"/>
      <c r="S94" s="94"/>
      <c r="T94" s="94">
        <f>SUM(Q94+R94-S94)</f>
        <v>37000</v>
      </c>
      <c r="U94" s="94"/>
      <c r="V94" s="94"/>
      <c r="W94" s="94">
        <f>SUM(T94+U94-V94)</f>
        <v>37000</v>
      </c>
      <c r="X94" s="94"/>
      <c r="Y94" s="94">
        <v>37000</v>
      </c>
      <c r="Z94" s="94">
        <f>SUM(W94+X94-Y94)</f>
        <v>0</v>
      </c>
      <c r="AA94" s="94"/>
      <c r="AB94" s="94">
        <v>0</v>
      </c>
      <c r="AC94" s="94">
        <f>SUM(Z94+AA94-AB94)</f>
        <v>0</v>
      </c>
      <c r="AD94" s="94"/>
      <c r="AE94" s="94"/>
      <c r="AF94" s="94">
        <f>SUM(AC94+AD94-AE94)</f>
        <v>0</v>
      </c>
      <c r="AG94" s="94"/>
      <c r="AH94" s="94"/>
      <c r="AI94" s="94">
        <f>SUM(AF94+AG94-AH94)</f>
        <v>0</v>
      </c>
      <c r="AJ94" s="94"/>
      <c r="AK94" s="94"/>
      <c r="AL94" s="94">
        <f>SUM(AI94+AJ94-AK94)</f>
        <v>0</v>
      </c>
      <c r="AM94" s="94"/>
      <c r="AN94" s="94"/>
      <c r="AO94" s="94">
        <f t="shared" si="93"/>
        <v>0</v>
      </c>
      <c r="AP94" s="155">
        <v>0</v>
      </c>
      <c r="AQ94" s="207">
        <v>0</v>
      </c>
    </row>
    <row r="95" spans="1:43" s="24" customFormat="1" ht="21.75" customHeight="1">
      <c r="A95" s="77"/>
      <c r="B95" s="78"/>
      <c r="C95" s="79" t="s">
        <v>193</v>
      </c>
      <c r="D95" s="83" t="s">
        <v>16</v>
      </c>
      <c r="E95" s="76">
        <v>0</v>
      </c>
      <c r="F95" s="127"/>
      <c r="G95" s="127"/>
      <c r="H95" s="94">
        <f t="shared" si="48"/>
        <v>0</v>
      </c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>
        <v>0</v>
      </c>
      <c r="X95" s="94">
        <v>17000</v>
      </c>
      <c r="Y95" s="94"/>
      <c r="Z95" s="94">
        <f>SUM(W95+X95-Y95)</f>
        <v>17000</v>
      </c>
      <c r="AA95" s="94">
        <v>0</v>
      </c>
      <c r="AB95" s="94"/>
      <c r="AC95" s="94">
        <f>SUM(Z95+AA95-AB95)</f>
        <v>17000</v>
      </c>
      <c r="AD95" s="94"/>
      <c r="AE95" s="94"/>
      <c r="AF95" s="94">
        <f>SUM(AC95+AD95-AE95)</f>
        <v>17000</v>
      </c>
      <c r="AG95" s="94"/>
      <c r="AH95" s="94"/>
      <c r="AI95" s="94">
        <f>SUM(AF95+AG95-AH95)</f>
        <v>17000</v>
      </c>
      <c r="AJ95" s="94"/>
      <c r="AK95" s="94"/>
      <c r="AL95" s="94">
        <f>SUM(AI95+AJ95-AK95)</f>
        <v>17000</v>
      </c>
      <c r="AM95" s="94"/>
      <c r="AN95" s="94"/>
      <c r="AO95" s="94">
        <f t="shared" si="93"/>
        <v>17000</v>
      </c>
      <c r="AP95" s="155">
        <v>12018</v>
      </c>
      <c r="AQ95" s="207">
        <f t="shared" si="76"/>
        <v>70.69411764705882</v>
      </c>
    </row>
    <row r="96" spans="1:43" s="24" customFormat="1" ht="21.75" customHeight="1">
      <c r="A96" s="77"/>
      <c r="B96" s="78">
        <v>80110</v>
      </c>
      <c r="C96" s="79"/>
      <c r="D96" s="83" t="s">
        <v>63</v>
      </c>
      <c r="E96" s="76">
        <f>SUM(E97:E99)</f>
        <v>21000</v>
      </c>
      <c r="F96" s="76">
        <f>SUM(F97:F99)</f>
        <v>0</v>
      </c>
      <c r="G96" s="76">
        <f>SUM(G97:G99)</f>
        <v>0</v>
      </c>
      <c r="H96" s="76">
        <f>SUM(H97:H99)</f>
        <v>21000</v>
      </c>
      <c r="I96" s="76">
        <f aca="true" t="shared" si="94" ref="I96:N96">SUM(I97:I99)</f>
        <v>300</v>
      </c>
      <c r="J96" s="76">
        <f t="shared" si="94"/>
        <v>0</v>
      </c>
      <c r="K96" s="76">
        <f t="shared" si="94"/>
        <v>21300</v>
      </c>
      <c r="L96" s="76">
        <f t="shared" si="94"/>
        <v>0</v>
      </c>
      <c r="M96" s="76">
        <f t="shared" si="94"/>
        <v>0</v>
      </c>
      <c r="N96" s="76">
        <f t="shared" si="94"/>
        <v>21300</v>
      </c>
      <c r="O96" s="76">
        <f aca="true" t="shared" si="95" ref="O96:T96">SUM(O97:O99)</f>
        <v>0</v>
      </c>
      <c r="P96" s="76">
        <f t="shared" si="95"/>
        <v>0</v>
      </c>
      <c r="Q96" s="76">
        <f t="shared" si="95"/>
        <v>21300</v>
      </c>
      <c r="R96" s="76">
        <f t="shared" si="95"/>
        <v>0</v>
      </c>
      <c r="S96" s="76">
        <f t="shared" si="95"/>
        <v>0</v>
      </c>
      <c r="T96" s="76">
        <f t="shared" si="95"/>
        <v>21300</v>
      </c>
      <c r="U96" s="76">
        <f aca="true" t="shared" si="96" ref="U96:Z96">SUM(U97:U99)</f>
        <v>0</v>
      </c>
      <c r="V96" s="76">
        <f t="shared" si="96"/>
        <v>0</v>
      </c>
      <c r="W96" s="76">
        <f t="shared" si="96"/>
        <v>21300</v>
      </c>
      <c r="X96" s="76">
        <f t="shared" si="96"/>
        <v>0</v>
      </c>
      <c r="Y96" s="76">
        <f t="shared" si="96"/>
        <v>7000</v>
      </c>
      <c r="Z96" s="76">
        <f t="shared" si="96"/>
        <v>14300</v>
      </c>
      <c r="AA96" s="76">
        <f>SUM(AA97:AA99)</f>
        <v>0</v>
      </c>
      <c r="AB96" s="76">
        <v>0</v>
      </c>
      <c r="AC96" s="76">
        <f>SUM(AC97:AC99)</f>
        <v>14300</v>
      </c>
      <c r="AD96" s="76">
        <f>SUM(AD97:AD99)</f>
        <v>0</v>
      </c>
      <c r="AE96" s="76">
        <v>0</v>
      </c>
      <c r="AF96" s="76">
        <f>SUM(AF97:AF99)</f>
        <v>14300</v>
      </c>
      <c r="AG96" s="76">
        <f>SUM(AG97:AG99)</f>
        <v>0</v>
      </c>
      <c r="AH96" s="76">
        <v>0</v>
      </c>
      <c r="AI96" s="76">
        <f>SUM(AI97:AI99)</f>
        <v>14300</v>
      </c>
      <c r="AJ96" s="76">
        <f>SUM(AJ97:AJ99)</f>
        <v>0</v>
      </c>
      <c r="AK96" s="76">
        <v>0</v>
      </c>
      <c r="AL96" s="76">
        <f>SUM(AL97:AL99)</f>
        <v>14300</v>
      </c>
      <c r="AM96" s="76">
        <f>SUM(AM97:AM99)</f>
        <v>0</v>
      </c>
      <c r="AN96" s="76">
        <f>SUM(AN97:AN99)</f>
        <v>6000</v>
      </c>
      <c r="AO96" s="94">
        <f t="shared" si="93"/>
        <v>8300</v>
      </c>
      <c r="AP96" s="155">
        <f>SUM(AP97:AP99)</f>
        <v>7851</v>
      </c>
      <c r="AQ96" s="207">
        <f t="shared" si="76"/>
        <v>94.59036144578313</v>
      </c>
    </row>
    <row r="97" spans="1:43" s="24" customFormat="1" ht="72">
      <c r="A97" s="77"/>
      <c r="B97" s="78"/>
      <c r="C97" s="79" t="s">
        <v>191</v>
      </c>
      <c r="D97" s="83" t="s">
        <v>67</v>
      </c>
      <c r="E97" s="76">
        <v>13000</v>
      </c>
      <c r="F97" s="127"/>
      <c r="G97" s="127"/>
      <c r="H97" s="94">
        <f t="shared" si="48"/>
        <v>13000</v>
      </c>
      <c r="I97" s="94"/>
      <c r="J97" s="94"/>
      <c r="K97" s="94">
        <f>SUM(H97+I97-J97)</f>
        <v>13000</v>
      </c>
      <c r="L97" s="94"/>
      <c r="M97" s="94"/>
      <c r="N97" s="94">
        <f>SUM(K97+L97-M97)</f>
        <v>13000</v>
      </c>
      <c r="O97" s="94"/>
      <c r="P97" s="94"/>
      <c r="Q97" s="94">
        <f>SUM(N97+O97-P97)</f>
        <v>13000</v>
      </c>
      <c r="R97" s="94"/>
      <c r="S97" s="94"/>
      <c r="T97" s="94">
        <f>SUM(Q97+R97-S97)</f>
        <v>13000</v>
      </c>
      <c r="U97" s="94"/>
      <c r="V97" s="94"/>
      <c r="W97" s="94">
        <f>SUM(T97+U97-V97)</f>
        <v>13000</v>
      </c>
      <c r="X97" s="94"/>
      <c r="Y97" s="94"/>
      <c r="Z97" s="94">
        <f>SUM(W97+X97-Y97)</f>
        <v>13000</v>
      </c>
      <c r="AA97" s="94"/>
      <c r="AB97" s="94"/>
      <c r="AC97" s="94">
        <f>SUM(Z97+AA97-AB97)</f>
        <v>13000</v>
      </c>
      <c r="AD97" s="94"/>
      <c r="AE97" s="94"/>
      <c r="AF97" s="94">
        <f>SUM(AC97+AD97-AE97)</f>
        <v>13000</v>
      </c>
      <c r="AG97" s="94"/>
      <c r="AH97" s="94"/>
      <c r="AI97" s="94">
        <f>SUM(AF97+AG97-AH97)</f>
        <v>13000</v>
      </c>
      <c r="AJ97" s="94"/>
      <c r="AK97" s="94"/>
      <c r="AL97" s="94">
        <f>SUM(AI97+AJ97-AK97)</f>
        <v>13000</v>
      </c>
      <c r="AM97" s="94"/>
      <c r="AN97" s="94">
        <v>6000</v>
      </c>
      <c r="AO97" s="94">
        <f t="shared" si="93"/>
        <v>7000</v>
      </c>
      <c r="AP97" s="155">
        <v>7551</v>
      </c>
      <c r="AQ97" s="207">
        <f t="shared" si="76"/>
        <v>107.87142857142857</v>
      </c>
    </row>
    <row r="98" spans="1:43" s="24" customFormat="1" ht="21.75" customHeight="1">
      <c r="A98" s="77"/>
      <c r="B98" s="78"/>
      <c r="C98" s="79" t="s">
        <v>251</v>
      </c>
      <c r="D98" s="83" t="s">
        <v>252</v>
      </c>
      <c r="E98" s="76">
        <v>8000</v>
      </c>
      <c r="F98" s="127"/>
      <c r="G98" s="127"/>
      <c r="H98" s="94">
        <f t="shared" si="48"/>
        <v>8000</v>
      </c>
      <c r="I98" s="94"/>
      <c r="J98" s="94"/>
      <c r="K98" s="94">
        <f>SUM(H98+I98-J98)</f>
        <v>8000</v>
      </c>
      <c r="L98" s="94"/>
      <c r="M98" s="94"/>
      <c r="N98" s="94">
        <f>SUM(K98+L98-M98)</f>
        <v>8000</v>
      </c>
      <c r="O98" s="94"/>
      <c r="P98" s="94"/>
      <c r="Q98" s="94">
        <f>SUM(N98+O98-P98)</f>
        <v>8000</v>
      </c>
      <c r="R98" s="94"/>
      <c r="S98" s="94"/>
      <c r="T98" s="94">
        <f>SUM(Q98+R98-S98)</f>
        <v>8000</v>
      </c>
      <c r="U98" s="94"/>
      <c r="V98" s="94"/>
      <c r="W98" s="94">
        <f>SUM(T98+U98-V98)</f>
        <v>8000</v>
      </c>
      <c r="X98" s="94"/>
      <c r="Y98" s="94">
        <v>7000</v>
      </c>
      <c r="Z98" s="94">
        <f>SUM(W98+X98-Y98)</f>
        <v>1000</v>
      </c>
      <c r="AA98" s="94"/>
      <c r="AB98" s="94">
        <v>0</v>
      </c>
      <c r="AC98" s="94">
        <f>SUM(Z98+AA98-AB98)</f>
        <v>1000</v>
      </c>
      <c r="AD98" s="94"/>
      <c r="AE98" s="94"/>
      <c r="AF98" s="94">
        <f>SUM(AC98+AD98-AE98)</f>
        <v>1000</v>
      </c>
      <c r="AG98" s="94"/>
      <c r="AH98" s="94"/>
      <c r="AI98" s="94">
        <f>SUM(AF98+AG98-AH98)</f>
        <v>1000</v>
      </c>
      <c r="AJ98" s="94"/>
      <c r="AK98" s="94"/>
      <c r="AL98" s="94">
        <f>SUM(AI98+AJ98-AK98)</f>
        <v>1000</v>
      </c>
      <c r="AM98" s="94"/>
      <c r="AN98" s="94"/>
      <c r="AO98" s="94">
        <f t="shared" si="93"/>
        <v>1000</v>
      </c>
      <c r="AP98" s="155">
        <v>0</v>
      </c>
      <c r="AQ98" s="207">
        <f t="shared" si="76"/>
        <v>0</v>
      </c>
    </row>
    <row r="99" spans="1:43" s="24" customFormat="1" ht="48">
      <c r="A99" s="77"/>
      <c r="B99" s="78"/>
      <c r="C99" s="79">
        <v>2320</v>
      </c>
      <c r="D99" s="83" t="s">
        <v>279</v>
      </c>
      <c r="E99" s="76">
        <v>0</v>
      </c>
      <c r="F99" s="127"/>
      <c r="G99" s="127"/>
      <c r="H99" s="94">
        <f t="shared" si="48"/>
        <v>0</v>
      </c>
      <c r="I99" s="94">
        <v>300</v>
      </c>
      <c r="J99" s="94"/>
      <c r="K99" s="94">
        <f>SUM(H99+I99-J99)</f>
        <v>300</v>
      </c>
      <c r="L99" s="94"/>
      <c r="M99" s="94"/>
      <c r="N99" s="94">
        <f>SUM(K99+L99-M99)</f>
        <v>300</v>
      </c>
      <c r="O99" s="94"/>
      <c r="P99" s="94"/>
      <c r="Q99" s="94">
        <f>SUM(N99+O99-P99)</f>
        <v>300</v>
      </c>
      <c r="R99" s="94"/>
      <c r="S99" s="94"/>
      <c r="T99" s="94">
        <f>SUM(Q99+R99-S99)</f>
        <v>300</v>
      </c>
      <c r="U99" s="94"/>
      <c r="V99" s="94"/>
      <c r="W99" s="94">
        <f>SUM(T99+U99-V99)</f>
        <v>300</v>
      </c>
      <c r="X99" s="94"/>
      <c r="Y99" s="94"/>
      <c r="Z99" s="94">
        <f>SUM(W99+X99-Y99)</f>
        <v>300</v>
      </c>
      <c r="AA99" s="94"/>
      <c r="AB99" s="94"/>
      <c r="AC99" s="94">
        <f>SUM(Z99+AA99-AB99)</f>
        <v>300</v>
      </c>
      <c r="AD99" s="94"/>
      <c r="AE99" s="94"/>
      <c r="AF99" s="94">
        <f>SUM(AC99+AD99-AE99)</f>
        <v>300</v>
      </c>
      <c r="AG99" s="94"/>
      <c r="AH99" s="94"/>
      <c r="AI99" s="94">
        <f>SUM(AF99+AG99-AH99)</f>
        <v>300</v>
      </c>
      <c r="AJ99" s="94"/>
      <c r="AK99" s="94"/>
      <c r="AL99" s="94">
        <f>SUM(AI99+AJ99-AK99)</f>
        <v>300</v>
      </c>
      <c r="AM99" s="94"/>
      <c r="AN99" s="94"/>
      <c r="AO99" s="94">
        <f t="shared" si="93"/>
        <v>300</v>
      </c>
      <c r="AP99" s="155">
        <v>300</v>
      </c>
      <c r="AQ99" s="207">
        <f t="shared" si="76"/>
        <v>100</v>
      </c>
    </row>
    <row r="100" spans="1:43" s="24" customFormat="1" ht="24.75" customHeight="1">
      <c r="A100" s="77"/>
      <c r="B100" s="78">
        <v>80146</v>
      </c>
      <c r="C100" s="79"/>
      <c r="D100" s="83" t="s">
        <v>173</v>
      </c>
      <c r="E100" s="76">
        <f>SUM(E101)</f>
        <v>0</v>
      </c>
      <c r="F100" s="76">
        <f>SUM(F101)</f>
        <v>0</v>
      </c>
      <c r="G100" s="76">
        <f>SUM(G101)</f>
        <v>0</v>
      </c>
      <c r="H100" s="94">
        <f t="shared" si="48"/>
        <v>0</v>
      </c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>
        <f>SUM(AL101)</f>
        <v>0</v>
      </c>
      <c r="AM100" s="94">
        <f>SUM(AM101)</f>
        <v>3300</v>
      </c>
      <c r="AN100" s="94">
        <f>SUM(AN101)</f>
        <v>0</v>
      </c>
      <c r="AO100" s="94">
        <f>SUM(AO101)</f>
        <v>3300</v>
      </c>
      <c r="AP100" s="155">
        <f>SUM(AP101)</f>
        <v>3302</v>
      </c>
      <c r="AQ100" s="207">
        <f t="shared" si="76"/>
        <v>100.06060606060605</v>
      </c>
    </row>
    <row r="101" spans="1:43" s="24" customFormat="1" ht="24.75" customHeight="1">
      <c r="A101" s="77"/>
      <c r="B101" s="78"/>
      <c r="C101" s="79" t="s">
        <v>193</v>
      </c>
      <c r="D101" s="83" t="s">
        <v>16</v>
      </c>
      <c r="E101" s="76">
        <v>0</v>
      </c>
      <c r="F101" s="127"/>
      <c r="G101" s="127"/>
      <c r="H101" s="94">
        <f t="shared" si="48"/>
        <v>0</v>
      </c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>
        <v>0</v>
      </c>
      <c r="AM101" s="94">
        <v>3300</v>
      </c>
      <c r="AN101" s="94"/>
      <c r="AO101" s="94">
        <f>SUM(AL101+AM101-AN101)</f>
        <v>3300</v>
      </c>
      <c r="AP101" s="155">
        <v>3302</v>
      </c>
      <c r="AQ101" s="207">
        <f t="shared" si="76"/>
        <v>100.06060606060605</v>
      </c>
    </row>
    <row r="102" spans="1:43" s="24" customFormat="1" ht="21.75" customHeight="1">
      <c r="A102" s="77"/>
      <c r="B102" s="78">
        <v>80195</v>
      </c>
      <c r="C102" s="79"/>
      <c r="D102" s="83" t="s">
        <v>316</v>
      </c>
      <c r="E102" s="76">
        <f>SUM(E103:E104)</f>
        <v>0</v>
      </c>
      <c r="F102" s="76">
        <f>SUM(F103:F104)</f>
        <v>0</v>
      </c>
      <c r="G102" s="76">
        <f>SUM(G103:G104)</f>
        <v>0</v>
      </c>
      <c r="H102" s="76">
        <f>SUM(H103:H104)</f>
        <v>0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76">
        <f aca="true" t="shared" si="97" ref="T102:AH102">SUM(T103)</f>
        <v>0</v>
      </c>
      <c r="U102" s="76">
        <f t="shared" si="97"/>
        <v>300</v>
      </c>
      <c r="V102" s="76">
        <f t="shared" si="97"/>
        <v>0</v>
      </c>
      <c r="W102" s="76">
        <f t="shared" si="97"/>
        <v>300</v>
      </c>
      <c r="X102" s="76">
        <f t="shared" si="97"/>
        <v>0</v>
      </c>
      <c r="Y102" s="76">
        <f t="shared" si="97"/>
        <v>0</v>
      </c>
      <c r="Z102" s="76">
        <f t="shared" si="97"/>
        <v>300</v>
      </c>
      <c r="AA102" s="76">
        <f t="shared" si="97"/>
        <v>0</v>
      </c>
      <c r="AB102" s="76">
        <f t="shared" si="97"/>
        <v>0</v>
      </c>
      <c r="AC102" s="76">
        <f t="shared" si="97"/>
        <v>300</v>
      </c>
      <c r="AD102" s="76">
        <f t="shared" si="97"/>
        <v>0</v>
      </c>
      <c r="AE102" s="76">
        <f t="shared" si="97"/>
        <v>0</v>
      </c>
      <c r="AF102" s="76">
        <f t="shared" si="97"/>
        <v>300</v>
      </c>
      <c r="AG102" s="76">
        <f t="shared" si="97"/>
        <v>0</v>
      </c>
      <c r="AH102" s="76">
        <f t="shared" si="97"/>
        <v>0</v>
      </c>
      <c r="AI102" s="76">
        <f aca="true" t="shared" si="98" ref="AI102:AO102">SUM(AI103:AI104)</f>
        <v>300</v>
      </c>
      <c r="AJ102" s="76">
        <f t="shared" si="98"/>
        <v>9440</v>
      </c>
      <c r="AK102" s="76">
        <f t="shared" si="98"/>
        <v>0</v>
      </c>
      <c r="AL102" s="76">
        <f t="shared" si="98"/>
        <v>9740</v>
      </c>
      <c r="AM102" s="76">
        <f t="shared" si="98"/>
        <v>2367</v>
      </c>
      <c r="AN102" s="76">
        <f t="shared" si="98"/>
        <v>0</v>
      </c>
      <c r="AO102" s="76">
        <f t="shared" si="98"/>
        <v>12107</v>
      </c>
      <c r="AP102" s="155">
        <f>SUM(AP103:AP104)</f>
        <v>12108</v>
      </c>
      <c r="AQ102" s="207">
        <f t="shared" si="76"/>
        <v>100.00825968448007</v>
      </c>
    </row>
    <row r="103" spans="1:43" s="24" customFormat="1" ht="36">
      <c r="A103" s="77"/>
      <c r="B103" s="78"/>
      <c r="C103" s="79">
        <v>2030</v>
      </c>
      <c r="D103" s="83" t="s">
        <v>283</v>
      </c>
      <c r="E103" s="76">
        <v>0</v>
      </c>
      <c r="F103" s="127"/>
      <c r="G103" s="127"/>
      <c r="H103" s="94">
        <f t="shared" si="48"/>
        <v>0</v>
      </c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>
        <v>0</v>
      </c>
      <c r="U103" s="94">
        <v>300</v>
      </c>
      <c r="V103" s="94"/>
      <c r="W103" s="94">
        <f>SUM(T103+U103-V103)</f>
        <v>300</v>
      </c>
      <c r="X103" s="94"/>
      <c r="Y103" s="94"/>
      <c r="Z103" s="94">
        <f>SUM(W103+X103-Y103)</f>
        <v>300</v>
      </c>
      <c r="AA103" s="94"/>
      <c r="AB103" s="94"/>
      <c r="AC103" s="94">
        <f>SUM(Z103+AA103-AB103)</f>
        <v>300</v>
      </c>
      <c r="AD103" s="94"/>
      <c r="AE103" s="94"/>
      <c r="AF103" s="94">
        <f>SUM(AC103+AD103-AE103)</f>
        <v>300</v>
      </c>
      <c r="AG103" s="94"/>
      <c r="AH103" s="94"/>
      <c r="AI103" s="94">
        <f>SUM(AF103+AG103-AH103)</f>
        <v>300</v>
      </c>
      <c r="AJ103" s="94">
        <v>1200</v>
      </c>
      <c r="AK103" s="94"/>
      <c r="AL103" s="94">
        <f>SUM(AI103+AJ103-AK103)</f>
        <v>1500</v>
      </c>
      <c r="AM103" s="94">
        <v>2367</v>
      </c>
      <c r="AN103" s="94"/>
      <c r="AO103" s="94">
        <f>SUM(AL103+AM103-AN103)</f>
        <v>3867</v>
      </c>
      <c r="AP103" s="155">
        <v>3867</v>
      </c>
      <c r="AQ103" s="207">
        <f t="shared" si="76"/>
        <v>100</v>
      </c>
    </row>
    <row r="104" spans="1:43" s="24" customFormat="1" ht="60">
      <c r="A104" s="77"/>
      <c r="B104" s="78"/>
      <c r="C104" s="79">
        <v>2705</v>
      </c>
      <c r="D104" s="83" t="s">
        <v>383</v>
      </c>
      <c r="E104" s="76">
        <v>0</v>
      </c>
      <c r="F104" s="127"/>
      <c r="G104" s="127"/>
      <c r="H104" s="94">
        <f t="shared" si="48"/>
        <v>0</v>
      </c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>
        <v>0</v>
      </c>
      <c r="AJ104" s="94">
        <v>8240</v>
      </c>
      <c r="AK104" s="94"/>
      <c r="AL104" s="94">
        <f>SUM(AI104+AJ104-AK104)</f>
        <v>8240</v>
      </c>
      <c r="AM104" s="94"/>
      <c r="AN104" s="94"/>
      <c r="AO104" s="94">
        <f>SUM(AL104+AM104-AN104)</f>
        <v>8240</v>
      </c>
      <c r="AP104" s="155">
        <v>8241</v>
      </c>
      <c r="AQ104" s="207">
        <f t="shared" si="76"/>
        <v>100.01213592233009</v>
      </c>
    </row>
    <row r="105" spans="1:43" s="42" customFormat="1" ht="21.75" customHeight="1">
      <c r="A105" s="30" t="s">
        <v>183</v>
      </c>
      <c r="B105" s="3"/>
      <c r="C105" s="20"/>
      <c r="D105" s="31" t="s">
        <v>230</v>
      </c>
      <c r="E105" s="66" t="e">
        <f>SUM(,E106,#REF!,E111,E113,E116,E108,E119)</f>
        <v>#REF!</v>
      </c>
      <c r="F105" s="66" t="e">
        <f>SUM(,F106,#REF!,F111,F113,F116,F108,F119)</f>
        <v>#REF!</v>
      </c>
      <c r="G105" s="66" t="e">
        <f>SUM(,G106,#REF!,G111,G113,G116,G108,G119)</f>
        <v>#REF!</v>
      </c>
      <c r="H105" s="66">
        <f>SUM(,H106,H111,H113,H116,H108,H119)</f>
        <v>6985400</v>
      </c>
      <c r="I105" s="66" t="e">
        <f>SUM(#REF!,I111,I113,I116)</f>
        <v>#REF!</v>
      </c>
      <c r="J105" s="66" t="e">
        <f>SUM(#REF!,J111,J113,J116)</f>
        <v>#REF!</v>
      </c>
      <c r="K105" s="66" t="e">
        <f>SUM(#REF!,K111,K113,K116,K119)</f>
        <v>#REF!</v>
      </c>
      <c r="L105" s="66" t="e">
        <f>SUM(#REF!,L111,L113,L116,L119)</f>
        <v>#REF!</v>
      </c>
      <c r="M105" s="66" t="e">
        <f>SUM(#REF!,M111,M113,M116,M119)</f>
        <v>#REF!</v>
      </c>
      <c r="N105" s="66" t="e">
        <f>SUM(#REF!,N111,N113,N116,N119)</f>
        <v>#REF!</v>
      </c>
      <c r="O105" s="66" t="e">
        <f>SUM(#REF!,O111,O113,O116,O119)</f>
        <v>#REF!</v>
      </c>
      <c r="P105" s="66" t="e">
        <f>SUM(#REF!,P111,P113,P116,P119)</f>
        <v>#REF!</v>
      </c>
      <c r="Q105" s="66" t="e">
        <f>SUM(#REF!,Q111,Q113,Q116,Q119)</f>
        <v>#REF!</v>
      </c>
      <c r="R105" s="66" t="e">
        <f>SUM(#REF!,R111,R113,R116,R119)</f>
        <v>#REF!</v>
      </c>
      <c r="S105" s="66" t="e">
        <f>SUM(#REF!,S111,S113,S116,S119)</f>
        <v>#REF!</v>
      </c>
      <c r="T105" s="66" t="e">
        <f>SUM(#REF!,T111,T113,T116,T119)</f>
        <v>#REF!</v>
      </c>
      <c r="U105" s="66" t="e">
        <f>SUM(#REF!,U111,U113,U116,U119)</f>
        <v>#REF!</v>
      </c>
      <c r="V105" s="66" t="e">
        <f>SUM(#REF!,V111,V113,V116,V119)</f>
        <v>#REF!</v>
      </c>
      <c r="W105" s="66" t="e">
        <f>SUM(#REF!,W111,W113,W116,W119)</f>
        <v>#REF!</v>
      </c>
      <c r="X105" s="66" t="e">
        <f>SUM(#REF!,X111,X113,X116,X119)</f>
        <v>#REF!</v>
      </c>
      <c r="Y105" s="66" t="e">
        <f>SUM(#REF!,Y111,Y113,Y116,Y119)</f>
        <v>#REF!</v>
      </c>
      <c r="Z105" s="66" t="e">
        <f>SUM(#REF!,Z111,Z113,Z116,Z119)</f>
        <v>#REF!</v>
      </c>
      <c r="AA105" s="66" t="e">
        <f>SUM(#REF!,AA111,AA113,AA116,AA119)</f>
        <v>#REF!</v>
      </c>
      <c r="AB105" s="66" t="e">
        <f>SUM(#REF!,AB111,AB113,AB116,AB119)</f>
        <v>#REF!</v>
      </c>
      <c r="AC105" s="66" t="e">
        <f>SUM(#REF!,AC111,AC113,AC116,AC119)</f>
        <v>#REF!</v>
      </c>
      <c r="AD105" s="66" t="e">
        <f>SUM(#REF!,AD111,AD113,AD116,AD119)</f>
        <v>#REF!</v>
      </c>
      <c r="AE105" s="66" t="e">
        <f>SUM(#REF!,AE111,AE113,AE116,AE119)</f>
        <v>#REF!</v>
      </c>
      <c r="AF105" s="66" t="e">
        <f>SUM(#REF!,AF111,AF113,AF116,AF119)</f>
        <v>#REF!</v>
      </c>
      <c r="AG105" s="66" t="e">
        <f>SUM(#REF!,AG111,AG113,AG116,AG119)</f>
        <v>#REF!</v>
      </c>
      <c r="AH105" s="66" t="e">
        <f>SUM(#REF!,AH111,AH113,AH116,AH119)</f>
        <v>#REF!</v>
      </c>
      <c r="AI105" s="66" t="e">
        <f>SUM(#REF!,AI111,AI113,AI116,AI119)</f>
        <v>#REF!</v>
      </c>
      <c r="AJ105" s="66" t="e">
        <f>SUM(#REF!,AJ111,AJ113,AJ116,AJ119)</f>
        <v>#REF!</v>
      </c>
      <c r="AK105" s="66" t="e">
        <f>SUM(#REF!,AK111,AK113,AK116,AK119)</f>
        <v>#REF!</v>
      </c>
      <c r="AL105" s="66" t="e">
        <f>SUM(#REF!,AL111,AL113,AL116,AL119,AL106,AL108)</f>
        <v>#REF!</v>
      </c>
      <c r="AM105" s="66" t="e">
        <f>SUM(#REF!,AM111,AM113,AM116,AM119,AM106,AM108)</f>
        <v>#REF!</v>
      </c>
      <c r="AN105" s="66" t="e">
        <f>SUM(#REF!,AN111,AN113,AN116,AN119,AN106,AN108)</f>
        <v>#REF!</v>
      </c>
      <c r="AO105" s="66">
        <f>SUM(AO111,AO113,AO116,AO119,AO106,AO108)</f>
        <v>7501673</v>
      </c>
      <c r="AP105" s="32">
        <f>SUM(AP106,AP108,AP111,AP113,AP116,AP119,)</f>
        <v>6859281</v>
      </c>
      <c r="AQ105" s="208">
        <f t="shared" si="76"/>
        <v>91.4366835237953</v>
      </c>
    </row>
    <row r="106" spans="1:43" s="24" customFormat="1" ht="21.75" customHeight="1">
      <c r="A106" s="152"/>
      <c r="B106" s="55">
        <v>85202</v>
      </c>
      <c r="C106" s="86"/>
      <c r="D106" s="83" t="s">
        <v>370</v>
      </c>
      <c r="E106" s="76">
        <f>SUM(E107)</f>
        <v>0</v>
      </c>
      <c r="F106" s="76">
        <f>SUM(F107)</f>
        <v>0</v>
      </c>
      <c r="G106" s="76">
        <f>SUM(G107)</f>
        <v>0</v>
      </c>
      <c r="H106" s="94">
        <f t="shared" si="48"/>
        <v>0</v>
      </c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76">
        <f>SUM(AL107)</f>
        <v>0</v>
      </c>
      <c r="AM106" s="76">
        <f>SUM(AM107)</f>
        <v>1300</v>
      </c>
      <c r="AN106" s="76">
        <f>SUM(AN107)</f>
        <v>0</v>
      </c>
      <c r="AO106" s="76">
        <f>SUM(AO107)</f>
        <v>1300</v>
      </c>
      <c r="AP106" s="155">
        <f>SUM(AP107)</f>
        <v>1728</v>
      </c>
      <c r="AQ106" s="207">
        <f t="shared" si="76"/>
        <v>132.92307692307693</v>
      </c>
    </row>
    <row r="107" spans="1:43" s="24" customFormat="1" ht="72">
      <c r="A107" s="152"/>
      <c r="B107" s="55"/>
      <c r="C107" s="85" t="s">
        <v>191</v>
      </c>
      <c r="D107" s="83" t="s">
        <v>67</v>
      </c>
      <c r="E107" s="76">
        <v>0</v>
      </c>
      <c r="F107" s="76"/>
      <c r="G107" s="76"/>
      <c r="H107" s="94">
        <f t="shared" si="48"/>
        <v>0</v>
      </c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76">
        <v>0</v>
      </c>
      <c r="AM107" s="76">
        <v>1300</v>
      </c>
      <c r="AN107" s="76"/>
      <c r="AO107" s="94">
        <f>SUM(AL107+AM107-AN107)</f>
        <v>1300</v>
      </c>
      <c r="AP107" s="155">
        <v>1728</v>
      </c>
      <c r="AQ107" s="207">
        <f t="shared" si="76"/>
        <v>132.92307692307693</v>
      </c>
    </row>
    <row r="108" spans="1:43" s="24" customFormat="1" ht="48">
      <c r="A108" s="77"/>
      <c r="B108" s="55">
        <v>85212</v>
      </c>
      <c r="C108" s="85"/>
      <c r="D108" s="83" t="s">
        <v>384</v>
      </c>
      <c r="E108" s="76">
        <f>SUM(E109:E110)</f>
        <v>0</v>
      </c>
      <c r="F108" s="76">
        <f>SUM(F109:F110)</f>
        <v>0</v>
      </c>
      <c r="G108" s="76">
        <f>SUM(G109:G110)</f>
        <v>0</v>
      </c>
      <c r="H108" s="94">
        <f>SUM(H109:H110)</f>
        <v>5565000</v>
      </c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>
        <f>SUM(AL109:AL110)</f>
        <v>0</v>
      </c>
      <c r="AM108" s="94">
        <f>SUM(AM109:AM110)</f>
        <v>5800762</v>
      </c>
      <c r="AN108" s="94">
        <f>SUM(AN109:AN110)</f>
        <v>0</v>
      </c>
      <c r="AO108" s="94">
        <f>SUM(AO109:AO110)</f>
        <v>5800762</v>
      </c>
      <c r="AP108" s="155">
        <f>SUM(AP109:AP110)</f>
        <v>5151242</v>
      </c>
      <c r="AQ108" s="207">
        <f t="shared" si="76"/>
        <v>88.80285038413919</v>
      </c>
    </row>
    <row r="109" spans="1:43" s="24" customFormat="1" ht="20.25" customHeight="1">
      <c r="A109" s="77"/>
      <c r="B109" s="55"/>
      <c r="C109" s="85" t="s">
        <v>193</v>
      </c>
      <c r="D109" s="83" t="s">
        <v>16</v>
      </c>
      <c r="E109" s="76">
        <v>0</v>
      </c>
      <c r="F109" s="127"/>
      <c r="G109" s="127"/>
      <c r="H109" s="94">
        <f t="shared" si="48"/>
        <v>0</v>
      </c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>
        <v>0</v>
      </c>
      <c r="AM109" s="94">
        <v>500</v>
      </c>
      <c r="AN109" s="94"/>
      <c r="AO109" s="94">
        <f>SUM(AL109+AM109-AN109)</f>
        <v>500</v>
      </c>
      <c r="AP109" s="155">
        <v>652</v>
      </c>
      <c r="AQ109" s="207">
        <f t="shared" si="76"/>
        <v>130.4</v>
      </c>
    </row>
    <row r="110" spans="1:43" s="24" customFormat="1" ht="60">
      <c r="A110" s="77"/>
      <c r="B110" s="55"/>
      <c r="C110" s="85">
        <v>2010</v>
      </c>
      <c r="D110" s="83" t="s">
        <v>280</v>
      </c>
      <c r="E110" s="76">
        <v>0</v>
      </c>
      <c r="F110" s="127"/>
      <c r="G110" s="127"/>
      <c r="H110" s="94">
        <v>5565000</v>
      </c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>
        <v>0</v>
      </c>
      <c r="AM110" s="94">
        <v>5800262</v>
      </c>
      <c r="AN110" s="94"/>
      <c r="AO110" s="94">
        <f>SUM(AL110+AM110-AN110)</f>
        <v>5800262</v>
      </c>
      <c r="AP110" s="155">
        <v>5150590</v>
      </c>
      <c r="AQ110" s="207">
        <f t="shared" si="76"/>
        <v>88.79926458494461</v>
      </c>
    </row>
    <row r="111" spans="1:43" s="24" customFormat="1" ht="60">
      <c r="A111" s="77"/>
      <c r="B111" s="55">
        <v>85213</v>
      </c>
      <c r="C111" s="86"/>
      <c r="D111" s="83" t="s">
        <v>282</v>
      </c>
      <c r="E111" s="76">
        <f aca="true" t="shared" si="99" ref="E111:AO111">SUM(E112)</f>
        <v>160900</v>
      </c>
      <c r="F111" s="76">
        <f t="shared" si="99"/>
        <v>0</v>
      </c>
      <c r="G111" s="76">
        <f t="shared" si="99"/>
        <v>0</v>
      </c>
      <c r="H111" s="76">
        <f t="shared" si="99"/>
        <v>160900</v>
      </c>
      <c r="I111" s="76">
        <f t="shared" si="99"/>
        <v>0</v>
      </c>
      <c r="J111" s="76">
        <f t="shared" si="99"/>
        <v>0</v>
      </c>
      <c r="K111" s="76">
        <f t="shared" si="99"/>
        <v>160900</v>
      </c>
      <c r="L111" s="76">
        <f t="shared" si="99"/>
        <v>0</v>
      </c>
      <c r="M111" s="76">
        <f t="shared" si="99"/>
        <v>0</v>
      </c>
      <c r="N111" s="76">
        <f t="shared" si="99"/>
        <v>160900</v>
      </c>
      <c r="O111" s="76">
        <f t="shared" si="99"/>
        <v>0</v>
      </c>
      <c r="P111" s="76">
        <f t="shared" si="99"/>
        <v>0</v>
      </c>
      <c r="Q111" s="76">
        <f t="shared" si="99"/>
        <v>160900</v>
      </c>
      <c r="R111" s="76">
        <f t="shared" si="99"/>
        <v>0</v>
      </c>
      <c r="S111" s="76">
        <f t="shared" si="99"/>
        <v>0</v>
      </c>
      <c r="T111" s="76">
        <f t="shared" si="99"/>
        <v>160900</v>
      </c>
      <c r="U111" s="76">
        <f t="shared" si="99"/>
        <v>0</v>
      </c>
      <c r="V111" s="76">
        <f t="shared" si="99"/>
        <v>0</v>
      </c>
      <c r="W111" s="76">
        <f t="shared" si="99"/>
        <v>160900</v>
      </c>
      <c r="X111" s="76">
        <f t="shared" si="99"/>
        <v>0</v>
      </c>
      <c r="Y111" s="76">
        <f t="shared" si="99"/>
        <v>0</v>
      </c>
      <c r="Z111" s="76">
        <f t="shared" si="99"/>
        <v>160900</v>
      </c>
      <c r="AA111" s="76">
        <f t="shared" si="99"/>
        <v>0</v>
      </c>
      <c r="AB111" s="76">
        <f t="shared" si="99"/>
        <v>0</v>
      </c>
      <c r="AC111" s="76">
        <f t="shared" si="99"/>
        <v>160900</v>
      </c>
      <c r="AD111" s="76">
        <f t="shared" si="99"/>
        <v>0</v>
      </c>
      <c r="AE111" s="76">
        <f t="shared" si="99"/>
        <v>0</v>
      </c>
      <c r="AF111" s="76">
        <f t="shared" si="99"/>
        <v>160900</v>
      </c>
      <c r="AG111" s="76">
        <f t="shared" si="99"/>
        <v>0</v>
      </c>
      <c r="AH111" s="76">
        <f t="shared" si="99"/>
        <v>94900</v>
      </c>
      <c r="AI111" s="76">
        <f t="shared" si="99"/>
        <v>66000</v>
      </c>
      <c r="AJ111" s="76">
        <f t="shared" si="99"/>
        <v>0</v>
      </c>
      <c r="AK111" s="76">
        <f t="shared" si="99"/>
        <v>0</v>
      </c>
      <c r="AL111" s="76">
        <f t="shared" si="99"/>
        <v>66000</v>
      </c>
      <c r="AM111" s="76">
        <f t="shared" si="99"/>
        <v>0</v>
      </c>
      <c r="AN111" s="76">
        <f t="shared" si="99"/>
        <v>0</v>
      </c>
      <c r="AO111" s="76">
        <f t="shared" si="99"/>
        <v>66000</v>
      </c>
      <c r="AP111" s="155">
        <f>SUM(AP112)</f>
        <v>63591</v>
      </c>
      <c r="AQ111" s="207">
        <f t="shared" si="76"/>
        <v>96.35000000000001</v>
      </c>
    </row>
    <row r="112" spans="1:43" s="24" customFormat="1" ht="60">
      <c r="A112" s="77"/>
      <c r="B112" s="55"/>
      <c r="C112" s="86">
        <v>2010</v>
      </c>
      <c r="D112" s="83" t="s">
        <v>280</v>
      </c>
      <c r="E112" s="76">
        <v>160900</v>
      </c>
      <c r="F112" s="127"/>
      <c r="G112" s="127"/>
      <c r="H112" s="94">
        <f t="shared" si="48"/>
        <v>160900</v>
      </c>
      <c r="I112" s="94"/>
      <c r="J112" s="94"/>
      <c r="K112" s="94">
        <f>SUM(H112+I112-J112)</f>
        <v>160900</v>
      </c>
      <c r="L112" s="94"/>
      <c r="M112" s="94"/>
      <c r="N112" s="94">
        <f>SUM(K112+L112-M112)</f>
        <v>160900</v>
      </c>
      <c r="O112" s="94"/>
      <c r="P112" s="94"/>
      <c r="Q112" s="94">
        <f>SUM(N112+O112-P112)</f>
        <v>160900</v>
      </c>
      <c r="R112" s="94"/>
      <c r="S112" s="94"/>
      <c r="T112" s="94">
        <f>SUM(Q112+R112-S112)</f>
        <v>160900</v>
      </c>
      <c r="U112" s="94"/>
      <c r="V112" s="94"/>
      <c r="W112" s="94">
        <f>SUM(T112+U112-V112)</f>
        <v>160900</v>
      </c>
      <c r="X112" s="94"/>
      <c r="Y112" s="94"/>
      <c r="Z112" s="94">
        <f>SUM(W112+X112-Y112)</f>
        <v>160900</v>
      </c>
      <c r="AA112" s="94"/>
      <c r="AB112" s="94"/>
      <c r="AC112" s="94">
        <f>SUM(Z112+AA112-AB112)</f>
        <v>160900</v>
      </c>
      <c r="AD112" s="94"/>
      <c r="AE112" s="94"/>
      <c r="AF112" s="94">
        <f>SUM(AC112+AD112-AE112)</f>
        <v>160900</v>
      </c>
      <c r="AG112" s="94"/>
      <c r="AH112" s="94">
        <v>94900</v>
      </c>
      <c r="AI112" s="94">
        <f>SUM(AF112+AG112-AH112)</f>
        <v>66000</v>
      </c>
      <c r="AJ112" s="94"/>
      <c r="AK112" s="94"/>
      <c r="AL112" s="94">
        <f>SUM(AI112+AJ112-AK112)</f>
        <v>66000</v>
      </c>
      <c r="AM112" s="94"/>
      <c r="AN112" s="94"/>
      <c r="AO112" s="94">
        <f>SUM(AL112+AM112-AN112)</f>
        <v>66000</v>
      </c>
      <c r="AP112" s="155">
        <v>63591</v>
      </c>
      <c r="AQ112" s="207">
        <f t="shared" si="76"/>
        <v>96.35000000000001</v>
      </c>
    </row>
    <row r="113" spans="1:43" s="24" customFormat="1" ht="24">
      <c r="A113" s="77"/>
      <c r="B113" s="78" t="s">
        <v>184</v>
      </c>
      <c r="C113" s="86"/>
      <c r="D113" s="83" t="s">
        <v>68</v>
      </c>
      <c r="E113" s="76">
        <f aca="true" t="shared" si="100" ref="E113:K113">SUM(E114:E115)</f>
        <v>851300</v>
      </c>
      <c r="F113" s="76">
        <f t="shared" si="100"/>
        <v>0</v>
      </c>
      <c r="G113" s="76">
        <f t="shared" si="100"/>
        <v>0</v>
      </c>
      <c r="H113" s="76">
        <f t="shared" si="100"/>
        <v>851300</v>
      </c>
      <c r="I113" s="76">
        <f t="shared" si="100"/>
        <v>0</v>
      </c>
      <c r="J113" s="76">
        <f t="shared" si="100"/>
        <v>0</v>
      </c>
      <c r="K113" s="76">
        <f t="shared" si="100"/>
        <v>851300</v>
      </c>
      <c r="L113" s="76">
        <f aca="true" t="shared" si="101" ref="L113:Q113">SUM(L114:L115)</f>
        <v>0</v>
      </c>
      <c r="M113" s="76">
        <f t="shared" si="101"/>
        <v>0</v>
      </c>
      <c r="N113" s="76">
        <f t="shared" si="101"/>
        <v>851300</v>
      </c>
      <c r="O113" s="76">
        <f t="shared" si="101"/>
        <v>0</v>
      </c>
      <c r="P113" s="76">
        <f t="shared" si="101"/>
        <v>0</v>
      </c>
      <c r="Q113" s="76">
        <f t="shared" si="101"/>
        <v>851300</v>
      </c>
      <c r="R113" s="76">
        <f aca="true" t="shared" si="102" ref="R113:W113">SUM(R114:R115)</f>
        <v>141200</v>
      </c>
      <c r="S113" s="76">
        <f t="shared" si="102"/>
        <v>0</v>
      </c>
      <c r="T113" s="76">
        <f t="shared" si="102"/>
        <v>992500</v>
      </c>
      <c r="U113" s="76">
        <f t="shared" si="102"/>
        <v>0</v>
      </c>
      <c r="V113" s="76">
        <f t="shared" si="102"/>
        <v>0</v>
      </c>
      <c r="W113" s="76">
        <f t="shared" si="102"/>
        <v>992500</v>
      </c>
      <c r="X113" s="76">
        <f aca="true" t="shared" si="103" ref="X113:AC113">SUM(X114:X115)</f>
        <v>0</v>
      </c>
      <c r="Y113" s="76">
        <f t="shared" si="103"/>
        <v>0</v>
      </c>
      <c r="Z113" s="76">
        <f t="shared" si="103"/>
        <v>992500</v>
      </c>
      <c r="AA113" s="76">
        <f t="shared" si="103"/>
        <v>18458</v>
      </c>
      <c r="AB113" s="76">
        <f t="shared" si="103"/>
        <v>0</v>
      </c>
      <c r="AC113" s="76">
        <f t="shared" si="103"/>
        <v>1010958</v>
      </c>
      <c r="AD113" s="76">
        <f aca="true" t="shared" si="104" ref="AD113:AI113">SUM(AD114:AD115)</f>
        <v>0</v>
      </c>
      <c r="AE113" s="76">
        <f t="shared" si="104"/>
        <v>0</v>
      </c>
      <c r="AF113" s="76">
        <f t="shared" si="104"/>
        <v>1010958</v>
      </c>
      <c r="AG113" s="76">
        <f t="shared" si="104"/>
        <v>20342</v>
      </c>
      <c r="AH113" s="76">
        <f t="shared" si="104"/>
        <v>0</v>
      </c>
      <c r="AI113" s="76">
        <f t="shared" si="104"/>
        <v>1031300</v>
      </c>
      <c r="AJ113" s="76">
        <f aca="true" t="shared" si="105" ref="AJ113:AO113">SUM(AJ114:AJ115)</f>
        <v>0</v>
      </c>
      <c r="AK113" s="76">
        <f t="shared" si="105"/>
        <v>115799</v>
      </c>
      <c r="AL113" s="76">
        <f t="shared" si="105"/>
        <v>915501</v>
      </c>
      <c r="AM113" s="76">
        <f t="shared" si="105"/>
        <v>0</v>
      </c>
      <c r="AN113" s="76">
        <f t="shared" si="105"/>
        <v>0</v>
      </c>
      <c r="AO113" s="76">
        <f t="shared" si="105"/>
        <v>915501</v>
      </c>
      <c r="AP113" s="155">
        <f>SUM(AP114:AP115)</f>
        <v>904818</v>
      </c>
      <c r="AQ113" s="207">
        <f t="shared" si="76"/>
        <v>98.83309794309345</v>
      </c>
    </row>
    <row r="114" spans="1:43" s="24" customFormat="1" ht="60">
      <c r="A114" s="77"/>
      <c r="B114" s="78"/>
      <c r="C114" s="79">
        <v>2010</v>
      </c>
      <c r="D114" s="83" t="s">
        <v>280</v>
      </c>
      <c r="E114" s="76">
        <v>531100</v>
      </c>
      <c r="F114" s="127"/>
      <c r="G114" s="127"/>
      <c r="H114" s="94">
        <f t="shared" si="48"/>
        <v>531100</v>
      </c>
      <c r="I114" s="94"/>
      <c r="J114" s="94"/>
      <c r="K114" s="94">
        <f>SUM(H114+I114-J114)</f>
        <v>531100</v>
      </c>
      <c r="L114" s="94"/>
      <c r="M114" s="94"/>
      <c r="N114" s="94">
        <f>SUM(K114+L114-M114)</f>
        <v>531100</v>
      </c>
      <c r="O114" s="94"/>
      <c r="P114" s="94"/>
      <c r="Q114" s="94">
        <f>SUM(N114+O114-P114)</f>
        <v>531100</v>
      </c>
      <c r="R114" s="94"/>
      <c r="S114" s="94"/>
      <c r="T114" s="94">
        <f>SUM(Q114+R114-S114)</f>
        <v>531100</v>
      </c>
      <c r="U114" s="94"/>
      <c r="V114" s="94"/>
      <c r="W114" s="94">
        <f>SUM(T114+U114-V114)</f>
        <v>531100</v>
      </c>
      <c r="X114" s="94"/>
      <c r="Y114" s="94"/>
      <c r="Z114" s="94">
        <f>SUM(W114+X114-Y114)</f>
        <v>531100</v>
      </c>
      <c r="AA114" s="94"/>
      <c r="AB114" s="94"/>
      <c r="AC114" s="94">
        <f>SUM(Z114+AA114-AB114)</f>
        <v>531100</v>
      </c>
      <c r="AD114" s="94"/>
      <c r="AE114" s="94"/>
      <c r="AF114" s="94">
        <f>SUM(AC114+AD114-AE114)</f>
        <v>531100</v>
      </c>
      <c r="AG114" s="94"/>
      <c r="AH114" s="94"/>
      <c r="AI114" s="94">
        <f>SUM(AF114+AG114-AH114)</f>
        <v>531100</v>
      </c>
      <c r="AJ114" s="94"/>
      <c r="AK114" s="94">
        <v>115799</v>
      </c>
      <c r="AL114" s="94">
        <f>SUM(AI114+AJ114-AK114)</f>
        <v>415301</v>
      </c>
      <c r="AM114" s="94"/>
      <c r="AN114" s="94"/>
      <c r="AO114" s="94">
        <f>SUM(AL114+AM114-AN114)</f>
        <v>415301</v>
      </c>
      <c r="AP114" s="155">
        <v>404618</v>
      </c>
      <c r="AQ114" s="207">
        <f t="shared" si="76"/>
        <v>97.4276488619098</v>
      </c>
    </row>
    <row r="115" spans="1:43" s="24" customFormat="1" ht="36">
      <c r="A115" s="77"/>
      <c r="B115" s="78"/>
      <c r="C115" s="79">
        <v>2030</v>
      </c>
      <c r="D115" s="83" t="s">
        <v>283</v>
      </c>
      <c r="E115" s="76">
        <v>320200</v>
      </c>
      <c r="F115" s="127"/>
      <c r="G115" s="127"/>
      <c r="H115" s="94">
        <f t="shared" si="48"/>
        <v>320200</v>
      </c>
      <c r="I115" s="94"/>
      <c r="J115" s="94"/>
      <c r="K115" s="94">
        <f>SUM(H115+I115-J115)</f>
        <v>320200</v>
      </c>
      <c r="L115" s="94"/>
      <c r="M115" s="94"/>
      <c r="N115" s="94">
        <f>SUM(K115+L115-M115)</f>
        <v>320200</v>
      </c>
      <c r="O115" s="94"/>
      <c r="P115" s="94"/>
      <c r="Q115" s="94">
        <f>SUM(N115+O115-P115)</f>
        <v>320200</v>
      </c>
      <c r="R115" s="94">
        <v>141200</v>
      </c>
      <c r="S115" s="94"/>
      <c r="T115" s="94">
        <f>SUM(Q115+R115-S115)</f>
        <v>461400</v>
      </c>
      <c r="U115" s="94"/>
      <c r="V115" s="94"/>
      <c r="W115" s="94">
        <f>SUM(T115+U115-V115)</f>
        <v>461400</v>
      </c>
      <c r="X115" s="94"/>
      <c r="Y115" s="94"/>
      <c r="Z115" s="94">
        <f>SUM(W115+X115-Y115)</f>
        <v>461400</v>
      </c>
      <c r="AA115" s="94">
        <v>18458</v>
      </c>
      <c r="AB115" s="94"/>
      <c r="AC115" s="94">
        <f>SUM(Z115+AA115-AB115)</f>
        <v>479858</v>
      </c>
      <c r="AD115" s="94"/>
      <c r="AE115" s="94"/>
      <c r="AF115" s="94">
        <f>SUM(AC115+AD115-AE115)</f>
        <v>479858</v>
      </c>
      <c r="AG115" s="94">
        <v>20342</v>
      </c>
      <c r="AH115" s="94"/>
      <c r="AI115" s="94">
        <f>SUM(AF115+AG115-AH115)</f>
        <v>500200</v>
      </c>
      <c r="AJ115" s="94"/>
      <c r="AK115" s="94"/>
      <c r="AL115" s="94">
        <f>SUM(AI115+AJ115-AK115)</f>
        <v>500200</v>
      </c>
      <c r="AM115" s="94"/>
      <c r="AN115" s="94"/>
      <c r="AO115" s="94">
        <f>SUM(AL115+AM115-AN115)</f>
        <v>500200</v>
      </c>
      <c r="AP115" s="155">
        <v>500200</v>
      </c>
      <c r="AQ115" s="207">
        <f t="shared" si="76"/>
        <v>100</v>
      </c>
    </row>
    <row r="116" spans="1:43" s="24" customFormat="1" ht="24.75" customHeight="1">
      <c r="A116" s="77"/>
      <c r="B116" s="78" t="s">
        <v>185</v>
      </c>
      <c r="C116" s="86"/>
      <c r="D116" s="83" t="s">
        <v>70</v>
      </c>
      <c r="E116" s="76">
        <f aca="true" t="shared" si="106" ref="E116:K116">SUM(E117:E118)</f>
        <v>408200</v>
      </c>
      <c r="F116" s="76">
        <f t="shared" si="106"/>
        <v>0</v>
      </c>
      <c r="G116" s="76">
        <f t="shared" si="106"/>
        <v>0</v>
      </c>
      <c r="H116" s="76">
        <f t="shared" si="106"/>
        <v>408200</v>
      </c>
      <c r="I116" s="76">
        <f t="shared" si="106"/>
        <v>0</v>
      </c>
      <c r="J116" s="76">
        <f t="shared" si="106"/>
        <v>0</v>
      </c>
      <c r="K116" s="76">
        <f t="shared" si="106"/>
        <v>408200</v>
      </c>
      <c r="L116" s="76">
        <f aca="true" t="shared" si="107" ref="L116:Q116">SUM(L117:L118)</f>
        <v>0</v>
      </c>
      <c r="M116" s="76">
        <f t="shared" si="107"/>
        <v>0</v>
      </c>
      <c r="N116" s="76">
        <f t="shared" si="107"/>
        <v>408200</v>
      </c>
      <c r="O116" s="76">
        <f t="shared" si="107"/>
        <v>0</v>
      </c>
      <c r="P116" s="76">
        <f t="shared" si="107"/>
        <v>0</v>
      </c>
      <c r="Q116" s="76">
        <f t="shared" si="107"/>
        <v>408200</v>
      </c>
      <c r="R116" s="76">
        <f aca="true" t="shared" si="108" ref="R116:W116">SUM(R117:R118)</f>
        <v>0</v>
      </c>
      <c r="S116" s="76">
        <f t="shared" si="108"/>
        <v>0</v>
      </c>
      <c r="T116" s="76">
        <f t="shared" si="108"/>
        <v>408200</v>
      </c>
      <c r="U116" s="76">
        <f t="shared" si="108"/>
        <v>0</v>
      </c>
      <c r="V116" s="76">
        <f t="shared" si="108"/>
        <v>0</v>
      </c>
      <c r="W116" s="76">
        <f t="shared" si="108"/>
        <v>408200</v>
      </c>
      <c r="X116" s="76">
        <f aca="true" t="shared" si="109" ref="X116:AC116">SUM(X117:X118)</f>
        <v>0</v>
      </c>
      <c r="Y116" s="76">
        <f t="shared" si="109"/>
        <v>0</v>
      </c>
      <c r="Z116" s="76">
        <f t="shared" si="109"/>
        <v>408200</v>
      </c>
      <c r="AA116" s="76">
        <f t="shared" si="109"/>
        <v>0</v>
      </c>
      <c r="AB116" s="76">
        <f t="shared" si="109"/>
        <v>0</v>
      </c>
      <c r="AC116" s="76">
        <f t="shared" si="109"/>
        <v>408200</v>
      </c>
      <c r="AD116" s="76">
        <f aca="true" t="shared" si="110" ref="AD116:AI116">SUM(AD117:AD118)</f>
        <v>0</v>
      </c>
      <c r="AE116" s="76">
        <f t="shared" si="110"/>
        <v>0</v>
      </c>
      <c r="AF116" s="76">
        <f t="shared" si="110"/>
        <v>408200</v>
      </c>
      <c r="AG116" s="76">
        <f t="shared" si="110"/>
        <v>0</v>
      </c>
      <c r="AH116" s="76">
        <f t="shared" si="110"/>
        <v>0</v>
      </c>
      <c r="AI116" s="76">
        <f t="shared" si="110"/>
        <v>408200</v>
      </c>
      <c r="AJ116" s="76">
        <f aca="true" t="shared" si="111" ref="AJ116:AO116">SUM(AJ117:AJ118)</f>
        <v>12000</v>
      </c>
      <c r="AK116" s="76">
        <f t="shared" si="111"/>
        <v>0</v>
      </c>
      <c r="AL116" s="76">
        <f t="shared" si="111"/>
        <v>420200</v>
      </c>
      <c r="AM116" s="76">
        <f t="shared" si="111"/>
        <v>7000</v>
      </c>
      <c r="AN116" s="76">
        <f t="shared" si="111"/>
        <v>0</v>
      </c>
      <c r="AO116" s="76">
        <f t="shared" si="111"/>
        <v>427200</v>
      </c>
      <c r="AP116" s="155">
        <f>SUM(AP117:AP118)</f>
        <v>446992</v>
      </c>
      <c r="AQ116" s="207">
        <f t="shared" si="76"/>
        <v>104.63295880149812</v>
      </c>
    </row>
    <row r="117" spans="1:43" s="24" customFormat="1" ht="22.5" customHeight="1">
      <c r="A117" s="77"/>
      <c r="B117" s="78"/>
      <c r="C117" s="85" t="s">
        <v>251</v>
      </c>
      <c r="D117" s="83" t="s">
        <v>252</v>
      </c>
      <c r="E117" s="76">
        <v>96000</v>
      </c>
      <c r="F117" s="127"/>
      <c r="G117" s="127"/>
      <c r="H117" s="94">
        <f t="shared" si="48"/>
        <v>96000</v>
      </c>
      <c r="I117" s="94"/>
      <c r="J117" s="94"/>
      <c r="K117" s="94">
        <f>SUM(H117+I117-J117)</f>
        <v>96000</v>
      </c>
      <c r="L117" s="94"/>
      <c r="M117" s="94"/>
      <c r="N117" s="94">
        <f>SUM(K117+L117-M117)</f>
        <v>96000</v>
      </c>
      <c r="O117" s="94"/>
      <c r="P117" s="94"/>
      <c r="Q117" s="94">
        <f>SUM(N117+O117-P117)</f>
        <v>96000</v>
      </c>
      <c r="R117" s="94"/>
      <c r="S117" s="94"/>
      <c r="T117" s="94">
        <f>SUM(Q117+R117-S117)</f>
        <v>96000</v>
      </c>
      <c r="U117" s="94"/>
      <c r="V117" s="94"/>
      <c r="W117" s="94">
        <f>SUM(T117+U117-V117)</f>
        <v>96000</v>
      </c>
      <c r="X117" s="94"/>
      <c r="Y117" s="94"/>
      <c r="Z117" s="94">
        <f>SUM(W117+X117-Y117)</f>
        <v>96000</v>
      </c>
      <c r="AA117" s="94"/>
      <c r="AB117" s="94"/>
      <c r="AC117" s="94">
        <f>SUM(Z117+AA117-AB117)</f>
        <v>96000</v>
      </c>
      <c r="AD117" s="94"/>
      <c r="AE117" s="94"/>
      <c r="AF117" s="94">
        <f>SUM(AC117+AD117-AE117)</f>
        <v>96000</v>
      </c>
      <c r="AG117" s="94"/>
      <c r="AH117" s="94"/>
      <c r="AI117" s="94">
        <f>SUM(AF117+AG117-AH117)</f>
        <v>96000</v>
      </c>
      <c r="AJ117" s="94">
        <v>12000</v>
      </c>
      <c r="AK117" s="94"/>
      <c r="AL117" s="94">
        <f>SUM(AI117+AJ117-AK117)</f>
        <v>108000</v>
      </c>
      <c r="AM117" s="94">
        <v>7000</v>
      </c>
      <c r="AN117" s="94"/>
      <c r="AO117" s="94">
        <f>SUM(AL117+AM117-AN117)</f>
        <v>115000</v>
      </c>
      <c r="AP117" s="155">
        <v>134792</v>
      </c>
      <c r="AQ117" s="207">
        <f t="shared" si="76"/>
        <v>117.21043478260869</v>
      </c>
    </row>
    <row r="118" spans="1:43" s="24" customFormat="1" ht="36">
      <c r="A118" s="77"/>
      <c r="B118" s="78"/>
      <c r="C118" s="79">
        <v>2030</v>
      </c>
      <c r="D118" s="83" t="s">
        <v>283</v>
      </c>
      <c r="E118" s="76">
        <v>312200</v>
      </c>
      <c r="F118" s="127"/>
      <c r="G118" s="127"/>
      <c r="H118" s="94">
        <f t="shared" si="48"/>
        <v>312200</v>
      </c>
      <c r="I118" s="94"/>
      <c r="J118" s="94"/>
      <c r="K118" s="94">
        <f>SUM(H118+I118-J118)</f>
        <v>312200</v>
      </c>
      <c r="L118" s="94"/>
      <c r="M118" s="94"/>
      <c r="N118" s="94">
        <f>SUM(K118+L118-M118)</f>
        <v>312200</v>
      </c>
      <c r="O118" s="94"/>
      <c r="P118" s="94"/>
      <c r="Q118" s="94">
        <f>SUM(N118+O118-P118)</f>
        <v>312200</v>
      </c>
      <c r="R118" s="94"/>
      <c r="S118" s="94"/>
      <c r="T118" s="94">
        <f>SUM(Q118+R118-S118)</f>
        <v>312200</v>
      </c>
      <c r="U118" s="94"/>
      <c r="V118" s="94"/>
      <c r="W118" s="94">
        <f>SUM(T118+U118-V118)</f>
        <v>312200</v>
      </c>
      <c r="X118" s="94"/>
      <c r="Y118" s="94"/>
      <c r="Z118" s="94">
        <f>SUM(W118+X118-Y118)</f>
        <v>312200</v>
      </c>
      <c r="AA118" s="94"/>
      <c r="AB118" s="94"/>
      <c r="AC118" s="94">
        <f>SUM(Z118+AA118-AB118)</f>
        <v>312200</v>
      </c>
      <c r="AD118" s="94"/>
      <c r="AE118" s="94"/>
      <c r="AF118" s="94">
        <f>SUM(AC118+AD118-AE118)</f>
        <v>312200</v>
      </c>
      <c r="AG118" s="94"/>
      <c r="AH118" s="94"/>
      <c r="AI118" s="94">
        <f>SUM(AF118+AG118-AH118)</f>
        <v>312200</v>
      </c>
      <c r="AJ118" s="94"/>
      <c r="AK118" s="94"/>
      <c r="AL118" s="94">
        <f>SUM(AI118+AJ118-AK118)</f>
        <v>312200</v>
      </c>
      <c r="AM118" s="94"/>
      <c r="AN118" s="94"/>
      <c r="AO118" s="94">
        <f>SUM(AL118+AM118-AN118)</f>
        <v>312200</v>
      </c>
      <c r="AP118" s="155">
        <v>312200</v>
      </c>
      <c r="AQ118" s="207">
        <f t="shared" si="76"/>
        <v>100</v>
      </c>
    </row>
    <row r="119" spans="1:43" s="24" customFormat="1" ht="24" customHeight="1">
      <c r="A119" s="77"/>
      <c r="B119" s="78">
        <v>85295</v>
      </c>
      <c r="C119" s="79"/>
      <c r="D119" s="83" t="s">
        <v>289</v>
      </c>
      <c r="E119" s="76">
        <f>SUM(E120)</f>
        <v>0</v>
      </c>
      <c r="F119" s="76">
        <f>SUM(F120)</f>
        <v>0</v>
      </c>
      <c r="G119" s="76">
        <f>SUM(G120)</f>
        <v>0</v>
      </c>
      <c r="H119" s="94">
        <f t="shared" si="48"/>
        <v>0</v>
      </c>
      <c r="I119" s="94"/>
      <c r="J119" s="94"/>
      <c r="K119" s="154">
        <f aca="true" t="shared" si="112" ref="K119:AO119">SUM(K120)</f>
        <v>0</v>
      </c>
      <c r="L119" s="154">
        <f t="shared" si="112"/>
        <v>141546</v>
      </c>
      <c r="M119" s="154">
        <f t="shared" si="112"/>
        <v>0</v>
      </c>
      <c r="N119" s="154">
        <f t="shared" si="112"/>
        <v>141546</v>
      </c>
      <c r="O119" s="154">
        <f t="shared" si="112"/>
        <v>0</v>
      </c>
      <c r="P119" s="154">
        <f t="shared" si="112"/>
        <v>0</v>
      </c>
      <c r="Q119" s="154">
        <f t="shared" si="112"/>
        <v>141546</v>
      </c>
      <c r="R119" s="154">
        <f t="shared" si="112"/>
        <v>0</v>
      </c>
      <c r="S119" s="154">
        <f t="shared" si="112"/>
        <v>0</v>
      </c>
      <c r="T119" s="154">
        <f t="shared" si="112"/>
        <v>141546</v>
      </c>
      <c r="U119" s="154">
        <f t="shared" si="112"/>
        <v>0</v>
      </c>
      <c r="V119" s="154">
        <f t="shared" si="112"/>
        <v>0</v>
      </c>
      <c r="W119" s="154">
        <f t="shared" si="112"/>
        <v>141546</v>
      </c>
      <c r="X119" s="154">
        <f t="shared" si="112"/>
        <v>0</v>
      </c>
      <c r="Y119" s="154">
        <f t="shared" si="112"/>
        <v>0</v>
      </c>
      <c r="Z119" s="154">
        <f t="shared" si="112"/>
        <v>141546</v>
      </c>
      <c r="AA119" s="154">
        <f t="shared" si="112"/>
        <v>94364</v>
      </c>
      <c r="AB119" s="154">
        <f t="shared" si="112"/>
        <v>0</v>
      </c>
      <c r="AC119" s="154">
        <f t="shared" si="112"/>
        <v>235910</v>
      </c>
      <c r="AD119" s="154">
        <f t="shared" si="112"/>
        <v>0</v>
      </c>
      <c r="AE119" s="154">
        <f t="shared" si="112"/>
        <v>0</v>
      </c>
      <c r="AF119" s="154">
        <f t="shared" si="112"/>
        <v>235910</v>
      </c>
      <c r="AG119" s="154">
        <f t="shared" si="112"/>
        <v>0</v>
      </c>
      <c r="AH119" s="154">
        <f t="shared" si="112"/>
        <v>0</v>
      </c>
      <c r="AI119" s="94">
        <f t="shared" si="112"/>
        <v>235910</v>
      </c>
      <c r="AJ119" s="154">
        <f t="shared" si="112"/>
        <v>55000</v>
      </c>
      <c r="AK119" s="154">
        <f t="shared" si="112"/>
        <v>0</v>
      </c>
      <c r="AL119" s="94">
        <f t="shared" si="112"/>
        <v>290910</v>
      </c>
      <c r="AM119" s="154">
        <f t="shared" si="112"/>
        <v>0</v>
      </c>
      <c r="AN119" s="154">
        <f t="shared" si="112"/>
        <v>0</v>
      </c>
      <c r="AO119" s="94">
        <f t="shared" si="112"/>
        <v>290910</v>
      </c>
      <c r="AP119" s="155">
        <f>SUM(AP120)</f>
        <v>290910</v>
      </c>
      <c r="AQ119" s="207">
        <f t="shared" si="76"/>
        <v>100</v>
      </c>
    </row>
    <row r="120" spans="1:43" s="24" customFormat="1" ht="36">
      <c r="A120" s="77"/>
      <c r="B120" s="78"/>
      <c r="C120" s="79">
        <v>2030</v>
      </c>
      <c r="D120" s="83" t="s">
        <v>283</v>
      </c>
      <c r="E120" s="76">
        <v>0</v>
      </c>
      <c r="F120" s="127"/>
      <c r="G120" s="127"/>
      <c r="H120" s="94">
        <f t="shared" si="48"/>
        <v>0</v>
      </c>
      <c r="I120" s="94"/>
      <c r="J120" s="94"/>
      <c r="K120" s="154">
        <v>0</v>
      </c>
      <c r="L120" s="94">
        <v>141546</v>
      </c>
      <c r="M120" s="94"/>
      <c r="N120" s="94">
        <f>SUM(K120+L120-M120)</f>
        <v>141546</v>
      </c>
      <c r="O120" s="94"/>
      <c r="P120" s="94"/>
      <c r="Q120" s="94">
        <f>SUM(N120+O120-P120)</f>
        <v>141546</v>
      </c>
      <c r="R120" s="94"/>
      <c r="S120" s="94"/>
      <c r="T120" s="94">
        <f>SUM(Q120+R120-S120)</f>
        <v>141546</v>
      </c>
      <c r="U120" s="94"/>
      <c r="V120" s="94"/>
      <c r="W120" s="94">
        <f>SUM(T120+U120-V120)</f>
        <v>141546</v>
      </c>
      <c r="X120" s="94"/>
      <c r="Y120" s="94"/>
      <c r="Z120" s="94">
        <f>SUM(W120+X120-Y120)</f>
        <v>141546</v>
      </c>
      <c r="AA120" s="94">
        <v>94364</v>
      </c>
      <c r="AB120" s="94"/>
      <c r="AC120" s="94">
        <f>SUM(Z120+AA120-AB120)</f>
        <v>235910</v>
      </c>
      <c r="AD120" s="94"/>
      <c r="AE120" s="94"/>
      <c r="AF120" s="94">
        <f>SUM(AC120+AD120-AE120)</f>
        <v>235910</v>
      </c>
      <c r="AG120" s="94"/>
      <c r="AH120" s="94"/>
      <c r="AI120" s="94">
        <f>SUM(AF120+AG120-AH120)</f>
        <v>235910</v>
      </c>
      <c r="AJ120" s="94">
        <v>55000</v>
      </c>
      <c r="AK120" s="94"/>
      <c r="AL120" s="94">
        <f>SUM(AI120+AJ120-AK120)</f>
        <v>290910</v>
      </c>
      <c r="AM120" s="94"/>
      <c r="AN120" s="94"/>
      <c r="AO120" s="94">
        <f>SUM(AL120+AM120-AN120)</f>
        <v>290910</v>
      </c>
      <c r="AP120" s="155">
        <v>290910</v>
      </c>
      <c r="AQ120" s="207">
        <f t="shared" si="76"/>
        <v>100</v>
      </c>
    </row>
    <row r="121" spans="1:43" s="42" customFormat="1" ht="24" customHeight="1">
      <c r="A121" s="30">
        <v>854</v>
      </c>
      <c r="B121" s="33"/>
      <c r="C121" s="34"/>
      <c r="D121" s="31" t="s">
        <v>71</v>
      </c>
      <c r="E121" s="66">
        <f>SUM(E122,E125)</f>
        <v>97000</v>
      </c>
      <c r="F121" s="66">
        <f>SUM(F122,F125)</f>
        <v>0</v>
      </c>
      <c r="G121" s="66">
        <f>SUM(G122,G125)</f>
        <v>0</v>
      </c>
      <c r="H121" s="66">
        <f>SUM(H122,H125)</f>
        <v>97000</v>
      </c>
      <c r="I121" s="66">
        <f>SUM(I122)</f>
        <v>0</v>
      </c>
      <c r="J121" s="66">
        <f>SUM(J122)</f>
        <v>0</v>
      </c>
      <c r="K121" s="128">
        <f>SUM(K122)</f>
        <v>97000</v>
      </c>
      <c r="L121" s="66">
        <f>SUM(L122)</f>
        <v>0</v>
      </c>
      <c r="M121" s="66">
        <f>SUM(M122)</f>
        <v>0</v>
      </c>
      <c r="N121" s="66">
        <f aca="true" t="shared" si="113" ref="N121:Z121">SUM(N122,N125,)</f>
        <v>97000</v>
      </c>
      <c r="O121" s="66">
        <f t="shared" si="113"/>
        <v>152466</v>
      </c>
      <c r="P121" s="66">
        <f t="shared" si="113"/>
        <v>0</v>
      </c>
      <c r="Q121" s="66">
        <f t="shared" si="113"/>
        <v>249466</v>
      </c>
      <c r="R121" s="66">
        <f t="shared" si="113"/>
        <v>0</v>
      </c>
      <c r="S121" s="66">
        <f t="shared" si="113"/>
        <v>0</v>
      </c>
      <c r="T121" s="66">
        <f t="shared" si="113"/>
        <v>249466</v>
      </c>
      <c r="U121" s="66">
        <f t="shared" si="113"/>
        <v>0</v>
      </c>
      <c r="V121" s="66">
        <f t="shared" si="113"/>
        <v>0</v>
      </c>
      <c r="W121" s="66">
        <f t="shared" si="113"/>
        <v>249466</v>
      </c>
      <c r="X121" s="66">
        <f t="shared" si="113"/>
        <v>28363</v>
      </c>
      <c r="Y121" s="66">
        <f t="shared" si="113"/>
        <v>0</v>
      </c>
      <c r="Z121" s="66">
        <f t="shared" si="113"/>
        <v>277829</v>
      </c>
      <c r="AA121" s="66">
        <f aca="true" t="shared" si="114" ref="AA121:AF121">SUM(AA122,AA125,)</f>
        <v>0</v>
      </c>
      <c r="AB121" s="66">
        <f t="shared" si="114"/>
        <v>0</v>
      </c>
      <c r="AC121" s="66">
        <f t="shared" si="114"/>
        <v>277829</v>
      </c>
      <c r="AD121" s="66">
        <f t="shared" si="114"/>
        <v>0</v>
      </c>
      <c r="AE121" s="66">
        <f t="shared" si="114"/>
        <v>0</v>
      </c>
      <c r="AF121" s="66">
        <f t="shared" si="114"/>
        <v>277829</v>
      </c>
      <c r="AG121" s="66">
        <f aca="true" t="shared" si="115" ref="AG121:AL121">SUM(AG122,AG125,)</f>
        <v>3000</v>
      </c>
      <c r="AH121" s="66">
        <f t="shared" si="115"/>
        <v>0</v>
      </c>
      <c r="AI121" s="66">
        <f t="shared" si="115"/>
        <v>280829</v>
      </c>
      <c r="AJ121" s="66">
        <f t="shared" si="115"/>
        <v>65929</v>
      </c>
      <c r="AK121" s="66">
        <f t="shared" si="115"/>
        <v>0</v>
      </c>
      <c r="AL121" s="66">
        <f t="shared" si="115"/>
        <v>346758</v>
      </c>
      <c r="AM121" s="66">
        <f>SUM(AM122,AM125,)</f>
        <v>0</v>
      </c>
      <c r="AN121" s="66">
        <f>SUM(AN122,AN125,)</f>
        <v>0</v>
      </c>
      <c r="AO121" s="66">
        <f>SUM(AO122,AO125,)</f>
        <v>346758</v>
      </c>
      <c r="AP121" s="32">
        <f>SUM(AP122,AP125,)</f>
        <v>334788</v>
      </c>
      <c r="AQ121" s="208">
        <f t="shared" si="76"/>
        <v>96.54802484729986</v>
      </c>
    </row>
    <row r="122" spans="1:43" s="24" customFormat="1" ht="22.5" customHeight="1">
      <c r="A122" s="77"/>
      <c r="B122" s="78">
        <v>85401</v>
      </c>
      <c r="C122" s="79"/>
      <c r="D122" s="83" t="s">
        <v>72</v>
      </c>
      <c r="E122" s="76">
        <f>SUM(E123:E124)</f>
        <v>97000</v>
      </c>
      <c r="F122" s="76">
        <f>SUM(F123:F124)</f>
        <v>0</v>
      </c>
      <c r="G122" s="76">
        <f>SUM(G123:G124)</f>
        <v>0</v>
      </c>
      <c r="H122" s="76">
        <f>SUM(H123:H124)</f>
        <v>97000</v>
      </c>
      <c r="I122" s="76">
        <f aca="true" t="shared" si="116" ref="I122:V122">SUM(I123)</f>
        <v>0</v>
      </c>
      <c r="J122" s="76">
        <f t="shared" si="116"/>
        <v>0</v>
      </c>
      <c r="K122" s="76">
        <f t="shared" si="116"/>
        <v>97000</v>
      </c>
      <c r="L122" s="76">
        <f t="shared" si="116"/>
        <v>0</v>
      </c>
      <c r="M122" s="76">
        <f t="shared" si="116"/>
        <v>0</v>
      </c>
      <c r="N122" s="76">
        <f t="shared" si="116"/>
        <v>97000</v>
      </c>
      <c r="O122" s="76">
        <f t="shared" si="116"/>
        <v>0</v>
      </c>
      <c r="P122" s="76">
        <f t="shared" si="116"/>
        <v>0</v>
      </c>
      <c r="Q122" s="76">
        <f t="shared" si="116"/>
        <v>97000</v>
      </c>
      <c r="R122" s="76">
        <f t="shared" si="116"/>
        <v>0</v>
      </c>
      <c r="S122" s="76">
        <f t="shared" si="116"/>
        <v>0</v>
      </c>
      <c r="T122" s="76">
        <f t="shared" si="116"/>
        <v>97000</v>
      </c>
      <c r="U122" s="76">
        <f t="shared" si="116"/>
        <v>0</v>
      </c>
      <c r="V122" s="76">
        <f t="shared" si="116"/>
        <v>0</v>
      </c>
      <c r="W122" s="76">
        <f aca="true" t="shared" si="117" ref="W122:AC122">W123+W124</f>
        <v>97000</v>
      </c>
      <c r="X122" s="76">
        <f t="shared" si="117"/>
        <v>28363</v>
      </c>
      <c r="Y122" s="76">
        <f t="shared" si="117"/>
        <v>0</v>
      </c>
      <c r="Z122" s="76">
        <f t="shared" si="117"/>
        <v>125363</v>
      </c>
      <c r="AA122" s="76">
        <f t="shared" si="117"/>
        <v>0</v>
      </c>
      <c r="AB122" s="76">
        <f t="shared" si="117"/>
        <v>0</v>
      </c>
      <c r="AC122" s="76">
        <f t="shared" si="117"/>
        <v>125363</v>
      </c>
      <c r="AD122" s="76">
        <f aca="true" t="shared" si="118" ref="AD122:AI122">AD123+AD124</f>
        <v>0</v>
      </c>
      <c r="AE122" s="76">
        <f t="shared" si="118"/>
        <v>0</v>
      </c>
      <c r="AF122" s="76">
        <f t="shared" si="118"/>
        <v>125363</v>
      </c>
      <c r="AG122" s="76">
        <f t="shared" si="118"/>
        <v>0</v>
      </c>
      <c r="AH122" s="76">
        <f t="shared" si="118"/>
        <v>0</v>
      </c>
      <c r="AI122" s="76">
        <f t="shared" si="118"/>
        <v>125363</v>
      </c>
      <c r="AJ122" s="76">
        <f aca="true" t="shared" si="119" ref="AJ122:AO122">AJ123+AJ124</f>
        <v>0</v>
      </c>
      <c r="AK122" s="76">
        <f t="shared" si="119"/>
        <v>0</v>
      </c>
      <c r="AL122" s="76">
        <f t="shared" si="119"/>
        <v>125363</v>
      </c>
      <c r="AM122" s="76">
        <f t="shared" si="119"/>
        <v>0</v>
      </c>
      <c r="AN122" s="76">
        <f t="shared" si="119"/>
        <v>0</v>
      </c>
      <c r="AO122" s="76">
        <f t="shared" si="119"/>
        <v>125363</v>
      </c>
      <c r="AP122" s="155">
        <f>SUM(AP123:AP124)</f>
        <v>113393</v>
      </c>
      <c r="AQ122" s="207">
        <f t="shared" si="76"/>
        <v>90.45172818136132</v>
      </c>
    </row>
    <row r="123" spans="1:43" s="24" customFormat="1" ht="20.25" customHeight="1">
      <c r="A123" s="77"/>
      <c r="B123" s="78"/>
      <c r="C123" s="79" t="s">
        <v>251</v>
      </c>
      <c r="D123" s="83" t="s">
        <v>252</v>
      </c>
      <c r="E123" s="76">
        <v>97000</v>
      </c>
      <c r="F123" s="127"/>
      <c r="G123" s="127"/>
      <c r="H123" s="94">
        <f t="shared" si="48"/>
        <v>97000</v>
      </c>
      <c r="I123" s="94"/>
      <c r="J123" s="94"/>
      <c r="K123" s="94">
        <f>SUM(H123+I123-J123)</f>
        <v>97000</v>
      </c>
      <c r="L123" s="94"/>
      <c r="M123" s="94"/>
      <c r="N123" s="94">
        <f>SUM(K123+L123-M123)</f>
        <v>97000</v>
      </c>
      <c r="O123" s="94"/>
      <c r="P123" s="94"/>
      <c r="Q123" s="94">
        <f>SUM(N123+O123-P123)</f>
        <v>97000</v>
      </c>
      <c r="R123" s="94"/>
      <c r="S123" s="94"/>
      <c r="T123" s="94">
        <f>SUM(Q123+R123-S123)</f>
        <v>97000</v>
      </c>
      <c r="U123" s="94"/>
      <c r="V123" s="94"/>
      <c r="W123" s="94">
        <f>SUM(T123+U123-V123)</f>
        <v>97000</v>
      </c>
      <c r="X123" s="94"/>
      <c r="Y123" s="94"/>
      <c r="Z123" s="94">
        <f>SUM(W123+X123-Y123)</f>
        <v>97000</v>
      </c>
      <c r="AA123" s="94"/>
      <c r="AB123" s="94"/>
      <c r="AC123" s="94">
        <f>SUM(Z123+AA123-AB123)</f>
        <v>97000</v>
      </c>
      <c r="AD123" s="94"/>
      <c r="AE123" s="94"/>
      <c r="AF123" s="94">
        <f>SUM(AC123+AD123-AE123)</f>
        <v>97000</v>
      </c>
      <c r="AG123" s="94"/>
      <c r="AH123" s="94"/>
      <c r="AI123" s="94">
        <f>SUM(AF123+AG123-AH123)</f>
        <v>97000</v>
      </c>
      <c r="AJ123" s="94"/>
      <c r="AK123" s="94"/>
      <c r="AL123" s="94">
        <f>SUM(AI123+AJ123-AK123)</f>
        <v>97000</v>
      </c>
      <c r="AM123" s="94"/>
      <c r="AN123" s="94"/>
      <c r="AO123" s="94">
        <f>SUM(AL123+AM123-AN123)</f>
        <v>97000</v>
      </c>
      <c r="AP123" s="155">
        <v>85029</v>
      </c>
      <c r="AQ123" s="207">
        <f t="shared" si="76"/>
        <v>87.65876288659794</v>
      </c>
    </row>
    <row r="124" spans="1:43" s="24" customFormat="1" ht="24.75" customHeight="1">
      <c r="A124" s="77"/>
      <c r="B124" s="78"/>
      <c r="C124" s="80">
        <v>2390</v>
      </c>
      <c r="D124" s="83" t="s">
        <v>328</v>
      </c>
      <c r="E124" s="76">
        <v>0</v>
      </c>
      <c r="F124" s="127"/>
      <c r="G124" s="127"/>
      <c r="H124" s="94">
        <f t="shared" si="48"/>
        <v>0</v>
      </c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>
        <v>0</v>
      </c>
      <c r="X124" s="94">
        <v>28363</v>
      </c>
      <c r="Y124" s="94"/>
      <c r="Z124" s="94">
        <v>28363</v>
      </c>
      <c r="AA124" s="94">
        <v>0</v>
      </c>
      <c r="AB124" s="94"/>
      <c r="AC124" s="94">
        <v>28363</v>
      </c>
      <c r="AD124" s="94"/>
      <c r="AE124" s="94"/>
      <c r="AF124" s="94">
        <v>28363</v>
      </c>
      <c r="AG124" s="94"/>
      <c r="AH124" s="94"/>
      <c r="AI124" s="94">
        <v>28363</v>
      </c>
      <c r="AJ124" s="94"/>
      <c r="AK124" s="94"/>
      <c r="AL124" s="94">
        <v>28363</v>
      </c>
      <c r="AM124" s="94"/>
      <c r="AN124" s="94"/>
      <c r="AO124" s="94">
        <v>28363</v>
      </c>
      <c r="AP124" s="155">
        <v>28364</v>
      </c>
      <c r="AQ124" s="207">
        <f t="shared" si="76"/>
        <v>100.00352572012834</v>
      </c>
    </row>
    <row r="125" spans="1:43" s="24" customFormat="1" ht="20.25" customHeight="1">
      <c r="A125" s="77"/>
      <c r="B125" s="78">
        <v>85415</v>
      </c>
      <c r="C125" s="79"/>
      <c r="D125" s="83" t="s">
        <v>188</v>
      </c>
      <c r="E125" s="76">
        <f>SUM(E126:E127)</f>
        <v>0</v>
      </c>
      <c r="F125" s="76">
        <f>SUM(F126:F127)</f>
        <v>0</v>
      </c>
      <c r="G125" s="76">
        <f>SUM(G126:G127)</f>
        <v>0</v>
      </c>
      <c r="H125" s="76">
        <f>SUM(H126:H127)</f>
        <v>0</v>
      </c>
      <c r="I125" s="94"/>
      <c r="J125" s="94"/>
      <c r="K125" s="94"/>
      <c r="L125" s="94"/>
      <c r="M125" s="94"/>
      <c r="N125" s="94">
        <f aca="true" t="shared" si="120" ref="N125:AB125">SUM(N126)</f>
        <v>0</v>
      </c>
      <c r="O125" s="94">
        <f t="shared" si="120"/>
        <v>152466</v>
      </c>
      <c r="P125" s="94">
        <f t="shared" si="120"/>
        <v>0</v>
      </c>
      <c r="Q125" s="94">
        <f t="shared" si="120"/>
        <v>152466</v>
      </c>
      <c r="R125" s="94">
        <f t="shared" si="120"/>
        <v>0</v>
      </c>
      <c r="S125" s="94">
        <f t="shared" si="120"/>
        <v>0</v>
      </c>
      <c r="T125" s="94">
        <f t="shared" si="120"/>
        <v>152466</v>
      </c>
      <c r="U125" s="94">
        <f t="shared" si="120"/>
        <v>0</v>
      </c>
      <c r="V125" s="94">
        <f t="shared" si="120"/>
        <v>0</v>
      </c>
      <c r="W125" s="94">
        <f t="shared" si="120"/>
        <v>152466</v>
      </c>
      <c r="X125" s="94">
        <f t="shared" si="120"/>
        <v>0</v>
      </c>
      <c r="Y125" s="94">
        <f t="shared" si="120"/>
        <v>0</v>
      </c>
      <c r="Z125" s="94">
        <f t="shared" si="120"/>
        <v>152466</v>
      </c>
      <c r="AA125" s="94">
        <f t="shared" si="120"/>
        <v>0</v>
      </c>
      <c r="AB125" s="94">
        <f t="shared" si="120"/>
        <v>0</v>
      </c>
      <c r="AC125" s="94">
        <f>SUM(AC126,AC127)</f>
        <v>152466</v>
      </c>
      <c r="AD125" s="94">
        <f aca="true" t="shared" si="121" ref="AD125:AI125">SUM(AD126,AD127)</f>
        <v>0</v>
      </c>
      <c r="AE125" s="94">
        <f t="shared" si="121"/>
        <v>0</v>
      </c>
      <c r="AF125" s="94">
        <f t="shared" si="121"/>
        <v>152466</v>
      </c>
      <c r="AG125" s="94">
        <f t="shared" si="121"/>
        <v>3000</v>
      </c>
      <c r="AH125" s="94">
        <f t="shared" si="121"/>
        <v>0</v>
      </c>
      <c r="AI125" s="94">
        <f t="shared" si="121"/>
        <v>155466</v>
      </c>
      <c r="AJ125" s="94">
        <f aca="true" t="shared" si="122" ref="AJ125:AO125">SUM(AJ126,AJ127)</f>
        <v>65929</v>
      </c>
      <c r="AK125" s="94">
        <f t="shared" si="122"/>
        <v>0</v>
      </c>
      <c r="AL125" s="94">
        <f t="shared" si="122"/>
        <v>221395</v>
      </c>
      <c r="AM125" s="94">
        <f t="shared" si="122"/>
        <v>0</v>
      </c>
      <c r="AN125" s="94">
        <f t="shared" si="122"/>
        <v>0</v>
      </c>
      <c r="AO125" s="94">
        <f t="shared" si="122"/>
        <v>221395</v>
      </c>
      <c r="AP125" s="155">
        <f>SUM(AP126:AP127)</f>
        <v>221395</v>
      </c>
      <c r="AQ125" s="207">
        <f t="shared" si="76"/>
        <v>100</v>
      </c>
    </row>
    <row r="126" spans="1:43" s="24" customFormat="1" ht="36">
      <c r="A126" s="77"/>
      <c r="B126" s="78"/>
      <c r="C126" s="79">
        <v>2030</v>
      </c>
      <c r="D126" s="83" t="s">
        <v>283</v>
      </c>
      <c r="E126" s="76">
        <v>0</v>
      </c>
      <c r="F126" s="127"/>
      <c r="G126" s="127"/>
      <c r="H126" s="94">
        <f t="shared" si="48"/>
        <v>0</v>
      </c>
      <c r="I126" s="94"/>
      <c r="J126" s="94"/>
      <c r="K126" s="94"/>
      <c r="L126" s="94"/>
      <c r="M126" s="94"/>
      <c r="N126" s="94">
        <v>0</v>
      </c>
      <c r="O126" s="94">
        <v>152466</v>
      </c>
      <c r="P126" s="94"/>
      <c r="Q126" s="94">
        <f>SUM(N126+O126-P126)</f>
        <v>152466</v>
      </c>
      <c r="R126" s="94"/>
      <c r="S126" s="94"/>
      <c r="T126" s="94">
        <f>SUM(Q126+R126-S126)</f>
        <v>152466</v>
      </c>
      <c r="U126" s="94"/>
      <c r="V126" s="94"/>
      <c r="W126" s="94">
        <f>SUM(T126+U126-V126)</f>
        <v>152466</v>
      </c>
      <c r="X126" s="94"/>
      <c r="Y126" s="94"/>
      <c r="Z126" s="94">
        <f>SUM(W126+X126-Y126)</f>
        <v>152466</v>
      </c>
      <c r="AA126" s="94"/>
      <c r="AB126" s="94"/>
      <c r="AC126" s="94">
        <f>SUM(Z126+AA126-AB126)</f>
        <v>152466</v>
      </c>
      <c r="AD126" s="94"/>
      <c r="AE126" s="94"/>
      <c r="AF126" s="94">
        <f>SUM(AC126+AD126-AE126)</f>
        <v>152466</v>
      </c>
      <c r="AG126" s="94"/>
      <c r="AH126" s="94"/>
      <c r="AI126" s="94">
        <f>SUM(AF126+AG126-AH126)</f>
        <v>152466</v>
      </c>
      <c r="AJ126" s="94">
        <v>65929</v>
      </c>
      <c r="AK126" s="94"/>
      <c r="AL126" s="94">
        <f>SUM(AI126+AJ126-AK126)</f>
        <v>218395</v>
      </c>
      <c r="AM126" s="94"/>
      <c r="AN126" s="94"/>
      <c r="AO126" s="94">
        <f>SUM(AL126+AM126-AN126)</f>
        <v>218395</v>
      </c>
      <c r="AP126" s="155">
        <v>218395</v>
      </c>
      <c r="AQ126" s="207">
        <f t="shared" si="76"/>
        <v>100</v>
      </c>
    </row>
    <row r="127" spans="1:43" s="24" customFormat="1" ht="22.5" customHeight="1">
      <c r="A127" s="77"/>
      <c r="B127" s="78"/>
      <c r="C127" s="79" t="s">
        <v>193</v>
      </c>
      <c r="D127" s="83" t="s">
        <v>16</v>
      </c>
      <c r="E127" s="76">
        <v>0</v>
      </c>
      <c r="F127" s="127"/>
      <c r="G127" s="127"/>
      <c r="H127" s="94">
        <f t="shared" si="48"/>
        <v>0</v>
      </c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>
        <v>0</v>
      </c>
      <c r="AD127" s="94"/>
      <c r="AE127" s="94"/>
      <c r="AF127" s="94"/>
      <c r="AG127" s="94">
        <v>3000</v>
      </c>
      <c r="AH127" s="94"/>
      <c r="AI127" s="94">
        <f>AC127+AG127-AH127</f>
        <v>3000</v>
      </c>
      <c r="AJ127" s="94"/>
      <c r="AK127" s="94"/>
      <c r="AL127" s="94">
        <f>SUM(AI127+AJ127-AK127)</f>
        <v>3000</v>
      </c>
      <c r="AM127" s="94"/>
      <c r="AN127" s="94"/>
      <c r="AO127" s="94">
        <f>SUM(AL127+AM127-AN127)</f>
        <v>3000</v>
      </c>
      <c r="AP127" s="155">
        <v>3000</v>
      </c>
      <c r="AQ127" s="207">
        <f t="shared" si="76"/>
        <v>100</v>
      </c>
    </row>
    <row r="128" spans="1:43" s="42" customFormat="1" ht="24.75" customHeight="1">
      <c r="A128" s="30">
        <v>900</v>
      </c>
      <c r="B128" s="33"/>
      <c r="C128" s="34"/>
      <c r="D128" s="31" t="s">
        <v>73</v>
      </c>
      <c r="E128" s="66">
        <f>SUM(E129,E135,E133)</f>
        <v>13150970</v>
      </c>
      <c r="F128" s="66">
        <f>SUM(F129,F135,F133)</f>
        <v>944688</v>
      </c>
      <c r="G128" s="66">
        <f>SUM(G129,G135,G133)</f>
        <v>0</v>
      </c>
      <c r="H128" s="66">
        <f>SUM(H129,H135,H133)</f>
        <v>14095658</v>
      </c>
      <c r="I128" s="66">
        <f>SUM(I129,I135,)</f>
        <v>739970</v>
      </c>
      <c r="J128" s="66">
        <f>SUM(J129,J135,)</f>
        <v>3945794</v>
      </c>
      <c r="K128" s="66">
        <f>SUM(K129,K135,)</f>
        <v>10889834</v>
      </c>
      <c r="L128" s="66">
        <f aca="true" t="shared" si="123" ref="L128:Q128">SUM(L129,L135,)</f>
        <v>0</v>
      </c>
      <c r="M128" s="66">
        <f t="shared" si="123"/>
        <v>0</v>
      </c>
      <c r="N128" s="66">
        <f t="shared" si="123"/>
        <v>10889834</v>
      </c>
      <c r="O128" s="66">
        <f t="shared" si="123"/>
        <v>0</v>
      </c>
      <c r="P128" s="66">
        <f t="shared" si="123"/>
        <v>308726</v>
      </c>
      <c r="Q128" s="66">
        <f t="shared" si="123"/>
        <v>10581108</v>
      </c>
      <c r="R128" s="66">
        <f aca="true" t="shared" si="124" ref="R128:W128">SUM(R129,R135,)</f>
        <v>0</v>
      </c>
      <c r="S128" s="66">
        <f t="shared" si="124"/>
        <v>0</v>
      </c>
      <c r="T128" s="66">
        <f t="shared" si="124"/>
        <v>10581108</v>
      </c>
      <c r="U128" s="66">
        <f t="shared" si="124"/>
        <v>0</v>
      </c>
      <c r="V128" s="66">
        <f t="shared" si="124"/>
        <v>0</v>
      </c>
      <c r="W128" s="66">
        <f t="shared" si="124"/>
        <v>750970</v>
      </c>
      <c r="X128" s="66">
        <f>SUM(X129,X135,)</f>
        <v>17000</v>
      </c>
      <c r="Y128" s="66">
        <f>SUM(Y129,Y135,)</f>
        <v>0</v>
      </c>
      <c r="Z128" s="66">
        <f>SUM(Z129,Z135,)</f>
        <v>767970</v>
      </c>
      <c r="AA128" s="66">
        <f>SUM(AA129,AA135,)</f>
        <v>0</v>
      </c>
      <c r="AB128" s="66">
        <f>SUM(AB129,AB135,)</f>
        <v>0</v>
      </c>
      <c r="AC128" s="66">
        <f>SUM(AC129,AC133,AC135,)</f>
        <v>767970</v>
      </c>
      <c r="AD128" s="66">
        <f aca="true" t="shared" si="125" ref="AD128:AI128">SUM(AD129,AD133,AD135,)</f>
        <v>0</v>
      </c>
      <c r="AE128" s="66">
        <f t="shared" si="125"/>
        <v>0</v>
      </c>
      <c r="AF128" s="66">
        <f t="shared" si="125"/>
        <v>767970</v>
      </c>
      <c r="AG128" s="66">
        <f t="shared" si="125"/>
        <v>4800</v>
      </c>
      <c r="AH128" s="66">
        <f t="shared" si="125"/>
        <v>0</v>
      </c>
      <c r="AI128" s="66">
        <f t="shared" si="125"/>
        <v>772770</v>
      </c>
      <c r="AJ128" s="66">
        <f aca="true" t="shared" si="126" ref="AJ128:AO128">SUM(AJ129,AJ133,AJ135,)</f>
        <v>6554707</v>
      </c>
      <c r="AK128" s="66">
        <f t="shared" si="126"/>
        <v>0</v>
      </c>
      <c r="AL128" s="66">
        <f t="shared" si="126"/>
        <v>7327477</v>
      </c>
      <c r="AM128" s="66">
        <f t="shared" si="126"/>
        <v>5570</v>
      </c>
      <c r="AN128" s="66">
        <f t="shared" si="126"/>
        <v>0</v>
      </c>
      <c r="AO128" s="66">
        <f t="shared" si="126"/>
        <v>7333047</v>
      </c>
      <c r="AP128" s="32">
        <f>SUM(AP129,AP133,AP135,)</f>
        <v>7336290</v>
      </c>
      <c r="AQ128" s="208">
        <f t="shared" si="76"/>
        <v>100.04422445403665</v>
      </c>
    </row>
    <row r="129" spans="1:43" s="24" customFormat="1" ht="21.75" customHeight="1">
      <c r="A129" s="77"/>
      <c r="B129" s="78">
        <v>90001</v>
      </c>
      <c r="C129" s="79"/>
      <c r="D129" s="83" t="s">
        <v>74</v>
      </c>
      <c r="E129" s="76">
        <f aca="true" t="shared" si="127" ref="E129:K129">SUM(E130:E132)</f>
        <v>13144970</v>
      </c>
      <c r="F129" s="76">
        <f t="shared" si="127"/>
        <v>944688</v>
      </c>
      <c r="G129" s="76">
        <f t="shared" si="127"/>
        <v>0</v>
      </c>
      <c r="H129" s="76">
        <f t="shared" si="127"/>
        <v>14089658</v>
      </c>
      <c r="I129" s="76">
        <f t="shared" si="127"/>
        <v>739970</v>
      </c>
      <c r="J129" s="76">
        <f t="shared" si="127"/>
        <v>3945794</v>
      </c>
      <c r="K129" s="76">
        <f t="shared" si="127"/>
        <v>10883834</v>
      </c>
      <c r="L129" s="76">
        <f aca="true" t="shared" si="128" ref="L129:Q129">SUM(L130:L132)</f>
        <v>0</v>
      </c>
      <c r="M129" s="76">
        <f t="shared" si="128"/>
        <v>0</v>
      </c>
      <c r="N129" s="76">
        <f t="shared" si="128"/>
        <v>10883834</v>
      </c>
      <c r="O129" s="76">
        <f t="shared" si="128"/>
        <v>0</v>
      </c>
      <c r="P129" s="76">
        <f t="shared" si="128"/>
        <v>308726</v>
      </c>
      <c r="Q129" s="76">
        <f t="shared" si="128"/>
        <v>10575108</v>
      </c>
      <c r="R129" s="76">
        <f aca="true" t="shared" si="129" ref="R129:W129">SUM(R130:R132)</f>
        <v>0</v>
      </c>
      <c r="S129" s="76">
        <f t="shared" si="129"/>
        <v>0</v>
      </c>
      <c r="T129" s="76">
        <f t="shared" si="129"/>
        <v>10575108</v>
      </c>
      <c r="U129" s="76">
        <f t="shared" si="129"/>
        <v>0</v>
      </c>
      <c r="V129" s="76">
        <f t="shared" si="129"/>
        <v>0</v>
      </c>
      <c r="W129" s="76">
        <f t="shared" si="129"/>
        <v>744970</v>
      </c>
      <c r="X129" s="76">
        <f>SUM(X130:X132)</f>
        <v>17000</v>
      </c>
      <c r="Y129" s="76"/>
      <c r="Z129" s="76">
        <f>SUM(Z130:Z132)</f>
        <v>761970</v>
      </c>
      <c r="AA129" s="76">
        <f>SUM(AA130:AA132)</f>
        <v>0</v>
      </c>
      <c r="AB129" s="76"/>
      <c r="AC129" s="76">
        <f>SUM(AC130:AC132)</f>
        <v>761970</v>
      </c>
      <c r="AD129" s="76">
        <f>SUM(AD130:AD132)</f>
        <v>0</v>
      </c>
      <c r="AE129" s="76"/>
      <c r="AF129" s="76">
        <f>SUM(AF130:AF132)</f>
        <v>761970</v>
      </c>
      <c r="AG129" s="76">
        <f>SUM(AG130:AG132)</f>
        <v>0</v>
      </c>
      <c r="AH129" s="76"/>
      <c r="AI129" s="76">
        <f aca="true" t="shared" si="130" ref="AI129:AO129">SUM(AI130:AI132)</f>
        <v>761970</v>
      </c>
      <c r="AJ129" s="76">
        <f t="shared" si="130"/>
        <v>6554707</v>
      </c>
      <c r="AK129" s="76">
        <f t="shared" si="130"/>
        <v>0</v>
      </c>
      <c r="AL129" s="76">
        <f t="shared" si="130"/>
        <v>7316677</v>
      </c>
      <c r="AM129" s="76">
        <f t="shared" si="130"/>
        <v>4000</v>
      </c>
      <c r="AN129" s="76">
        <f t="shared" si="130"/>
        <v>0</v>
      </c>
      <c r="AO129" s="76">
        <f t="shared" si="130"/>
        <v>7320677</v>
      </c>
      <c r="AP129" s="155">
        <f>SUM(AP130:AP132)</f>
        <v>7323916</v>
      </c>
      <c r="AQ129" s="207">
        <f t="shared" si="76"/>
        <v>100.04424454186409</v>
      </c>
    </row>
    <row r="130" spans="1:43" s="24" customFormat="1" ht="21.75" customHeight="1">
      <c r="A130" s="77"/>
      <c r="B130" s="78"/>
      <c r="C130" s="79" t="s">
        <v>193</v>
      </c>
      <c r="D130" s="83" t="s">
        <v>16</v>
      </c>
      <c r="E130" s="76">
        <v>5000</v>
      </c>
      <c r="F130" s="127"/>
      <c r="G130" s="127"/>
      <c r="H130" s="94">
        <f t="shared" si="48"/>
        <v>5000</v>
      </c>
      <c r="I130" s="94"/>
      <c r="J130" s="94"/>
      <c r="K130" s="94">
        <f>SUM(H130+I130-J130)</f>
        <v>5000</v>
      </c>
      <c r="L130" s="94"/>
      <c r="M130" s="94"/>
      <c r="N130" s="94">
        <f>SUM(K130+L130-M130)</f>
        <v>5000</v>
      </c>
      <c r="O130" s="94"/>
      <c r="P130" s="94"/>
      <c r="Q130" s="94">
        <f>SUM(N130+O130-P130)</f>
        <v>5000</v>
      </c>
      <c r="R130" s="94"/>
      <c r="S130" s="94"/>
      <c r="T130" s="94">
        <f>SUM(Q130+R130-S130)</f>
        <v>5000</v>
      </c>
      <c r="U130" s="94"/>
      <c r="V130" s="94"/>
      <c r="W130" s="94">
        <f>SUM(T130+U130-V130)</f>
        <v>5000</v>
      </c>
      <c r="X130" s="94">
        <v>17000</v>
      </c>
      <c r="Y130" s="94"/>
      <c r="Z130" s="94">
        <f>SUM(W130+X130-Y130)</f>
        <v>22000</v>
      </c>
      <c r="AA130" s="94">
        <v>0</v>
      </c>
      <c r="AB130" s="94"/>
      <c r="AC130" s="94">
        <f>SUM(Z130+AA130-AB130)</f>
        <v>22000</v>
      </c>
      <c r="AD130" s="94"/>
      <c r="AE130" s="94"/>
      <c r="AF130" s="94">
        <f>SUM(AC130+AD130-AE130)</f>
        <v>22000</v>
      </c>
      <c r="AG130" s="94"/>
      <c r="AH130" s="94"/>
      <c r="AI130" s="94">
        <f>SUM(AF130+AG130-AH130)</f>
        <v>22000</v>
      </c>
      <c r="AJ130" s="94"/>
      <c r="AK130" s="94"/>
      <c r="AL130" s="94">
        <f>SUM(AI130+AJ130-AK130)</f>
        <v>22000</v>
      </c>
      <c r="AM130" s="94">
        <v>4000</v>
      </c>
      <c r="AN130" s="94"/>
      <c r="AO130" s="94">
        <f>SUM(AL130+AM130-AN130)</f>
        <v>26000</v>
      </c>
      <c r="AP130" s="155">
        <v>29239</v>
      </c>
      <c r="AQ130" s="207">
        <f t="shared" si="76"/>
        <v>112.45769230769231</v>
      </c>
    </row>
    <row r="131" spans="1:43" s="24" customFormat="1" ht="60">
      <c r="A131" s="77"/>
      <c r="B131" s="78"/>
      <c r="C131" s="79">
        <v>6291</v>
      </c>
      <c r="D131" s="83" t="s">
        <v>385</v>
      </c>
      <c r="E131" s="76">
        <v>0</v>
      </c>
      <c r="F131" s="127"/>
      <c r="G131" s="127"/>
      <c r="H131" s="94">
        <f t="shared" si="48"/>
        <v>0</v>
      </c>
      <c r="I131" s="94">
        <v>739970</v>
      </c>
      <c r="J131" s="94"/>
      <c r="K131" s="94">
        <f>SUM(H131+I131-J131)</f>
        <v>739970</v>
      </c>
      <c r="L131" s="94"/>
      <c r="M131" s="94"/>
      <c r="N131" s="94">
        <f>SUM(K131+L131-M131)</f>
        <v>739970</v>
      </c>
      <c r="O131" s="94"/>
      <c r="P131" s="94"/>
      <c r="Q131" s="94">
        <f>SUM(N131+O131-P131)</f>
        <v>739970</v>
      </c>
      <c r="R131" s="94"/>
      <c r="S131" s="94"/>
      <c r="T131" s="94">
        <f>SUM(Q131+R131-S131)</f>
        <v>739970</v>
      </c>
      <c r="U131" s="94"/>
      <c r="V131" s="94"/>
      <c r="W131" s="94">
        <f>SUM(T131+U131-V131)</f>
        <v>739970</v>
      </c>
      <c r="X131" s="94"/>
      <c r="Y131" s="94"/>
      <c r="Z131" s="94">
        <f>SUM(W131+X131-Y131)</f>
        <v>739970</v>
      </c>
      <c r="AA131" s="94"/>
      <c r="AB131" s="94"/>
      <c r="AC131" s="94">
        <f>SUM(Z131+AA131-AB131)</f>
        <v>739970</v>
      </c>
      <c r="AD131" s="94"/>
      <c r="AE131" s="94"/>
      <c r="AF131" s="94">
        <f>SUM(AC131+AD131-AE131)</f>
        <v>739970</v>
      </c>
      <c r="AG131" s="94"/>
      <c r="AH131" s="94"/>
      <c r="AI131" s="94">
        <f>SUM(AF131+AG131-AH131)</f>
        <v>739970</v>
      </c>
      <c r="AJ131" s="94"/>
      <c r="AK131" s="94"/>
      <c r="AL131" s="94">
        <f>SUM(AI131+AJ131-AK131)</f>
        <v>739970</v>
      </c>
      <c r="AM131" s="94"/>
      <c r="AN131" s="94"/>
      <c r="AO131" s="94">
        <f>SUM(AL131+AM131-AN131)</f>
        <v>739970</v>
      </c>
      <c r="AP131" s="155">
        <v>739970</v>
      </c>
      <c r="AQ131" s="207">
        <f t="shared" si="76"/>
        <v>100</v>
      </c>
    </row>
    <row r="132" spans="1:43" s="24" customFormat="1" ht="60">
      <c r="A132" s="77"/>
      <c r="B132" s="78"/>
      <c r="C132" s="79">
        <v>6298</v>
      </c>
      <c r="D132" s="83" t="s">
        <v>381</v>
      </c>
      <c r="E132" s="76">
        <f>754104-14134+12400000</f>
        <v>13139970</v>
      </c>
      <c r="F132" s="94">
        <v>944688</v>
      </c>
      <c r="G132" s="127"/>
      <c r="H132" s="94">
        <f t="shared" si="48"/>
        <v>14084658</v>
      </c>
      <c r="I132" s="94"/>
      <c r="J132" s="94">
        <f>3205824+739970</f>
        <v>3945794</v>
      </c>
      <c r="K132" s="94">
        <f>SUM(H132+I132-J132)</f>
        <v>10138864</v>
      </c>
      <c r="L132" s="94"/>
      <c r="M132" s="94"/>
      <c r="N132" s="94">
        <f>SUM(K132+L132-M132)</f>
        <v>10138864</v>
      </c>
      <c r="O132" s="94"/>
      <c r="P132" s="94">
        <v>308726</v>
      </c>
      <c r="Q132" s="94">
        <f>SUM(N132+O132-P132)</f>
        <v>9830138</v>
      </c>
      <c r="R132" s="94"/>
      <c r="S132" s="94"/>
      <c r="T132" s="94">
        <f>SUM(Q132+R132-S132)</f>
        <v>9830138</v>
      </c>
      <c r="U132" s="94"/>
      <c r="V132" s="94"/>
      <c r="W132" s="94">
        <v>0</v>
      </c>
      <c r="X132" s="94"/>
      <c r="Y132" s="94">
        <v>0</v>
      </c>
      <c r="Z132" s="94">
        <f>SUM(W132+X132-Y132)</f>
        <v>0</v>
      </c>
      <c r="AA132" s="94"/>
      <c r="AB132" s="94">
        <v>0</v>
      </c>
      <c r="AC132" s="94">
        <f>SUM(Z132+AA132-AB132)</f>
        <v>0</v>
      </c>
      <c r="AD132" s="94"/>
      <c r="AE132" s="94"/>
      <c r="AF132" s="94">
        <f>SUM(AC132+AD132-AE132)</f>
        <v>0</v>
      </c>
      <c r="AG132" s="94"/>
      <c r="AH132" s="94"/>
      <c r="AI132" s="94">
        <f>SUM(AF132+AG132-AH132)</f>
        <v>0</v>
      </c>
      <c r="AJ132" s="94">
        <v>6554707</v>
      </c>
      <c r="AK132" s="94"/>
      <c r="AL132" s="94">
        <f>SUM(AI132+AJ132-AK132)</f>
        <v>6554707</v>
      </c>
      <c r="AM132" s="94"/>
      <c r="AN132" s="94"/>
      <c r="AO132" s="94">
        <f>SUM(AL132+AM132-AN132)</f>
        <v>6554707</v>
      </c>
      <c r="AP132" s="155">
        <v>6554707</v>
      </c>
      <c r="AQ132" s="207">
        <f t="shared" si="76"/>
        <v>100</v>
      </c>
    </row>
    <row r="133" spans="1:43" s="24" customFormat="1" ht="35.25" customHeight="1">
      <c r="A133" s="77"/>
      <c r="B133" s="78">
        <v>90020</v>
      </c>
      <c r="C133" s="79"/>
      <c r="D133" s="83" t="s">
        <v>386</v>
      </c>
      <c r="E133" s="76">
        <f>SUM(E134)</f>
        <v>0</v>
      </c>
      <c r="F133" s="76">
        <f>SUM(F134)</f>
        <v>0</v>
      </c>
      <c r="G133" s="76">
        <f>SUM(G134)</f>
        <v>0</v>
      </c>
      <c r="H133" s="76">
        <f>SUM(H134)</f>
        <v>0</v>
      </c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>
        <f>AC134</f>
        <v>0</v>
      </c>
      <c r="AD133" s="94">
        <f aca="true" t="shared" si="131" ref="AD133:AO133">AD134</f>
        <v>0</v>
      </c>
      <c r="AE133" s="94">
        <f t="shared" si="131"/>
        <v>0</v>
      </c>
      <c r="AF133" s="94">
        <f t="shared" si="131"/>
        <v>0</v>
      </c>
      <c r="AG133" s="94">
        <f t="shared" si="131"/>
        <v>4800</v>
      </c>
      <c r="AH133" s="94">
        <f t="shared" si="131"/>
        <v>0</v>
      </c>
      <c r="AI133" s="94">
        <f t="shared" si="131"/>
        <v>4800</v>
      </c>
      <c r="AJ133" s="94">
        <f t="shared" si="131"/>
        <v>0</v>
      </c>
      <c r="AK133" s="94">
        <f t="shared" si="131"/>
        <v>0</v>
      </c>
      <c r="AL133" s="94">
        <f t="shared" si="131"/>
        <v>4800</v>
      </c>
      <c r="AM133" s="94">
        <f t="shared" si="131"/>
        <v>1570</v>
      </c>
      <c r="AN133" s="94">
        <f t="shared" si="131"/>
        <v>0</v>
      </c>
      <c r="AO133" s="94">
        <f t="shared" si="131"/>
        <v>6370</v>
      </c>
      <c r="AP133" s="155">
        <f>SUM(AP134)</f>
        <v>6374</v>
      </c>
      <c r="AQ133" s="207">
        <f t="shared" si="76"/>
        <v>100.06279434850865</v>
      </c>
    </row>
    <row r="134" spans="1:43" s="24" customFormat="1" ht="22.5" customHeight="1">
      <c r="A134" s="77"/>
      <c r="B134" s="78"/>
      <c r="C134" s="79" t="s">
        <v>342</v>
      </c>
      <c r="D134" s="83" t="s">
        <v>343</v>
      </c>
      <c r="E134" s="76">
        <v>0</v>
      </c>
      <c r="F134" s="94"/>
      <c r="G134" s="127"/>
      <c r="H134" s="94">
        <f>SUM(E134+F134-G134)</f>
        <v>0</v>
      </c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>
        <v>0</v>
      </c>
      <c r="AD134" s="94"/>
      <c r="AE134" s="94"/>
      <c r="AF134" s="94"/>
      <c r="AG134" s="94">
        <v>4800</v>
      </c>
      <c r="AH134" s="94"/>
      <c r="AI134" s="94">
        <f>AC134+AG134-AH134</f>
        <v>4800</v>
      </c>
      <c r="AJ134" s="94"/>
      <c r="AK134" s="94"/>
      <c r="AL134" s="94">
        <f>SUM(AI134+AJ134-AK134)</f>
        <v>4800</v>
      </c>
      <c r="AM134" s="94">
        <v>1570</v>
      </c>
      <c r="AN134" s="94"/>
      <c r="AO134" s="94">
        <f>SUM(AL134+AM134-AN134)</f>
        <v>6370</v>
      </c>
      <c r="AP134" s="155">
        <v>6374</v>
      </c>
      <c r="AQ134" s="207">
        <f t="shared" si="76"/>
        <v>100.06279434850865</v>
      </c>
    </row>
    <row r="135" spans="1:43" s="24" customFormat="1" ht="21.75" customHeight="1">
      <c r="A135" s="77"/>
      <c r="B135" s="78">
        <v>90095</v>
      </c>
      <c r="C135" s="79"/>
      <c r="D135" s="83" t="s">
        <v>6</v>
      </c>
      <c r="E135" s="76">
        <f aca="true" t="shared" si="132" ref="E135:AO135">SUM(E136)</f>
        <v>6000</v>
      </c>
      <c r="F135" s="76">
        <f t="shared" si="132"/>
        <v>0</v>
      </c>
      <c r="G135" s="76">
        <f t="shared" si="132"/>
        <v>0</v>
      </c>
      <c r="H135" s="76">
        <f t="shared" si="132"/>
        <v>6000</v>
      </c>
      <c r="I135" s="76">
        <f t="shared" si="132"/>
        <v>0</v>
      </c>
      <c r="J135" s="76">
        <f t="shared" si="132"/>
        <v>0</v>
      </c>
      <c r="K135" s="76">
        <f t="shared" si="132"/>
        <v>6000</v>
      </c>
      <c r="L135" s="76">
        <f t="shared" si="132"/>
        <v>0</v>
      </c>
      <c r="M135" s="76">
        <f t="shared" si="132"/>
        <v>0</v>
      </c>
      <c r="N135" s="76">
        <f t="shared" si="132"/>
        <v>6000</v>
      </c>
      <c r="O135" s="76">
        <f t="shared" si="132"/>
        <v>0</v>
      </c>
      <c r="P135" s="76">
        <f t="shared" si="132"/>
        <v>0</v>
      </c>
      <c r="Q135" s="76">
        <f t="shared" si="132"/>
        <v>6000</v>
      </c>
      <c r="R135" s="76">
        <f t="shared" si="132"/>
        <v>0</v>
      </c>
      <c r="S135" s="76">
        <f t="shared" si="132"/>
        <v>0</v>
      </c>
      <c r="T135" s="76">
        <f t="shared" si="132"/>
        <v>6000</v>
      </c>
      <c r="U135" s="76">
        <f t="shared" si="132"/>
        <v>0</v>
      </c>
      <c r="V135" s="76">
        <f t="shared" si="132"/>
        <v>0</v>
      </c>
      <c r="W135" s="76">
        <f t="shared" si="132"/>
        <v>6000</v>
      </c>
      <c r="X135" s="76">
        <f t="shared" si="132"/>
        <v>0</v>
      </c>
      <c r="Y135" s="76">
        <f t="shared" si="132"/>
        <v>0</v>
      </c>
      <c r="Z135" s="76">
        <f t="shared" si="132"/>
        <v>6000</v>
      </c>
      <c r="AA135" s="76">
        <f t="shared" si="132"/>
        <v>0</v>
      </c>
      <c r="AB135" s="76">
        <f t="shared" si="132"/>
        <v>0</v>
      </c>
      <c r="AC135" s="76">
        <f t="shared" si="132"/>
        <v>6000</v>
      </c>
      <c r="AD135" s="76">
        <f t="shared" si="132"/>
        <v>0</v>
      </c>
      <c r="AE135" s="76">
        <f t="shared" si="132"/>
        <v>0</v>
      </c>
      <c r="AF135" s="76">
        <f t="shared" si="132"/>
        <v>6000</v>
      </c>
      <c r="AG135" s="76">
        <f t="shared" si="132"/>
        <v>0</v>
      </c>
      <c r="AH135" s="76">
        <f t="shared" si="132"/>
        <v>0</v>
      </c>
      <c r="AI135" s="76">
        <f t="shared" si="132"/>
        <v>6000</v>
      </c>
      <c r="AJ135" s="76">
        <f t="shared" si="132"/>
        <v>0</v>
      </c>
      <c r="AK135" s="76">
        <f t="shared" si="132"/>
        <v>0</v>
      </c>
      <c r="AL135" s="76">
        <f t="shared" si="132"/>
        <v>6000</v>
      </c>
      <c r="AM135" s="76">
        <f t="shared" si="132"/>
        <v>0</v>
      </c>
      <c r="AN135" s="76">
        <f t="shared" si="132"/>
        <v>0</v>
      </c>
      <c r="AO135" s="76">
        <f t="shared" si="132"/>
        <v>6000</v>
      </c>
      <c r="AP135" s="155">
        <f>SUM(AP136)</f>
        <v>6000</v>
      </c>
      <c r="AQ135" s="207">
        <f t="shared" si="76"/>
        <v>100</v>
      </c>
    </row>
    <row r="136" spans="1:43" s="24" customFormat="1" ht="23.25" customHeight="1">
      <c r="A136" s="77"/>
      <c r="B136" s="78"/>
      <c r="C136" s="79" t="s">
        <v>211</v>
      </c>
      <c r="D136" s="83" t="s">
        <v>75</v>
      </c>
      <c r="E136" s="76">
        <v>6000</v>
      </c>
      <c r="F136" s="127"/>
      <c r="G136" s="127"/>
      <c r="H136" s="94">
        <f>SUM(E136+F136-G136)</f>
        <v>6000</v>
      </c>
      <c r="I136" s="94"/>
      <c r="J136" s="94"/>
      <c r="K136" s="94">
        <f>SUM(H136+I136-J136)</f>
        <v>6000</v>
      </c>
      <c r="L136" s="94"/>
      <c r="M136" s="94"/>
      <c r="N136" s="94">
        <f>SUM(K136+L136-M136)</f>
        <v>6000</v>
      </c>
      <c r="O136" s="94"/>
      <c r="P136" s="94"/>
      <c r="Q136" s="94">
        <f>SUM(N136+O136-P136)</f>
        <v>6000</v>
      </c>
      <c r="R136" s="94"/>
      <c r="S136" s="94"/>
      <c r="T136" s="94">
        <f>SUM(Q136+R136-S136)</f>
        <v>6000</v>
      </c>
      <c r="U136" s="94"/>
      <c r="V136" s="94"/>
      <c r="W136" s="94">
        <f>SUM(T136+U136-V136)</f>
        <v>6000</v>
      </c>
      <c r="X136" s="94"/>
      <c r="Y136" s="94"/>
      <c r="Z136" s="94">
        <f>SUM(W136+X136-Y136)</f>
        <v>6000</v>
      </c>
      <c r="AA136" s="94"/>
      <c r="AB136" s="94"/>
      <c r="AC136" s="94">
        <f>SUM(Z136+AA136-AB136)</f>
        <v>6000</v>
      </c>
      <c r="AD136" s="94"/>
      <c r="AE136" s="94"/>
      <c r="AF136" s="94">
        <f>SUM(AC136+AD136-AE136)</f>
        <v>6000</v>
      </c>
      <c r="AG136" s="94"/>
      <c r="AH136" s="94"/>
      <c r="AI136" s="94">
        <f>SUM(AF136+AG136-AH136)</f>
        <v>6000</v>
      </c>
      <c r="AJ136" s="94"/>
      <c r="AK136" s="94"/>
      <c r="AL136" s="94">
        <f>SUM(AI136+AJ136-AK136)</f>
        <v>6000</v>
      </c>
      <c r="AM136" s="94"/>
      <c r="AN136" s="94"/>
      <c r="AO136" s="94">
        <f>SUM(AL136+AM136-AN136)</f>
        <v>6000</v>
      </c>
      <c r="AP136" s="155">
        <v>6000</v>
      </c>
      <c r="AQ136" s="207">
        <f t="shared" si="76"/>
        <v>100</v>
      </c>
    </row>
    <row r="137" spans="1:43" s="42" customFormat="1" ht="24.75" customHeight="1">
      <c r="A137" s="30" t="s">
        <v>76</v>
      </c>
      <c r="B137" s="3"/>
      <c r="C137" s="20"/>
      <c r="D137" s="31" t="s">
        <v>82</v>
      </c>
      <c r="E137" s="66">
        <f>SUM(E140,E138,E143)</f>
        <v>45000</v>
      </c>
      <c r="F137" s="66">
        <f>SUM(F140,F138,F143)</f>
        <v>0</v>
      </c>
      <c r="G137" s="66">
        <f>SUM(G140,G138,G143)</f>
        <v>0</v>
      </c>
      <c r="H137" s="66">
        <f>SUM(H140,H138,H143)</f>
        <v>45000</v>
      </c>
      <c r="I137" s="66">
        <f aca="true" t="shared" si="133" ref="I137:N137">SUM(I140,I143,I138)</f>
        <v>5500</v>
      </c>
      <c r="J137" s="66">
        <f t="shared" si="133"/>
        <v>0</v>
      </c>
      <c r="K137" s="66">
        <f t="shared" si="133"/>
        <v>50500</v>
      </c>
      <c r="L137" s="66">
        <f t="shared" si="133"/>
        <v>0</v>
      </c>
      <c r="M137" s="66">
        <f t="shared" si="133"/>
        <v>0</v>
      </c>
      <c r="N137" s="66">
        <f t="shared" si="133"/>
        <v>50500</v>
      </c>
      <c r="O137" s="66">
        <f aca="true" t="shared" si="134" ref="O137:T137">SUM(O140,O143,O138)</f>
        <v>0</v>
      </c>
      <c r="P137" s="66">
        <f t="shared" si="134"/>
        <v>0</v>
      </c>
      <c r="Q137" s="66">
        <f t="shared" si="134"/>
        <v>50500</v>
      </c>
      <c r="R137" s="66">
        <f t="shared" si="134"/>
        <v>0</v>
      </c>
      <c r="S137" s="66">
        <f t="shared" si="134"/>
        <v>0</v>
      </c>
      <c r="T137" s="66">
        <f t="shared" si="134"/>
        <v>50500</v>
      </c>
      <c r="U137" s="66">
        <f aca="true" t="shared" si="135" ref="U137:Z137">SUM(U140,U143,U138)</f>
        <v>0</v>
      </c>
      <c r="V137" s="66">
        <f t="shared" si="135"/>
        <v>0</v>
      </c>
      <c r="W137" s="66">
        <f t="shared" si="135"/>
        <v>50500</v>
      </c>
      <c r="X137" s="66">
        <f t="shared" si="135"/>
        <v>0</v>
      </c>
      <c r="Y137" s="66">
        <f t="shared" si="135"/>
        <v>0</v>
      </c>
      <c r="Z137" s="66">
        <f t="shared" si="135"/>
        <v>50500</v>
      </c>
      <c r="AA137" s="66">
        <f aca="true" t="shared" si="136" ref="AA137:AF137">SUM(AA140,AA143,AA138)</f>
        <v>0</v>
      </c>
      <c r="AB137" s="66">
        <f t="shared" si="136"/>
        <v>0</v>
      </c>
      <c r="AC137" s="66">
        <f t="shared" si="136"/>
        <v>50500</v>
      </c>
      <c r="AD137" s="66">
        <f t="shared" si="136"/>
        <v>0</v>
      </c>
      <c r="AE137" s="66">
        <f t="shared" si="136"/>
        <v>0</v>
      </c>
      <c r="AF137" s="66">
        <f t="shared" si="136"/>
        <v>50500</v>
      </c>
      <c r="AG137" s="66">
        <f aca="true" t="shared" si="137" ref="AG137:AL137">SUM(AG140,AG143,AG138)</f>
        <v>0</v>
      </c>
      <c r="AH137" s="66">
        <f t="shared" si="137"/>
        <v>0</v>
      </c>
      <c r="AI137" s="66">
        <f t="shared" si="137"/>
        <v>50500</v>
      </c>
      <c r="AJ137" s="66">
        <f t="shared" si="137"/>
        <v>11960</v>
      </c>
      <c r="AK137" s="66">
        <f t="shared" si="137"/>
        <v>0</v>
      </c>
      <c r="AL137" s="66">
        <f t="shared" si="137"/>
        <v>62460</v>
      </c>
      <c r="AM137" s="66">
        <f>SUM(AM140,AM143,AM138)</f>
        <v>0</v>
      </c>
      <c r="AN137" s="66">
        <f>SUM(AN140,AN143,AN138)</f>
        <v>0</v>
      </c>
      <c r="AO137" s="66">
        <f>SUM(AO140,AO143,AO138)</f>
        <v>62460</v>
      </c>
      <c r="AP137" s="32">
        <f>SUM(AP138,AP140,AP143,)</f>
        <v>62460</v>
      </c>
      <c r="AQ137" s="208">
        <f t="shared" si="76"/>
        <v>100</v>
      </c>
    </row>
    <row r="138" spans="1:43" s="24" customFormat="1" ht="24.75" customHeight="1">
      <c r="A138" s="152"/>
      <c r="B138" s="55">
        <v>92109</v>
      </c>
      <c r="C138" s="86"/>
      <c r="D138" s="39" t="s">
        <v>177</v>
      </c>
      <c r="E138" s="76">
        <f>SUM(E139)</f>
        <v>0</v>
      </c>
      <c r="F138" s="76">
        <f>SUM(F139)</f>
        <v>0</v>
      </c>
      <c r="G138" s="76">
        <f>SUM(G139)</f>
        <v>0</v>
      </c>
      <c r="H138" s="76">
        <f>SUM(H139)</f>
        <v>0</v>
      </c>
      <c r="I138" s="76">
        <f aca="true" t="shared" si="138" ref="I138:AO138">SUM(I139)</f>
        <v>3500</v>
      </c>
      <c r="J138" s="76">
        <f t="shared" si="138"/>
        <v>0</v>
      </c>
      <c r="K138" s="76">
        <f t="shared" si="138"/>
        <v>3500</v>
      </c>
      <c r="L138" s="76">
        <f t="shared" si="138"/>
        <v>0</v>
      </c>
      <c r="M138" s="76">
        <f t="shared" si="138"/>
        <v>0</v>
      </c>
      <c r="N138" s="76">
        <f t="shared" si="138"/>
        <v>3500</v>
      </c>
      <c r="O138" s="76">
        <f t="shared" si="138"/>
        <v>0</v>
      </c>
      <c r="P138" s="76">
        <f t="shared" si="138"/>
        <v>0</v>
      </c>
      <c r="Q138" s="76">
        <f t="shared" si="138"/>
        <v>3500</v>
      </c>
      <c r="R138" s="76">
        <f t="shared" si="138"/>
        <v>0</v>
      </c>
      <c r="S138" s="76">
        <f t="shared" si="138"/>
        <v>0</v>
      </c>
      <c r="T138" s="76">
        <f t="shared" si="138"/>
        <v>3500</v>
      </c>
      <c r="U138" s="76">
        <f t="shared" si="138"/>
        <v>0</v>
      </c>
      <c r="V138" s="76">
        <f t="shared" si="138"/>
        <v>0</v>
      </c>
      <c r="W138" s="76">
        <f t="shared" si="138"/>
        <v>3500</v>
      </c>
      <c r="X138" s="76">
        <f t="shared" si="138"/>
        <v>0</v>
      </c>
      <c r="Y138" s="76">
        <f t="shared" si="138"/>
        <v>0</v>
      </c>
      <c r="Z138" s="76">
        <f t="shared" si="138"/>
        <v>3500</v>
      </c>
      <c r="AA138" s="76">
        <f t="shared" si="138"/>
        <v>0</v>
      </c>
      <c r="AB138" s="76">
        <f t="shared" si="138"/>
        <v>0</v>
      </c>
      <c r="AC138" s="76">
        <f t="shared" si="138"/>
        <v>3500</v>
      </c>
      <c r="AD138" s="76">
        <f t="shared" si="138"/>
        <v>0</v>
      </c>
      <c r="AE138" s="76">
        <f t="shared" si="138"/>
        <v>0</v>
      </c>
      <c r="AF138" s="76">
        <f t="shared" si="138"/>
        <v>3500</v>
      </c>
      <c r="AG138" s="76">
        <f t="shared" si="138"/>
        <v>0</v>
      </c>
      <c r="AH138" s="76">
        <f t="shared" si="138"/>
        <v>0</v>
      </c>
      <c r="AI138" s="76">
        <f t="shared" si="138"/>
        <v>3500</v>
      </c>
      <c r="AJ138" s="76">
        <f t="shared" si="138"/>
        <v>0</v>
      </c>
      <c r="AK138" s="76">
        <f t="shared" si="138"/>
        <v>0</v>
      </c>
      <c r="AL138" s="76">
        <f t="shared" si="138"/>
        <v>3500</v>
      </c>
      <c r="AM138" s="76">
        <f t="shared" si="138"/>
        <v>0</v>
      </c>
      <c r="AN138" s="76">
        <f t="shared" si="138"/>
        <v>0</v>
      </c>
      <c r="AO138" s="76">
        <f t="shared" si="138"/>
        <v>3500</v>
      </c>
      <c r="AP138" s="155">
        <f>SUM(AP139)</f>
        <v>3500</v>
      </c>
      <c r="AQ138" s="207">
        <f t="shared" si="76"/>
        <v>100</v>
      </c>
    </row>
    <row r="139" spans="1:43" s="24" customFormat="1" ht="48">
      <c r="A139" s="152"/>
      <c r="B139" s="55"/>
      <c r="C139" s="86">
        <v>2320</v>
      </c>
      <c r="D139" s="83" t="s">
        <v>352</v>
      </c>
      <c r="E139" s="76">
        <v>0</v>
      </c>
      <c r="F139" s="76"/>
      <c r="G139" s="76"/>
      <c r="H139" s="94">
        <f>SUM(E139+F139-G139)</f>
        <v>0</v>
      </c>
      <c r="I139" s="76">
        <v>3500</v>
      </c>
      <c r="J139" s="76"/>
      <c r="K139" s="76">
        <f>SUM(H139+I139-J139)</f>
        <v>3500</v>
      </c>
      <c r="L139" s="76"/>
      <c r="M139" s="76"/>
      <c r="N139" s="76">
        <f>SUM(K139+L139-M139)</f>
        <v>3500</v>
      </c>
      <c r="O139" s="76"/>
      <c r="P139" s="76"/>
      <c r="Q139" s="76">
        <f>SUM(N139+O139-P139)</f>
        <v>3500</v>
      </c>
      <c r="R139" s="76"/>
      <c r="S139" s="76"/>
      <c r="T139" s="76">
        <f>SUM(Q139+R139-S139)</f>
        <v>3500</v>
      </c>
      <c r="U139" s="76"/>
      <c r="V139" s="76"/>
      <c r="W139" s="76">
        <f>SUM(T139+U139-V139)</f>
        <v>3500</v>
      </c>
      <c r="X139" s="76"/>
      <c r="Y139" s="76"/>
      <c r="Z139" s="76">
        <f>SUM(W139+X139-Y139)</f>
        <v>3500</v>
      </c>
      <c r="AA139" s="76"/>
      <c r="AB139" s="76"/>
      <c r="AC139" s="76">
        <f>SUM(Z139+AA139-AB139)</f>
        <v>3500</v>
      </c>
      <c r="AD139" s="76"/>
      <c r="AE139" s="76"/>
      <c r="AF139" s="76">
        <f>SUM(AC139+AD139-AE139)</f>
        <v>3500</v>
      </c>
      <c r="AG139" s="76"/>
      <c r="AH139" s="76"/>
      <c r="AI139" s="76">
        <f>SUM(AF139+AG139-AH139)</f>
        <v>3500</v>
      </c>
      <c r="AJ139" s="76"/>
      <c r="AK139" s="76"/>
      <c r="AL139" s="76">
        <f>SUM(AI139+AJ139-AK139)</f>
        <v>3500</v>
      </c>
      <c r="AM139" s="76"/>
      <c r="AN139" s="76"/>
      <c r="AO139" s="76">
        <f>SUM(AL139+AM139-AN139)</f>
        <v>3500</v>
      </c>
      <c r="AP139" s="155">
        <v>3500</v>
      </c>
      <c r="AQ139" s="207">
        <f t="shared" si="76"/>
        <v>100</v>
      </c>
    </row>
    <row r="140" spans="1:43" s="24" customFormat="1" ht="21.75" customHeight="1">
      <c r="A140" s="77"/>
      <c r="B140" s="78" t="s">
        <v>77</v>
      </c>
      <c r="C140" s="86"/>
      <c r="D140" s="83" t="s">
        <v>78</v>
      </c>
      <c r="E140" s="76">
        <f>SUM(E141:E142)</f>
        <v>45000</v>
      </c>
      <c r="F140" s="76">
        <f>SUM(F141:F142)</f>
        <v>0</v>
      </c>
      <c r="G140" s="76">
        <f>SUM(G141:G142)</f>
        <v>0</v>
      </c>
      <c r="H140" s="76">
        <f>SUM(H141:H142)</f>
        <v>45000</v>
      </c>
      <c r="I140" s="76">
        <f aca="true" t="shared" si="139" ref="I140:AH140">SUM(I142)</f>
        <v>0</v>
      </c>
      <c r="J140" s="76">
        <f t="shared" si="139"/>
        <v>0</v>
      </c>
      <c r="K140" s="76">
        <f t="shared" si="139"/>
        <v>45000</v>
      </c>
      <c r="L140" s="76">
        <f t="shared" si="139"/>
        <v>0</v>
      </c>
      <c r="M140" s="76">
        <f t="shared" si="139"/>
        <v>0</v>
      </c>
      <c r="N140" s="76">
        <f t="shared" si="139"/>
        <v>45000</v>
      </c>
      <c r="O140" s="76">
        <f t="shared" si="139"/>
        <v>0</v>
      </c>
      <c r="P140" s="76">
        <f t="shared" si="139"/>
        <v>0</v>
      </c>
      <c r="Q140" s="76">
        <f t="shared" si="139"/>
        <v>45000</v>
      </c>
      <c r="R140" s="76">
        <f t="shared" si="139"/>
        <v>0</v>
      </c>
      <c r="S140" s="76">
        <f t="shared" si="139"/>
        <v>0</v>
      </c>
      <c r="T140" s="76">
        <f t="shared" si="139"/>
        <v>45000</v>
      </c>
      <c r="U140" s="76">
        <f t="shared" si="139"/>
        <v>0</v>
      </c>
      <c r="V140" s="76">
        <f t="shared" si="139"/>
        <v>0</v>
      </c>
      <c r="W140" s="76">
        <f t="shared" si="139"/>
        <v>45000</v>
      </c>
      <c r="X140" s="76">
        <f t="shared" si="139"/>
        <v>0</v>
      </c>
      <c r="Y140" s="76">
        <f t="shared" si="139"/>
        <v>0</v>
      </c>
      <c r="Z140" s="76">
        <f t="shared" si="139"/>
        <v>45000</v>
      </c>
      <c r="AA140" s="76">
        <f t="shared" si="139"/>
        <v>0</v>
      </c>
      <c r="AB140" s="76">
        <f t="shared" si="139"/>
        <v>0</v>
      </c>
      <c r="AC140" s="76">
        <f t="shared" si="139"/>
        <v>45000</v>
      </c>
      <c r="AD140" s="76">
        <f t="shared" si="139"/>
        <v>0</v>
      </c>
      <c r="AE140" s="76">
        <f t="shared" si="139"/>
        <v>0</v>
      </c>
      <c r="AF140" s="76">
        <f t="shared" si="139"/>
        <v>45000</v>
      </c>
      <c r="AG140" s="76">
        <f t="shared" si="139"/>
        <v>0</v>
      </c>
      <c r="AH140" s="76">
        <f t="shared" si="139"/>
        <v>0</v>
      </c>
      <c r="AI140" s="76">
        <f aca="true" t="shared" si="140" ref="AI140:AO140">SUM(AI141:AI142)</f>
        <v>45000</v>
      </c>
      <c r="AJ140" s="76">
        <f t="shared" si="140"/>
        <v>11960</v>
      </c>
      <c r="AK140" s="76">
        <f t="shared" si="140"/>
        <v>0</v>
      </c>
      <c r="AL140" s="76">
        <f t="shared" si="140"/>
        <v>56960</v>
      </c>
      <c r="AM140" s="76">
        <f t="shared" si="140"/>
        <v>0</v>
      </c>
      <c r="AN140" s="76">
        <f t="shared" si="140"/>
        <v>0</v>
      </c>
      <c r="AO140" s="76">
        <f t="shared" si="140"/>
        <v>56960</v>
      </c>
      <c r="AP140" s="155">
        <f>SUM(AP141:AP142)</f>
        <v>56960</v>
      </c>
      <c r="AQ140" s="207">
        <f t="shared" si="76"/>
        <v>100</v>
      </c>
    </row>
    <row r="141" spans="1:43" s="24" customFormat="1" ht="57.75" customHeight="1">
      <c r="A141" s="77"/>
      <c r="B141" s="78"/>
      <c r="C141" s="79">
        <v>2020</v>
      </c>
      <c r="D141" s="83" t="s">
        <v>357</v>
      </c>
      <c r="E141" s="76">
        <v>0</v>
      </c>
      <c r="F141" s="76"/>
      <c r="G141" s="76"/>
      <c r="H141" s="94">
        <f>SUM(E141+F141-G141)</f>
        <v>0</v>
      </c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>
        <v>0</v>
      </c>
      <c r="AJ141" s="76">
        <v>11960</v>
      </c>
      <c r="AK141" s="76"/>
      <c r="AL141" s="94">
        <f>SUM(AI141+AJ141-AK141)</f>
        <v>11960</v>
      </c>
      <c r="AM141" s="76"/>
      <c r="AN141" s="76"/>
      <c r="AO141" s="94">
        <f>SUM(AL141+AM141-AN141)</f>
        <v>11960</v>
      </c>
      <c r="AP141" s="155">
        <v>11960</v>
      </c>
      <c r="AQ141" s="207">
        <f t="shared" si="76"/>
        <v>100</v>
      </c>
    </row>
    <row r="142" spans="1:43" s="24" customFormat="1" ht="48">
      <c r="A142" s="78"/>
      <c r="B142" s="78"/>
      <c r="C142" s="79">
        <v>2320</v>
      </c>
      <c r="D142" s="83" t="s">
        <v>279</v>
      </c>
      <c r="E142" s="76">
        <v>45000</v>
      </c>
      <c r="F142" s="127"/>
      <c r="G142" s="127"/>
      <c r="H142" s="94">
        <f>SUM(E142+F142-G142)</f>
        <v>45000</v>
      </c>
      <c r="I142" s="94"/>
      <c r="J142" s="94"/>
      <c r="K142" s="94">
        <f>SUM(H142+I142-J142)</f>
        <v>45000</v>
      </c>
      <c r="L142" s="94"/>
      <c r="M142" s="94"/>
      <c r="N142" s="94">
        <f>SUM(K142+L142-M142)</f>
        <v>45000</v>
      </c>
      <c r="O142" s="94"/>
      <c r="P142" s="94"/>
      <c r="Q142" s="94">
        <f>SUM(N142+O142-P142)</f>
        <v>45000</v>
      </c>
      <c r="R142" s="94"/>
      <c r="S142" s="94"/>
      <c r="T142" s="94">
        <f>SUM(Q142+R142-S142)</f>
        <v>45000</v>
      </c>
      <c r="U142" s="94"/>
      <c r="V142" s="94"/>
      <c r="W142" s="94">
        <f>SUM(T142+U142-V142)</f>
        <v>45000</v>
      </c>
      <c r="X142" s="94"/>
      <c r="Y142" s="94"/>
      <c r="Z142" s="94">
        <f>SUM(W142+X142-Y142)</f>
        <v>45000</v>
      </c>
      <c r="AA142" s="94"/>
      <c r="AB142" s="94"/>
      <c r="AC142" s="94">
        <f>SUM(Z142+AA142-AB142)</f>
        <v>45000</v>
      </c>
      <c r="AD142" s="94"/>
      <c r="AE142" s="94"/>
      <c r="AF142" s="94">
        <f>SUM(AC142+AD142-AE142)</f>
        <v>45000</v>
      </c>
      <c r="AG142" s="94"/>
      <c r="AH142" s="94"/>
      <c r="AI142" s="94">
        <f>SUM(AF142+AG142-AH142)</f>
        <v>45000</v>
      </c>
      <c r="AJ142" s="94"/>
      <c r="AK142" s="94"/>
      <c r="AL142" s="94">
        <f>SUM(AI142+AJ142-AK142)</f>
        <v>45000</v>
      </c>
      <c r="AM142" s="94"/>
      <c r="AN142" s="94"/>
      <c r="AO142" s="94">
        <f>SUM(AL142+AM142-AN142)</f>
        <v>45000</v>
      </c>
      <c r="AP142" s="155">
        <v>45000</v>
      </c>
      <c r="AQ142" s="207">
        <f aca="true" t="shared" si="141" ref="AQ142:AQ149">AP142/AO142*100</f>
        <v>100</v>
      </c>
    </row>
    <row r="143" spans="1:43" s="24" customFormat="1" ht="24" customHeight="1">
      <c r="A143" s="78"/>
      <c r="B143" s="78">
        <v>92118</v>
      </c>
      <c r="C143" s="79"/>
      <c r="D143" s="83" t="s">
        <v>161</v>
      </c>
      <c r="E143" s="76">
        <f>SUM(E144)</f>
        <v>0</v>
      </c>
      <c r="F143" s="76">
        <f>SUM(F144)</f>
        <v>0</v>
      </c>
      <c r="G143" s="76">
        <f>SUM(G144)</f>
        <v>0</v>
      </c>
      <c r="H143" s="76">
        <f>SUM(H144)</f>
        <v>0</v>
      </c>
      <c r="I143" s="94">
        <f aca="true" t="shared" si="142" ref="I143:AO143">SUM(I144)</f>
        <v>2000</v>
      </c>
      <c r="J143" s="94">
        <f t="shared" si="142"/>
        <v>0</v>
      </c>
      <c r="K143" s="94">
        <f t="shared" si="142"/>
        <v>2000</v>
      </c>
      <c r="L143" s="94">
        <f t="shared" si="142"/>
        <v>0</v>
      </c>
      <c r="M143" s="94">
        <f t="shared" si="142"/>
        <v>0</v>
      </c>
      <c r="N143" s="94">
        <f t="shared" si="142"/>
        <v>2000</v>
      </c>
      <c r="O143" s="94">
        <f t="shared" si="142"/>
        <v>0</v>
      </c>
      <c r="P143" s="94">
        <f t="shared" si="142"/>
        <v>0</v>
      </c>
      <c r="Q143" s="94">
        <f t="shared" si="142"/>
        <v>2000</v>
      </c>
      <c r="R143" s="94">
        <f t="shared" si="142"/>
        <v>0</v>
      </c>
      <c r="S143" s="94">
        <f t="shared" si="142"/>
        <v>0</v>
      </c>
      <c r="T143" s="94">
        <f t="shared" si="142"/>
        <v>2000</v>
      </c>
      <c r="U143" s="94">
        <f t="shared" si="142"/>
        <v>0</v>
      </c>
      <c r="V143" s="94">
        <f t="shared" si="142"/>
        <v>0</v>
      </c>
      <c r="W143" s="94">
        <f t="shared" si="142"/>
        <v>2000</v>
      </c>
      <c r="X143" s="94">
        <f t="shared" si="142"/>
        <v>0</v>
      </c>
      <c r="Y143" s="94">
        <f t="shared" si="142"/>
        <v>0</v>
      </c>
      <c r="Z143" s="94">
        <f t="shared" si="142"/>
        <v>2000</v>
      </c>
      <c r="AA143" s="94">
        <f t="shared" si="142"/>
        <v>0</v>
      </c>
      <c r="AB143" s="94">
        <f t="shared" si="142"/>
        <v>0</v>
      </c>
      <c r="AC143" s="94">
        <f t="shared" si="142"/>
        <v>2000</v>
      </c>
      <c r="AD143" s="94">
        <f t="shared" si="142"/>
        <v>0</v>
      </c>
      <c r="AE143" s="94">
        <f t="shared" si="142"/>
        <v>0</v>
      </c>
      <c r="AF143" s="94">
        <f t="shared" si="142"/>
        <v>2000</v>
      </c>
      <c r="AG143" s="94">
        <f t="shared" si="142"/>
        <v>0</v>
      </c>
      <c r="AH143" s="94">
        <f t="shared" si="142"/>
        <v>0</v>
      </c>
      <c r="AI143" s="94">
        <f t="shared" si="142"/>
        <v>2000</v>
      </c>
      <c r="AJ143" s="94">
        <f t="shared" si="142"/>
        <v>0</v>
      </c>
      <c r="AK143" s="94">
        <f t="shared" si="142"/>
        <v>0</v>
      </c>
      <c r="AL143" s="94">
        <f t="shared" si="142"/>
        <v>2000</v>
      </c>
      <c r="AM143" s="94">
        <f t="shared" si="142"/>
        <v>0</v>
      </c>
      <c r="AN143" s="94">
        <f t="shared" si="142"/>
        <v>0</v>
      </c>
      <c r="AO143" s="94">
        <f t="shared" si="142"/>
        <v>2000</v>
      </c>
      <c r="AP143" s="155">
        <f>SUM(AP144)</f>
        <v>2000</v>
      </c>
      <c r="AQ143" s="207">
        <f t="shared" si="141"/>
        <v>100</v>
      </c>
    </row>
    <row r="144" spans="1:43" s="24" customFormat="1" ht="48">
      <c r="A144" s="78"/>
      <c r="B144" s="78"/>
      <c r="C144" s="79">
        <v>2320</v>
      </c>
      <c r="D144" s="83" t="s">
        <v>279</v>
      </c>
      <c r="E144" s="76">
        <v>0</v>
      </c>
      <c r="F144" s="127"/>
      <c r="G144" s="127"/>
      <c r="H144" s="94">
        <v>0</v>
      </c>
      <c r="I144" s="94">
        <v>2000</v>
      </c>
      <c r="J144" s="94"/>
      <c r="K144" s="94">
        <f>SUM(H144+I144-J144)</f>
        <v>2000</v>
      </c>
      <c r="L144" s="94"/>
      <c r="M144" s="94"/>
      <c r="N144" s="94">
        <f>SUM(K144+L144-M144)</f>
        <v>2000</v>
      </c>
      <c r="O144" s="94"/>
      <c r="P144" s="94"/>
      <c r="Q144" s="94">
        <f>SUM(N144+O144-P144)</f>
        <v>2000</v>
      </c>
      <c r="R144" s="94"/>
      <c r="S144" s="94"/>
      <c r="T144" s="94">
        <f>SUM(Q144+R144-S144)</f>
        <v>2000</v>
      </c>
      <c r="U144" s="94"/>
      <c r="V144" s="94"/>
      <c r="W144" s="94">
        <f>SUM(T144+U144-V144)</f>
        <v>2000</v>
      </c>
      <c r="X144" s="94"/>
      <c r="Y144" s="94"/>
      <c r="Z144" s="94">
        <f>SUM(W144+X144-Y144)</f>
        <v>2000</v>
      </c>
      <c r="AA144" s="94"/>
      <c r="AB144" s="94"/>
      <c r="AC144" s="94">
        <f>SUM(Z144+AA144-AB144)</f>
        <v>2000</v>
      </c>
      <c r="AD144" s="94"/>
      <c r="AE144" s="94"/>
      <c r="AF144" s="94">
        <f>SUM(AC144+AD144-AE144)</f>
        <v>2000</v>
      </c>
      <c r="AG144" s="94"/>
      <c r="AH144" s="94"/>
      <c r="AI144" s="94">
        <f>SUM(AF144+AG144-AH144)</f>
        <v>2000</v>
      </c>
      <c r="AJ144" s="94"/>
      <c r="AK144" s="94"/>
      <c r="AL144" s="94">
        <f>SUM(AI144+AJ144-AK144)</f>
        <v>2000</v>
      </c>
      <c r="AM144" s="94"/>
      <c r="AN144" s="94"/>
      <c r="AO144" s="94">
        <f>SUM(AL144+AM144-AN144)</f>
        <v>2000</v>
      </c>
      <c r="AP144" s="155">
        <v>2000</v>
      </c>
      <c r="AQ144" s="207">
        <f t="shared" si="141"/>
        <v>100</v>
      </c>
    </row>
    <row r="145" spans="1:43" s="42" customFormat="1" ht="24" customHeight="1">
      <c r="A145" s="33">
        <v>926</v>
      </c>
      <c r="B145" s="33"/>
      <c r="C145" s="33"/>
      <c r="D145" s="31" t="s">
        <v>79</v>
      </c>
      <c r="E145" s="66">
        <f>SUM(E146)</f>
        <v>0</v>
      </c>
      <c r="F145" s="66">
        <f>SUM(F146)</f>
        <v>0</v>
      </c>
      <c r="G145" s="66">
        <f>SUM(G146)</f>
        <v>0</v>
      </c>
      <c r="H145" s="66">
        <f>SUM(H146)</f>
        <v>0</v>
      </c>
      <c r="I145" s="43">
        <f aca="true" t="shared" si="143" ref="I145:V146">SUM(I146)</f>
        <v>6200</v>
      </c>
      <c r="J145" s="43">
        <f t="shared" si="143"/>
        <v>0</v>
      </c>
      <c r="K145" s="43">
        <f t="shared" si="143"/>
        <v>6200</v>
      </c>
      <c r="L145" s="43">
        <f t="shared" si="143"/>
        <v>0</v>
      </c>
      <c r="M145" s="43">
        <f t="shared" si="143"/>
        <v>0</v>
      </c>
      <c r="N145" s="43">
        <f t="shared" si="143"/>
        <v>6200</v>
      </c>
      <c r="O145" s="43">
        <f t="shared" si="143"/>
        <v>0</v>
      </c>
      <c r="P145" s="43">
        <f t="shared" si="143"/>
        <v>0</v>
      </c>
      <c r="Q145" s="43">
        <f t="shared" si="143"/>
        <v>6200</v>
      </c>
      <c r="R145" s="43">
        <f t="shared" si="143"/>
        <v>0</v>
      </c>
      <c r="S145" s="43">
        <f t="shared" si="143"/>
        <v>0</v>
      </c>
      <c r="T145" s="43">
        <f t="shared" si="143"/>
        <v>6200</v>
      </c>
      <c r="U145" s="43">
        <f t="shared" si="143"/>
        <v>0</v>
      </c>
      <c r="V145" s="43">
        <f t="shared" si="143"/>
        <v>0</v>
      </c>
      <c r="W145" s="43">
        <f>W146+W148</f>
        <v>34200</v>
      </c>
      <c r="X145" s="43">
        <f>X146+X148</f>
        <v>0</v>
      </c>
      <c r="Y145" s="43">
        <v>0</v>
      </c>
      <c r="Z145" s="43">
        <f>Z146</f>
        <v>34200</v>
      </c>
      <c r="AA145" s="43">
        <f>AA146+AA148</f>
        <v>0</v>
      </c>
      <c r="AB145" s="43">
        <v>0</v>
      </c>
      <c r="AC145" s="43">
        <f>AC146</f>
        <v>34200</v>
      </c>
      <c r="AD145" s="43">
        <f>AD146+AD148</f>
        <v>0</v>
      </c>
      <c r="AE145" s="43">
        <v>0</v>
      </c>
      <c r="AF145" s="43">
        <f>AF146</f>
        <v>34200</v>
      </c>
      <c r="AG145" s="43">
        <f>AG146+AG148</f>
        <v>0</v>
      </c>
      <c r="AH145" s="43">
        <v>0</v>
      </c>
      <c r="AI145" s="43">
        <f>AI146</f>
        <v>34200</v>
      </c>
      <c r="AJ145" s="43">
        <f>AJ146+AJ148</f>
        <v>0</v>
      </c>
      <c r="AK145" s="43">
        <v>0</v>
      </c>
      <c r="AL145" s="43">
        <f>AL146</f>
        <v>34200</v>
      </c>
      <c r="AM145" s="43">
        <f>AM146+AM148</f>
        <v>0</v>
      </c>
      <c r="AN145" s="43">
        <v>0</v>
      </c>
      <c r="AO145" s="43">
        <f>AO146</f>
        <v>34200</v>
      </c>
      <c r="AP145" s="32">
        <f>SUM(AP146)</f>
        <v>31090</v>
      </c>
      <c r="AQ145" s="208">
        <f t="shared" si="141"/>
        <v>90.90643274853801</v>
      </c>
    </row>
    <row r="146" spans="1:43" s="24" customFormat="1" ht="24" customHeight="1">
      <c r="A146" s="78"/>
      <c r="B146" s="78">
        <v>92605</v>
      </c>
      <c r="C146" s="78"/>
      <c r="D146" s="83" t="s">
        <v>387</v>
      </c>
      <c r="E146" s="76">
        <f>SUM(E147:E148)</f>
        <v>0</v>
      </c>
      <c r="F146" s="76">
        <f>SUM(F147:F148)</f>
        <v>0</v>
      </c>
      <c r="G146" s="76">
        <f>SUM(G147:G148)</f>
        <v>0</v>
      </c>
      <c r="H146" s="76">
        <f>SUM(H147:H148)</f>
        <v>0</v>
      </c>
      <c r="I146" s="94">
        <f t="shared" si="143"/>
        <v>6200</v>
      </c>
      <c r="J146" s="94">
        <f t="shared" si="143"/>
        <v>0</v>
      </c>
      <c r="K146" s="94">
        <f t="shared" si="143"/>
        <v>6200</v>
      </c>
      <c r="L146" s="94">
        <f t="shared" si="143"/>
        <v>0</v>
      </c>
      <c r="M146" s="94">
        <f t="shared" si="143"/>
        <v>0</v>
      </c>
      <c r="N146" s="94">
        <f t="shared" si="143"/>
        <v>6200</v>
      </c>
      <c r="O146" s="94">
        <f t="shared" si="143"/>
        <v>0</v>
      </c>
      <c r="P146" s="94">
        <f t="shared" si="143"/>
        <v>0</v>
      </c>
      <c r="Q146" s="94">
        <f t="shared" si="143"/>
        <v>6200</v>
      </c>
      <c r="R146" s="94">
        <f t="shared" si="143"/>
        <v>0</v>
      </c>
      <c r="S146" s="94">
        <f t="shared" si="143"/>
        <v>0</v>
      </c>
      <c r="T146" s="94">
        <f t="shared" si="143"/>
        <v>6200</v>
      </c>
      <c r="U146" s="94">
        <f t="shared" si="143"/>
        <v>0</v>
      </c>
      <c r="V146" s="94">
        <f t="shared" si="143"/>
        <v>0</v>
      </c>
      <c r="W146" s="94">
        <f>SUM(W147)</f>
        <v>6200</v>
      </c>
      <c r="X146" s="94">
        <f>SUM(X147)</f>
        <v>0</v>
      </c>
      <c r="Y146" s="94">
        <f>SUM(Y147)</f>
        <v>0</v>
      </c>
      <c r="Z146" s="94">
        <f>Z147+Z148</f>
        <v>34200</v>
      </c>
      <c r="AA146" s="94">
        <f>SUM(AA147)</f>
        <v>0</v>
      </c>
      <c r="AB146" s="94">
        <f>SUM(AB147)</f>
        <v>0</v>
      </c>
      <c r="AC146" s="94">
        <f>AC147+AC148</f>
        <v>34200</v>
      </c>
      <c r="AD146" s="94">
        <f>SUM(AD147)</f>
        <v>0</v>
      </c>
      <c r="AE146" s="94">
        <f>SUM(AE147)</f>
        <v>0</v>
      </c>
      <c r="AF146" s="94">
        <f>AF147+AF148</f>
        <v>34200</v>
      </c>
      <c r="AG146" s="94">
        <f>SUM(AG147)</f>
        <v>0</v>
      </c>
      <c r="AH146" s="94">
        <f>SUM(AH147)</f>
        <v>0</v>
      </c>
      <c r="AI146" s="94">
        <f>AI147+AI148</f>
        <v>34200</v>
      </c>
      <c r="AJ146" s="94">
        <f>SUM(AJ147)</f>
        <v>0</v>
      </c>
      <c r="AK146" s="94">
        <f>SUM(AK147)</f>
        <v>0</v>
      </c>
      <c r="AL146" s="94">
        <f>AL147+AL148</f>
        <v>34200</v>
      </c>
      <c r="AM146" s="94">
        <f>SUM(AM147)</f>
        <v>0</v>
      </c>
      <c r="AN146" s="94">
        <f>SUM(AN147)</f>
        <v>0</v>
      </c>
      <c r="AO146" s="94">
        <f>AO147+AO148</f>
        <v>34200</v>
      </c>
      <c r="AP146" s="155">
        <f>SUM(AP147:AP148)</f>
        <v>31090</v>
      </c>
      <c r="AQ146" s="207">
        <f t="shared" si="141"/>
        <v>90.90643274853801</v>
      </c>
    </row>
    <row r="147" spans="1:43" s="24" customFormat="1" ht="48">
      <c r="A147" s="78"/>
      <c r="B147" s="78"/>
      <c r="C147" s="78">
        <v>2320</v>
      </c>
      <c r="D147" s="83" t="s">
        <v>279</v>
      </c>
      <c r="E147" s="76">
        <v>0</v>
      </c>
      <c r="F147" s="127"/>
      <c r="G147" s="127"/>
      <c r="H147" s="94">
        <v>0</v>
      </c>
      <c r="I147" s="94">
        <v>6200</v>
      </c>
      <c r="J147" s="94"/>
      <c r="K147" s="94">
        <f>SUM(H147+I147-J147)</f>
        <v>6200</v>
      </c>
      <c r="L147" s="94"/>
      <c r="M147" s="94"/>
      <c r="N147" s="94">
        <f>SUM(K147+L147-M147)</f>
        <v>6200</v>
      </c>
      <c r="O147" s="94"/>
      <c r="P147" s="94"/>
      <c r="Q147" s="94">
        <f>SUM(N147+O147-P147)</f>
        <v>6200</v>
      </c>
      <c r="R147" s="94"/>
      <c r="S147" s="94"/>
      <c r="T147" s="94">
        <f>SUM(Q147+R147-S147)</f>
        <v>6200</v>
      </c>
      <c r="U147" s="94"/>
      <c r="V147" s="94"/>
      <c r="W147" s="94">
        <f>SUM(T147+U147-V147)</f>
        <v>6200</v>
      </c>
      <c r="X147" s="94"/>
      <c r="Y147" s="94"/>
      <c r="Z147" s="94">
        <f>SUM(W147+X147-Y147)</f>
        <v>6200</v>
      </c>
      <c r="AA147" s="94"/>
      <c r="AB147" s="94"/>
      <c r="AC147" s="94">
        <f>SUM(Z147+AA147-AB147)</f>
        <v>6200</v>
      </c>
      <c r="AD147" s="94"/>
      <c r="AE147" s="94"/>
      <c r="AF147" s="94">
        <f>SUM(AC147+AD147-AE147)</f>
        <v>6200</v>
      </c>
      <c r="AG147" s="94"/>
      <c r="AH147" s="94"/>
      <c r="AI147" s="94">
        <f>SUM(AF147+AG147-AH147)</f>
        <v>6200</v>
      </c>
      <c r="AJ147" s="94"/>
      <c r="AK147" s="94"/>
      <c r="AL147" s="94">
        <f>SUM(AI147+AJ147-AK147)</f>
        <v>6200</v>
      </c>
      <c r="AM147" s="94"/>
      <c r="AN147" s="94"/>
      <c r="AO147" s="94">
        <f>SUM(AL147+AM147-AN147)</f>
        <v>6200</v>
      </c>
      <c r="AP147" s="155">
        <v>3090</v>
      </c>
      <c r="AQ147" s="207">
        <f t="shared" si="141"/>
        <v>49.83870967741936</v>
      </c>
    </row>
    <row r="148" spans="1:43" s="24" customFormat="1" ht="36">
      <c r="A148" s="78"/>
      <c r="B148" s="78"/>
      <c r="C148" s="79">
        <v>2440</v>
      </c>
      <c r="D148" s="83" t="s">
        <v>224</v>
      </c>
      <c r="E148" s="76">
        <v>0</v>
      </c>
      <c r="F148" s="127"/>
      <c r="G148" s="127"/>
      <c r="H148" s="94">
        <v>0</v>
      </c>
      <c r="I148" s="94"/>
      <c r="J148" s="94"/>
      <c r="K148" s="94">
        <f>SUM(H148+I148-J148)</f>
        <v>0</v>
      </c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>
        <v>28000</v>
      </c>
      <c r="X148" s="94">
        <v>0</v>
      </c>
      <c r="Y148" s="94"/>
      <c r="Z148" s="94">
        <v>28000</v>
      </c>
      <c r="AA148" s="94">
        <v>0</v>
      </c>
      <c r="AB148" s="94"/>
      <c r="AC148" s="94">
        <v>28000</v>
      </c>
      <c r="AD148" s="94">
        <v>0</v>
      </c>
      <c r="AE148" s="94"/>
      <c r="AF148" s="94">
        <v>28000</v>
      </c>
      <c r="AG148" s="94"/>
      <c r="AH148" s="94"/>
      <c r="AI148" s="94">
        <v>28000</v>
      </c>
      <c r="AJ148" s="94"/>
      <c r="AK148" s="94"/>
      <c r="AL148" s="94">
        <v>28000</v>
      </c>
      <c r="AM148" s="94"/>
      <c r="AN148" s="94"/>
      <c r="AO148" s="94">
        <v>28000</v>
      </c>
      <c r="AP148" s="155">
        <v>28000</v>
      </c>
      <c r="AQ148" s="207">
        <f t="shared" si="141"/>
        <v>100</v>
      </c>
    </row>
    <row r="149" spans="1:43" s="42" customFormat="1" ht="26.25" customHeight="1">
      <c r="A149" s="13"/>
      <c r="B149" s="14"/>
      <c r="C149" s="15"/>
      <c r="D149" s="16" t="s">
        <v>81</v>
      </c>
      <c r="E149" s="66" t="e">
        <f>SUM(E137,E128,E121,E105,E90,E81,E48,E40,E33,E23,E16,E9,E12)</f>
        <v>#REF!</v>
      </c>
      <c r="F149" s="66" t="e">
        <f>SUM(F137,F128,F121,F105,F90,F81,F48,F40,F33,F23,F16,F9,F12)</f>
        <v>#REF!</v>
      </c>
      <c r="G149" s="66" t="e">
        <f>SUM(G137,G128,G121,G105,G90,G81,G48,G40,G33,G23,G16,G9,G12)</f>
        <v>#REF!</v>
      </c>
      <c r="H149" s="66">
        <f>SUM(H145,H137,H128,H121,H105,H90,H81,H48,H40,H33,H23,H16,H9,H12)</f>
        <v>54684771</v>
      </c>
      <c r="I149" s="66" t="e">
        <f>SUM(I145,I137,I128,I121,I105,I90,I81,I48,I40,I33,I23,I16,I9,I12)</f>
        <v>#REF!</v>
      </c>
      <c r="J149" s="66" t="e">
        <f>SUM(J145,J137,J128,J121,J105,J90,J81,J48,J40,J33,J23,J16,J9,J12)</f>
        <v>#REF!</v>
      </c>
      <c r="K149" s="43" t="e">
        <f>SUM(H149+I149-J149)</f>
        <v>#REF!</v>
      </c>
      <c r="L149" s="66" t="e">
        <f aca="true" t="shared" si="144" ref="L149:AO149">SUM(L145,L137,L128,L121,L105,L90,L81,L48,L40,L33,L23,L16,L9,L12)</f>
        <v>#REF!</v>
      </c>
      <c r="M149" s="66" t="e">
        <f t="shared" si="144"/>
        <v>#REF!</v>
      </c>
      <c r="N149" s="66" t="e">
        <f t="shared" si="144"/>
        <v>#REF!</v>
      </c>
      <c r="O149" s="66" t="e">
        <f t="shared" si="144"/>
        <v>#REF!</v>
      </c>
      <c r="P149" s="66" t="e">
        <f t="shared" si="144"/>
        <v>#REF!</v>
      </c>
      <c r="Q149" s="66" t="e">
        <f t="shared" si="144"/>
        <v>#REF!</v>
      </c>
      <c r="R149" s="66" t="e">
        <f t="shared" si="144"/>
        <v>#REF!</v>
      </c>
      <c r="S149" s="66" t="e">
        <f t="shared" si="144"/>
        <v>#REF!</v>
      </c>
      <c r="T149" s="66" t="e">
        <f t="shared" si="144"/>
        <v>#REF!</v>
      </c>
      <c r="U149" s="66" t="e">
        <f t="shared" si="144"/>
        <v>#REF!</v>
      </c>
      <c r="V149" s="66" t="e">
        <f t="shared" si="144"/>
        <v>#REF!</v>
      </c>
      <c r="W149" s="66" t="e">
        <f t="shared" si="144"/>
        <v>#REF!</v>
      </c>
      <c r="X149" s="66" t="e">
        <f t="shared" si="144"/>
        <v>#REF!</v>
      </c>
      <c r="Y149" s="66" t="e">
        <f t="shared" si="144"/>
        <v>#REF!</v>
      </c>
      <c r="Z149" s="66" t="e">
        <f t="shared" si="144"/>
        <v>#REF!</v>
      </c>
      <c r="AA149" s="66" t="e">
        <f t="shared" si="144"/>
        <v>#REF!</v>
      </c>
      <c r="AB149" s="66" t="e">
        <f t="shared" si="144"/>
        <v>#REF!</v>
      </c>
      <c r="AC149" s="66" t="e">
        <f t="shared" si="144"/>
        <v>#REF!</v>
      </c>
      <c r="AD149" s="66" t="e">
        <f t="shared" si="144"/>
        <v>#REF!</v>
      </c>
      <c r="AE149" s="66" t="e">
        <f t="shared" si="144"/>
        <v>#REF!</v>
      </c>
      <c r="AF149" s="66" t="e">
        <f t="shared" si="144"/>
        <v>#REF!</v>
      </c>
      <c r="AG149" s="66" t="e">
        <f t="shared" si="144"/>
        <v>#REF!</v>
      </c>
      <c r="AH149" s="66" t="e">
        <f t="shared" si="144"/>
        <v>#REF!</v>
      </c>
      <c r="AI149" s="66" t="e">
        <f t="shared" si="144"/>
        <v>#REF!</v>
      </c>
      <c r="AJ149" s="66" t="e">
        <f t="shared" si="144"/>
        <v>#REF!</v>
      </c>
      <c r="AK149" s="66" t="e">
        <f t="shared" si="144"/>
        <v>#REF!</v>
      </c>
      <c r="AL149" s="66" t="e">
        <f t="shared" si="144"/>
        <v>#REF!</v>
      </c>
      <c r="AM149" s="66" t="e">
        <f t="shared" si="144"/>
        <v>#REF!</v>
      </c>
      <c r="AN149" s="66" t="e">
        <f t="shared" si="144"/>
        <v>#REF!</v>
      </c>
      <c r="AO149" s="66">
        <f t="shared" si="144"/>
        <v>47340825</v>
      </c>
      <c r="AP149" s="32">
        <f>SUM(AP145,AP137,AP128,AP121,AP105,AP90,AP81,AP48,AP40,AP33,AP23,AP16,AP12,AP9,)</f>
        <v>46929252</v>
      </c>
      <c r="AQ149" s="208">
        <f t="shared" si="141"/>
        <v>99.1306171787247</v>
      </c>
    </row>
    <row r="150" ht="12.75">
      <c r="AN150" s="57" t="e">
        <f>SUM(AM149-AN149)</f>
        <v>#REF!</v>
      </c>
    </row>
    <row r="151" spans="4:41" ht="12.75">
      <c r="D151" s="123"/>
      <c r="G151" s="57">
        <v>37694</v>
      </c>
      <c r="I151" s="57">
        <v>6200</v>
      </c>
      <c r="Z151" s="57"/>
      <c r="AC151" s="57"/>
      <c r="AF151" s="57"/>
      <c r="AI151" s="57"/>
      <c r="AK151" s="108"/>
      <c r="AL151" s="57"/>
      <c r="AN151" s="108"/>
      <c r="AO151" s="57"/>
    </row>
    <row r="152" spans="4:41" ht="12.75">
      <c r="D152" s="123"/>
      <c r="G152" s="57"/>
      <c r="Z152" s="57"/>
      <c r="AC152" s="57"/>
      <c r="AF152" s="57"/>
      <c r="AI152" s="57"/>
      <c r="AL152" s="57" t="s">
        <v>363</v>
      </c>
      <c r="AM152" s="57">
        <v>2367</v>
      </c>
      <c r="AO152" s="57"/>
    </row>
    <row r="153" spans="4:41" ht="12.75">
      <c r="D153" s="123"/>
      <c r="G153" s="57"/>
      <c r="Z153" s="57"/>
      <c r="AC153" s="57"/>
      <c r="AF153" s="57"/>
      <c r="AI153" s="57"/>
      <c r="AK153" s="108"/>
      <c r="AL153" s="57" t="s">
        <v>364</v>
      </c>
      <c r="AM153" s="57">
        <v>293895</v>
      </c>
      <c r="AN153" s="108"/>
      <c r="AO153" s="57"/>
    </row>
    <row r="154" spans="4:41" ht="12.75">
      <c r="D154" s="123"/>
      <c r="G154" s="57"/>
      <c r="Z154" s="57"/>
      <c r="AC154" s="57"/>
      <c r="AF154" s="57"/>
      <c r="AI154" s="57"/>
      <c r="AK154" s="108"/>
      <c r="AL154" s="57" t="s">
        <v>365</v>
      </c>
      <c r="AM154" s="57">
        <v>23000</v>
      </c>
      <c r="AN154" s="108"/>
      <c r="AO154" s="57"/>
    </row>
    <row r="155" spans="4:41" ht="12.75">
      <c r="D155" s="123"/>
      <c r="G155" s="57"/>
      <c r="Z155" s="57"/>
      <c r="AC155" s="57"/>
      <c r="AF155" s="57"/>
      <c r="AI155" s="57"/>
      <c r="AK155" s="108"/>
      <c r="AL155" s="57"/>
      <c r="AM155" s="57">
        <v>2100</v>
      </c>
      <c r="AN155" s="108"/>
      <c r="AO155" s="57"/>
    </row>
    <row r="156" spans="4:41" ht="12.75">
      <c r="D156" s="123"/>
      <c r="G156" s="57"/>
      <c r="Z156" s="57"/>
      <c r="AC156" s="57"/>
      <c r="AF156" s="57"/>
      <c r="AI156" s="57"/>
      <c r="AK156" s="108"/>
      <c r="AL156" s="57"/>
      <c r="AM156" s="57">
        <v>14100</v>
      </c>
      <c r="AN156" s="108"/>
      <c r="AO156" s="57"/>
    </row>
    <row r="157" spans="4:41" ht="12.75">
      <c r="D157" s="123"/>
      <c r="G157" s="57"/>
      <c r="Z157" s="57"/>
      <c r="AC157" s="57"/>
      <c r="AF157" s="57"/>
      <c r="AI157" s="57"/>
      <c r="AK157" s="108"/>
      <c r="AL157" s="57"/>
      <c r="AM157" s="57">
        <v>200</v>
      </c>
      <c r="AN157" s="108"/>
      <c r="AO157" s="57"/>
    </row>
    <row r="158" spans="4:41" ht="12.75">
      <c r="D158" s="123"/>
      <c r="G158" s="57"/>
      <c r="Z158" s="57"/>
      <c r="AC158" s="57"/>
      <c r="AF158" s="57"/>
      <c r="AI158" s="57"/>
      <c r="AK158" s="108"/>
      <c r="AL158" s="57"/>
      <c r="AN158" s="175">
        <v>14300</v>
      </c>
      <c r="AO158" s="57"/>
    </row>
    <row r="159" spans="4:41" ht="12.75">
      <c r="D159" s="123"/>
      <c r="G159" s="57"/>
      <c r="Z159" s="57"/>
      <c r="AC159" s="57"/>
      <c r="AF159" s="57"/>
      <c r="AI159" s="57"/>
      <c r="AK159" s="108"/>
      <c r="AL159" s="57"/>
      <c r="AM159" s="57">
        <v>6000</v>
      </c>
      <c r="AN159" s="108"/>
      <c r="AO159" s="57"/>
    </row>
    <row r="160" spans="4:41" ht="12.75">
      <c r="D160" s="123"/>
      <c r="G160" s="57"/>
      <c r="Z160" s="57"/>
      <c r="AC160" s="57"/>
      <c r="AF160" s="57"/>
      <c r="AI160" s="57"/>
      <c r="AK160" s="108"/>
      <c r="AL160" s="57"/>
      <c r="AM160" s="57">
        <v>4600</v>
      </c>
      <c r="AN160" s="108"/>
      <c r="AO160" s="57"/>
    </row>
    <row r="161" spans="4:41" ht="12.75">
      <c r="D161" s="123"/>
      <c r="G161" s="57"/>
      <c r="Z161" s="57"/>
      <c r="AC161" s="57"/>
      <c r="AF161" s="57"/>
      <c r="AI161" s="57"/>
      <c r="AK161" s="108"/>
      <c r="AL161" s="57"/>
      <c r="AN161" s="175">
        <v>15000</v>
      </c>
      <c r="AO161" s="57"/>
    </row>
    <row r="162" spans="4:41" ht="12.75">
      <c r="D162" s="123"/>
      <c r="G162" s="57"/>
      <c r="Z162" s="57"/>
      <c r="AC162" s="57"/>
      <c r="AF162" s="57"/>
      <c r="AI162" s="57"/>
      <c r="AK162" s="108"/>
      <c r="AL162" s="57"/>
      <c r="AM162" s="57">
        <v>3000</v>
      </c>
      <c r="AN162" s="108"/>
      <c r="AO162" s="57"/>
    </row>
    <row r="163" spans="4:41" ht="12.75">
      <c r="D163" s="123"/>
      <c r="G163" s="57"/>
      <c r="Z163" s="57"/>
      <c r="AC163" s="57"/>
      <c r="AF163" s="57"/>
      <c r="AI163" s="57"/>
      <c r="AK163" s="108"/>
      <c r="AL163" s="57"/>
      <c r="AM163" s="57">
        <v>15000</v>
      </c>
      <c r="AN163" s="108"/>
      <c r="AO163" s="57"/>
    </row>
    <row r="164" spans="4:41" ht="12.75">
      <c r="D164" s="123"/>
      <c r="G164" s="57"/>
      <c r="Z164" s="57"/>
      <c r="AC164" s="57"/>
      <c r="AF164" s="57"/>
      <c r="AI164" s="57"/>
      <c r="AK164" s="108"/>
      <c r="AL164" s="57"/>
      <c r="AN164" s="175">
        <v>10000</v>
      </c>
      <c r="AO164" s="57"/>
    </row>
    <row r="165" spans="4:41" ht="12.75">
      <c r="D165" s="123"/>
      <c r="G165" s="57"/>
      <c r="Z165" s="57"/>
      <c r="AC165" s="57"/>
      <c r="AF165" s="57"/>
      <c r="AI165" s="57"/>
      <c r="AK165" s="108"/>
      <c r="AL165" s="57"/>
      <c r="AM165" s="57">
        <v>10000</v>
      </c>
      <c r="AN165" s="175"/>
      <c r="AO165" s="57"/>
    </row>
    <row r="166" spans="4:41" ht="12.75">
      <c r="D166" s="123"/>
      <c r="G166" s="57"/>
      <c r="Z166" s="57"/>
      <c r="AC166" s="57"/>
      <c r="AF166" s="57"/>
      <c r="AI166" s="57"/>
      <c r="AK166" s="108"/>
      <c r="AL166" s="57"/>
      <c r="AM166" s="57">
        <v>700</v>
      </c>
      <c r="AN166" s="175"/>
      <c r="AO166" s="57"/>
    </row>
    <row r="167" spans="4:41" ht="12.75">
      <c r="D167" s="123"/>
      <c r="G167" s="57"/>
      <c r="Z167" s="57"/>
      <c r="AC167" s="57"/>
      <c r="AF167" s="57"/>
      <c r="AI167" s="57"/>
      <c r="AK167" s="108"/>
      <c r="AL167" s="57"/>
      <c r="AN167" s="175"/>
      <c r="AO167" s="57"/>
    </row>
    <row r="168" spans="4:41" ht="12.75">
      <c r="D168" s="123"/>
      <c r="G168" s="57"/>
      <c r="Z168" s="57"/>
      <c r="AC168" s="57"/>
      <c r="AF168" s="57"/>
      <c r="AI168" s="57"/>
      <c r="AL168" s="57"/>
      <c r="AM168" s="108">
        <f>SUM(AM152:AM167)</f>
        <v>374962</v>
      </c>
      <c r="AN168" s="108">
        <f>SUM(AN152:AN167)</f>
        <v>39300</v>
      </c>
      <c r="AO168" s="57"/>
    </row>
    <row r="169" spans="4:41" ht="13.5" customHeight="1">
      <c r="D169" s="123"/>
      <c r="G169" s="57"/>
      <c r="Z169" s="57"/>
      <c r="AC169" s="57"/>
      <c r="AF169" s="57"/>
      <c r="AI169" s="57"/>
      <c r="AL169" s="57"/>
      <c r="AO169" s="57"/>
    </row>
    <row r="170" spans="4:36" ht="12.75">
      <c r="D170" s="123"/>
      <c r="G170" s="57">
        <v>944688</v>
      </c>
      <c r="I170" s="57">
        <v>2000</v>
      </c>
      <c r="W170" s="57"/>
      <c r="AI170" s="57"/>
      <c r="AJ170"/>
    </row>
    <row r="171" spans="4:39" ht="12.75">
      <c r="D171" s="123"/>
      <c r="G171" s="57">
        <v>-806739</v>
      </c>
      <c r="I171" s="57">
        <v>3500</v>
      </c>
      <c r="W171" s="57"/>
      <c r="AI171" s="57"/>
      <c r="AJ171"/>
      <c r="AM171"/>
    </row>
    <row r="172" spans="4:35" ht="12.75">
      <c r="D172" s="123"/>
      <c r="G172" s="108">
        <f>SUM(G151:G171)</f>
        <v>175643</v>
      </c>
      <c r="I172" s="57">
        <v>300</v>
      </c>
      <c r="J172" s="108"/>
      <c r="M172" s="108"/>
      <c r="P172" s="108"/>
      <c r="S172" s="108"/>
      <c r="V172" s="108"/>
      <c r="W172" s="57"/>
      <c r="Y172" s="108"/>
      <c r="Z172" s="57"/>
      <c r="AB172" s="108"/>
      <c r="AC172" s="57"/>
      <c r="AE172" s="108"/>
      <c r="AF172" s="57"/>
      <c r="AH172" s="108"/>
      <c r="AI172" s="175"/>
    </row>
    <row r="173" spans="4:35" ht="12.75">
      <c r="D173" s="123"/>
      <c r="I173" s="57">
        <v>-3205824</v>
      </c>
      <c r="W173" s="57"/>
      <c r="Z173" s="57"/>
      <c r="AC173" s="57"/>
      <c r="AF173" s="57"/>
      <c r="AI173" s="108"/>
    </row>
    <row r="174" spans="4:35" ht="12.75">
      <c r="D174" s="123"/>
      <c r="I174" s="57">
        <v>-952885</v>
      </c>
      <c r="Z174" s="57"/>
      <c r="AC174" s="57"/>
      <c r="AF174" s="57"/>
      <c r="AI174" s="57"/>
    </row>
    <row r="175" spans="4:35" ht="12.75">
      <c r="D175" s="123"/>
      <c r="I175" s="108">
        <f>SUM(I151:I174)</f>
        <v>-4146709</v>
      </c>
      <c r="L175" s="108"/>
      <c r="O175" s="108"/>
      <c r="R175" s="108"/>
      <c r="U175" s="108"/>
      <c r="X175" s="108" t="s">
        <v>320</v>
      </c>
      <c r="Z175" s="57"/>
      <c r="AA175" s="108"/>
      <c r="AC175" s="57"/>
      <c r="AD175" s="108"/>
      <c r="AF175" s="57"/>
      <c r="AG175" s="108"/>
      <c r="AI175" s="175"/>
    </row>
    <row r="176" spans="4:35" ht="12.75">
      <c r="D176" s="123"/>
      <c r="Z176" s="57"/>
      <c r="AC176" s="57"/>
      <c r="AF176" s="57"/>
      <c r="AI176" s="57"/>
    </row>
    <row r="177" ht="12.75">
      <c r="D177" s="123"/>
    </row>
    <row r="178" spans="4:41" ht="12.75">
      <c r="D178" s="123"/>
      <c r="H178" s="57"/>
      <c r="K178" s="57"/>
      <c r="N178" s="57"/>
      <c r="Q178" s="57"/>
      <c r="T178" s="57"/>
      <c r="W178" s="57"/>
      <c r="Z178" s="57"/>
      <c r="AC178" s="57"/>
      <c r="AF178" s="57"/>
      <c r="AI178" s="57"/>
      <c r="AL178" s="57"/>
      <c r="AO178" s="57"/>
    </row>
    <row r="179" ht="12.75">
      <c r="D179" s="123"/>
    </row>
    <row r="180" spans="4:39" ht="12.75">
      <c r="D180" s="123"/>
      <c r="AG180" s="108"/>
      <c r="AJ180" s="108"/>
      <c r="AM180" s="108"/>
    </row>
    <row r="181" ht="12.75">
      <c r="D181" s="123"/>
    </row>
    <row r="182" ht="12.75">
      <c r="D182" s="122"/>
    </row>
    <row r="195" ht="12.75">
      <c r="E195" s="58"/>
    </row>
    <row r="196" ht="12.75">
      <c r="E196" s="58"/>
    </row>
  </sheetData>
  <mergeCells count="8">
    <mergeCell ref="H7:H8"/>
    <mergeCell ref="AO7:AO8"/>
    <mergeCell ref="AP7:AQ7"/>
    <mergeCell ref="A6:D6"/>
    <mergeCell ref="A7:A8"/>
    <mergeCell ref="B7:B8"/>
    <mergeCell ref="C7:C8"/>
    <mergeCell ref="D7:D8"/>
  </mergeCells>
  <printOptions horizontalCentered="1"/>
  <pageMargins left="0.4724409448818898" right="0.4330708661417323" top="0.7874015748031497" bottom="0.6692913385826772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9"/>
  <sheetViews>
    <sheetView workbookViewId="0" topLeftCell="A1">
      <selection activeCell="M384" sqref="M384"/>
    </sheetView>
  </sheetViews>
  <sheetFormatPr defaultColWidth="9.00390625" defaultRowHeight="12.75"/>
  <cols>
    <col min="1" max="1" width="4.375" style="6" customWidth="1"/>
    <col min="2" max="2" width="7.125" style="6" bestFit="1" customWidth="1"/>
    <col min="3" max="3" width="5.00390625" style="6" bestFit="1" customWidth="1"/>
    <col min="4" max="4" width="29.125" style="6" customWidth="1"/>
    <col min="5" max="5" width="11.25390625" style="29" hidden="1" customWidth="1"/>
    <col min="6" max="6" width="21.00390625" style="115" hidden="1" customWidth="1"/>
    <col min="7" max="7" width="13.125" style="116" hidden="1" customWidth="1"/>
    <col min="8" max="8" width="12.25390625" style="57" bestFit="1" customWidth="1"/>
    <col min="9" max="9" width="12.75390625" style="179" bestFit="1" customWidth="1"/>
    <col min="10" max="10" width="13.00390625" style="179" customWidth="1"/>
    <col min="11" max="11" width="7.125" style="188" customWidth="1"/>
  </cols>
  <sheetData>
    <row r="1" spans="1:10" ht="12.75">
      <c r="A1" s="156"/>
      <c r="B1" s="156"/>
      <c r="C1" s="156"/>
      <c r="D1" s="156"/>
      <c r="E1" s="121"/>
      <c r="F1" s="65" t="s">
        <v>235</v>
      </c>
      <c r="G1" s="65"/>
      <c r="H1" s="65"/>
      <c r="J1" s="180" t="s">
        <v>235</v>
      </c>
    </row>
    <row r="2" spans="1:10" ht="12.75">
      <c r="A2" s="156"/>
      <c r="B2" s="156"/>
      <c r="C2" s="156"/>
      <c r="D2" s="156"/>
      <c r="E2" s="121"/>
      <c r="F2" s="65" t="s">
        <v>265</v>
      </c>
      <c r="G2" s="65"/>
      <c r="H2" s="65"/>
      <c r="J2" s="180" t="s">
        <v>378</v>
      </c>
    </row>
    <row r="3" spans="1:10" ht="12.75">
      <c r="A3" s="156"/>
      <c r="B3" s="156"/>
      <c r="C3" s="156"/>
      <c r="D3" s="156"/>
      <c r="E3" s="121"/>
      <c r="F3" s="65" t="s">
        <v>172</v>
      </c>
      <c r="G3" s="65"/>
      <c r="H3" s="65"/>
      <c r="J3" s="180" t="s">
        <v>379</v>
      </c>
    </row>
    <row r="4" spans="1:10" ht="12.75">
      <c r="A4" s="156"/>
      <c r="B4" s="156"/>
      <c r="C4" s="156"/>
      <c r="D4" s="156"/>
      <c r="E4" s="121"/>
      <c r="F4" s="65" t="s">
        <v>266</v>
      </c>
      <c r="G4" s="65"/>
      <c r="H4" s="65"/>
      <c r="J4" s="180" t="s">
        <v>380</v>
      </c>
    </row>
    <row r="5" spans="1:8" ht="12.75">
      <c r="A5" s="156"/>
      <c r="B5" s="156"/>
      <c r="C5" s="156"/>
      <c r="D5" s="156"/>
      <c r="E5" s="121"/>
      <c r="F5" s="121"/>
      <c r="G5" s="125"/>
      <c r="H5" s="159"/>
    </row>
    <row r="6" spans="1:8" ht="21" customHeight="1">
      <c r="A6" s="242" t="s">
        <v>388</v>
      </c>
      <c r="B6" s="242"/>
      <c r="C6" s="242"/>
      <c r="D6" s="242"/>
      <c r="E6" s="115"/>
      <c r="G6" s="125"/>
      <c r="H6" s="159"/>
    </row>
    <row r="7" spans="1:11" ht="12.75">
      <c r="A7" s="243" t="s">
        <v>0</v>
      </c>
      <c r="B7" s="243" t="s">
        <v>1</v>
      </c>
      <c r="C7" s="239" t="s">
        <v>2</v>
      </c>
      <c r="D7" s="239" t="s">
        <v>3</v>
      </c>
      <c r="E7" s="185"/>
      <c r="F7" s="185"/>
      <c r="G7" s="199"/>
      <c r="H7" s="240" t="s">
        <v>372</v>
      </c>
      <c r="I7" s="241" t="s">
        <v>278</v>
      </c>
      <c r="J7" s="237" t="s">
        <v>374</v>
      </c>
      <c r="K7" s="237"/>
    </row>
    <row r="8" spans="1:11" ht="18.75" customHeight="1">
      <c r="A8" s="243"/>
      <c r="B8" s="243"/>
      <c r="C8" s="239"/>
      <c r="D8" s="239"/>
      <c r="E8" s="7" t="s">
        <v>163</v>
      </c>
      <c r="F8" s="7" t="s">
        <v>256</v>
      </c>
      <c r="G8" s="126" t="s">
        <v>257</v>
      </c>
      <c r="H8" s="240"/>
      <c r="I8" s="241"/>
      <c r="J8" s="205" t="s">
        <v>375</v>
      </c>
      <c r="K8" s="189" t="s">
        <v>376</v>
      </c>
    </row>
    <row r="9" spans="1:11" s="9" customFormat="1" ht="19.5" customHeight="1">
      <c r="A9" s="194" t="s">
        <v>4</v>
      </c>
      <c r="B9" s="195"/>
      <c r="C9" s="196"/>
      <c r="D9" s="197" t="s">
        <v>5</v>
      </c>
      <c r="E9" s="198">
        <f>SUM(E10)</f>
        <v>8766</v>
      </c>
      <c r="F9" s="59">
        <f aca="true" t="shared" si="0" ref="F9:H10">SUM(F10)</f>
        <v>0</v>
      </c>
      <c r="G9" s="59">
        <f t="shared" si="0"/>
        <v>0</v>
      </c>
      <c r="H9" s="59">
        <f t="shared" si="0"/>
        <v>8766</v>
      </c>
      <c r="I9" s="201">
        <f>SUM(I10)</f>
        <v>8926</v>
      </c>
      <c r="J9" s="201">
        <f>SUM(J10)</f>
        <v>8923</v>
      </c>
      <c r="K9" s="206">
        <f>J9/I9*100</f>
        <v>99.96639032041227</v>
      </c>
    </row>
    <row r="10" spans="1:11" s="24" customFormat="1" ht="19.5" customHeight="1">
      <c r="A10" s="78"/>
      <c r="B10" s="77" t="s">
        <v>83</v>
      </c>
      <c r="C10" s="88"/>
      <c r="D10" s="12" t="s">
        <v>84</v>
      </c>
      <c r="E10" s="76">
        <f>SUM(E11)</f>
        <v>8766</v>
      </c>
      <c r="F10" s="90">
        <f t="shared" si="0"/>
        <v>0</v>
      </c>
      <c r="G10" s="90">
        <f t="shared" si="0"/>
        <v>0</v>
      </c>
      <c r="H10" s="90">
        <f t="shared" si="0"/>
        <v>8766</v>
      </c>
      <c r="I10" s="202">
        <f>SUM(I11)</f>
        <v>8926</v>
      </c>
      <c r="J10" s="202">
        <f>SUM(J11)</f>
        <v>8923</v>
      </c>
      <c r="K10" s="207">
        <f>J10/I10*100</f>
        <v>99.96639032041227</v>
      </c>
    </row>
    <row r="11" spans="1:11" s="24" customFormat="1" ht="36">
      <c r="A11" s="82"/>
      <c r="B11" s="81"/>
      <c r="C11" s="88">
        <v>2850</v>
      </c>
      <c r="D11" s="12" t="s">
        <v>390</v>
      </c>
      <c r="E11" s="76">
        <v>8766</v>
      </c>
      <c r="F11" s="90"/>
      <c r="G11" s="90"/>
      <c r="H11" s="90">
        <f>SUM(E11+F11-G11)</f>
        <v>8766</v>
      </c>
      <c r="I11" s="202">
        <v>8926</v>
      </c>
      <c r="J11" s="155">
        <v>8923</v>
      </c>
      <c r="K11" s="207">
        <f aca="true" t="shared" si="1" ref="K11:K73">J11/I11*100</f>
        <v>99.96639032041227</v>
      </c>
    </row>
    <row r="12" spans="1:11" s="5" customFormat="1" ht="19.5" customHeight="1">
      <c r="A12" s="33" t="s">
        <v>87</v>
      </c>
      <c r="B12" s="4"/>
      <c r="C12" s="3"/>
      <c r="D12" s="19" t="s">
        <v>88</v>
      </c>
      <c r="E12" s="66">
        <f>SUM(E17)</f>
        <v>896621</v>
      </c>
      <c r="F12" s="66">
        <f>SUM(F17)</f>
        <v>240000</v>
      </c>
      <c r="G12" s="66">
        <f>SUM(G17)</f>
        <v>0</v>
      </c>
      <c r="H12" s="66">
        <f>SUM(H17,H13,H15,)</f>
        <v>1136621</v>
      </c>
      <c r="I12" s="128">
        <f>SUM(I17,I13,I15,)</f>
        <v>1076616</v>
      </c>
      <c r="J12" s="128">
        <f>SUM(J17,J13,J15,)</f>
        <v>1066735</v>
      </c>
      <c r="K12" s="208">
        <f t="shared" si="1"/>
        <v>99.08221687212524</v>
      </c>
    </row>
    <row r="13" spans="1:11" s="24" customFormat="1" ht="19.5" customHeight="1">
      <c r="A13" s="78"/>
      <c r="B13" s="84">
        <v>60013</v>
      </c>
      <c r="C13" s="55"/>
      <c r="D13" s="12" t="s">
        <v>301</v>
      </c>
      <c r="E13" s="76"/>
      <c r="F13" s="76"/>
      <c r="G13" s="76"/>
      <c r="H13" s="76">
        <f>SUM(H14)</f>
        <v>0</v>
      </c>
      <c r="I13" s="202">
        <f>SUM(I14)</f>
        <v>72500</v>
      </c>
      <c r="J13" s="202">
        <f>SUM(J14)</f>
        <v>72500</v>
      </c>
      <c r="K13" s="207">
        <f t="shared" si="1"/>
        <v>100</v>
      </c>
    </row>
    <row r="14" spans="1:11" s="24" customFormat="1" ht="66" customHeight="1">
      <c r="A14" s="78"/>
      <c r="B14" s="84"/>
      <c r="C14" s="55">
        <v>6300</v>
      </c>
      <c r="D14" s="12" t="s">
        <v>302</v>
      </c>
      <c r="E14" s="76"/>
      <c r="F14" s="76"/>
      <c r="G14" s="76"/>
      <c r="H14" s="76">
        <v>0</v>
      </c>
      <c r="I14" s="202">
        <v>72500</v>
      </c>
      <c r="J14" s="155">
        <v>72500</v>
      </c>
      <c r="K14" s="207">
        <f t="shared" si="1"/>
        <v>100</v>
      </c>
    </row>
    <row r="15" spans="1:11" s="24" customFormat="1" ht="19.5" customHeight="1">
      <c r="A15" s="78"/>
      <c r="B15" s="84">
        <v>60014</v>
      </c>
      <c r="C15" s="55"/>
      <c r="D15" s="12" t="s">
        <v>346</v>
      </c>
      <c r="E15" s="76"/>
      <c r="F15" s="76"/>
      <c r="G15" s="76"/>
      <c r="H15" s="76">
        <f>SUM(H16)</f>
        <v>0</v>
      </c>
      <c r="I15" s="202">
        <f>SUM(I16)</f>
        <v>34500</v>
      </c>
      <c r="J15" s="202">
        <f>SUM(J16)</f>
        <v>34500</v>
      </c>
      <c r="K15" s="207">
        <f t="shared" si="1"/>
        <v>100</v>
      </c>
    </row>
    <row r="16" spans="1:11" s="24" customFormat="1" ht="66" customHeight="1">
      <c r="A16" s="78"/>
      <c r="B16" s="84"/>
      <c r="C16" s="55">
        <v>6300</v>
      </c>
      <c r="D16" s="12" t="s">
        <v>302</v>
      </c>
      <c r="E16" s="76"/>
      <c r="F16" s="76"/>
      <c r="G16" s="76"/>
      <c r="H16" s="76">
        <v>0</v>
      </c>
      <c r="I16" s="202">
        <v>34500</v>
      </c>
      <c r="J16" s="155">
        <v>34500</v>
      </c>
      <c r="K16" s="207">
        <f t="shared" si="1"/>
        <v>100</v>
      </c>
    </row>
    <row r="17" spans="1:11" s="24" customFormat="1" ht="19.5" customHeight="1">
      <c r="A17" s="78"/>
      <c r="B17" s="77" t="s">
        <v>89</v>
      </c>
      <c r="C17" s="55"/>
      <c r="D17" s="12" t="s">
        <v>90</v>
      </c>
      <c r="E17" s="76">
        <f aca="true" t="shared" si="2" ref="E17:J17">SUM(E18:E22)</f>
        <v>896621</v>
      </c>
      <c r="F17" s="76">
        <f t="shared" si="2"/>
        <v>240000</v>
      </c>
      <c r="G17" s="76">
        <f t="shared" si="2"/>
        <v>0</v>
      </c>
      <c r="H17" s="76">
        <f t="shared" si="2"/>
        <v>1136621</v>
      </c>
      <c r="I17" s="202">
        <f t="shared" si="2"/>
        <v>969616</v>
      </c>
      <c r="J17" s="202">
        <f t="shared" si="2"/>
        <v>959735</v>
      </c>
      <c r="K17" s="207">
        <f t="shared" si="1"/>
        <v>98.9809367832214</v>
      </c>
    </row>
    <row r="18" spans="1:11" s="24" customFormat="1" ht="19.5" customHeight="1">
      <c r="A18" s="78"/>
      <c r="B18" s="84"/>
      <c r="C18" s="78">
        <v>4210</v>
      </c>
      <c r="D18" s="12" t="s">
        <v>85</v>
      </c>
      <c r="E18" s="76">
        <v>26175</v>
      </c>
      <c r="F18" s="90"/>
      <c r="G18" s="90"/>
      <c r="H18" s="90">
        <f>SUM(E18+F18-G18)</f>
        <v>26175</v>
      </c>
      <c r="I18" s="202">
        <v>31152</v>
      </c>
      <c r="J18" s="155">
        <v>29566</v>
      </c>
      <c r="K18" s="207">
        <f t="shared" si="1"/>
        <v>94.90883410374936</v>
      </c>
    </row>
    <row r="19" spans="1:11" s="24" customFormat="1" ht="19.5" customHeight="1">
      <c r="A19" s="78"/>
      <c r="B19" s="84"/>
      <c r="C19" s="78">
        <v>4270</v>
      </c>
      <c r="D19" s="12" t="s">
        <v>91</v>
      </c>
      <c r="E19" s="76">
        <f>25000+20000+100000-50000</f>
        <v>95000</v>
      </c>
      <c r="F19" s="90">
        <v>40000</v>
      </c>
      <c r="G19" s="90"/>
      <c r="H19" s="90">
        <f aca="true" t="shared" si="3" ref="H19:H92">SUM(E19+F19-G19)</f>
        <v>135000</v>
      </c>
      <c r="I19" s="202">
        <v>111500</v>
      </c>
      <c r="J19" s="155">
        <v>111493</v>
      </c>
      <c r="K19" s="207">
        <f t="shared" si="1"/>
        <v>99.99372197309417</v>
      </c>
    </row>
    <row r="20" spans="1:11" s="24" customFormat="1" ht="19.5" customHeight="1">
      <c r="A20" s="78"/>
      <c r="B20" s="84"/>
      <c r="C20" s="78">
        <v>4300</v>
      </c>
      <c r="D20" s="12" t="s">
        <v>92</v>
      </c>
      <c r="E20" s="76">
        <f>40103+25000+40000+40000</f>
        <v>145103</v>
      </c>
      <c r="F20" s="90"/>
      <c r="G20" s="90"/>
      <c r="H20" s="90">
        <f t="shared" si="3"/>
        <v>145103</v>
      </c>
      <c r="I20" s="202">
        <v>180215</v>
      </c>
      <c r="J20" s="155">
        <v>171928</v>
      </c>
      <c r="K20" s="207">
        <f t="shared" si="1"/>
        <v>95.40160364009655</v>
      </c>
    </row>
    <row r="21" spans="1:11" s="24" customFormat="1" ht="24">
      <c r="A21" s="78"/>
      <c r="B21" s="84"/>
      <c r="C21" s="78">
        <v>6050</v>
      </c>
      <c r="D21" s="12" t="s">
        <v>86</v>
      </c>
      <c r="E21" s="76">
        <f>30343+600000</f>
        <v>630343</v>
      </c>
      <c r="F21" s="90"/>
      <c r="G21" s="90"/>
      <c r="H21" s="90">
        <f t="shared" si="3"/>
        <v>630343</v>
      </c>
      <c r="I21" s="202">
        <v>646749</v>
      </c>
      <c r="J21" s="155">
        <v>646748</v>
      </c>
      <c r="K21" s="207">
        <f t="shared" si="1"/>
        <v>99.99984538051083</v>
      </c>
    </row>
    <row r="22" spans="1:11" s="24" customFormat="1" ht="21.75" customHeight="1">
      <c r="A22" s="78"/>
      <c r="B22" s="84"/>
      <c r="C22" s="78">
        <v>6800</v>
      </c>
      <c r="D22" s="12" t="s">
        <v>262</v>
      </c>
      <c r="E22" s="76">
        <v>0</v>
      </c>
      <c r="F22" s="90">
        <v>200000</v>
      </c>
      <c r="G22" s="90"/>
      <c r="H22" s="90">
        <f>SUM(E22+F22-G22)</f>
        <v>200000</v>
      </c>
      <c r="I22" s="202">
        <v>0</v>
      </c>
      <c r="J22" s="155">
        <v>0</v>
      </c>
      <c r="K22" s="207">
        <v>0</v>
      </c>
    </row>
    <row r="23" spans="1:11" s="5" customFormat="1" ht="19.5" customHeight="1">
      <c r="A23" s="33" t="s">
        <v>11</v>
      </c>
      <c r="B23" s="4"/>
      <c r="C23" s="3"/>
      <c r="D23" s="19" t="s">
        <v>12</v>
      </c>
      <c r="E23" s="66">
        <f>SUM(E26,E30,E34,)</f>
        <v>592300</v>
      </c>
      <c r="F23" s="66">
        <f>SUM(F26,F30,F34,)</f>
        <v>3200</v>
      </c>
      <c r="G23" s="66">
        <f>SUM(G26,G30,G34,)</f>
        <v>0</v>
      </c>
      <c r="H23" s="66">
        <f>SUM(H26,H30,H34,H24)</f>
        <v>595500</v>
      </c>
      <c r="I23" s="128">
        <f>SUM(I26,I30,I34,I24)</f>
        <v>717790</v>
      </c>
      <c r="J23" s="128">
        <f>SUM(J26,J30,J34,J24)</f>
        <v>668475</v>
      </c>
      <c r="K23" s="208">
        <f t="shared" si="1"/>
        <v>93.12960615221722</v>
      </c>
    </row>
    <row r="24" spans="1:11" s="24" customFormat="1" ht="24">
      <c r="A24" s="78"/>
      <c r="B24" s="84">
        <v>70004</v>
      </c>
      <c r="C24" s="55"/>
      <c r="D24" s="12" t="s">
        <v>276</v>
      </c>
      <c r="E24" s="76"/>
      <c r="F24" s="76"/>
      <c r="G24" s="76"/>
      <c r="H24" s="76">
        <f>SUM(H25)</f>
        <v>0</v>
      </c>
      <c r="I24" s="203">
        <f>SUM(I25)</f>
        <v>44970</v>
      </c>
      <c r="J24" s="203">
        <f>SUM(J25)</f>
        <v>17924</v>
      </c>
      <c r="K24" s="207">
        <f t="shared" si="1"/>
        <v>39.857682899710916</v>
      </c>
    </row>
    <row r="25" spans="1:11" s="24" customFormat="1" ht="19.5" customHeight="1">
      <c r="A25" s="78"/>
      <c r="B25" s="84"/>
      <c r="C25" s="55">
        <v>4300</v>
      </c>
      <c r="D25" s="12" t="s">
        <v>92</v>
      </c>
      <c r="E25" s="76"/>
      <c r="F25" s="76"/>
      <c r="G25" s="76"/>
      <c r="H25" s="76">
        <v>0</v>
      </c>
      <c r="I25" s="202">
        <v>44970</v>
      </c>
      <c r="J25" s="155">
        <v>17924</v>
      </c>
      <c r="K25" s="207">
        <f t="shared" si="1"/>
        <v>39.857682899710916</v>
      </c>
    </row>
    <row r="26" spans="1:11" s="24" customFormat="1" ht="19.5" customHeight="1">
      <c r="A26" s="78"/>
      <c r="B26" s="77" t="s">
        <v>13</v>
      </c>
      <c r="C26" s="55"/>
      <c r="D26" s="12" t="s">
        <v>174</v>
      </c>
      <c r="E26" s="76">
        <f>SUM(E28:E29)</f>
        <v>115000</v>
      </c>
      <c r="F26" s="76">
        <f>SUM(F28:F29)</f>
        <v>3200</v>
      </c>
      <c r="G26" s="76">
        <f>SUM(G28:G29)</f>
        <v>0</v>
      </c>
      <c r="H26" s="76">
        <f>SUM(H28:H29)</f>
        <v>118200</v>
      </c>
      <c r="I26" s="202">
        <f>SUM(I27:I29)</f>
        <v>118200</v>
      </c>
      <c r="J26" s="202">
        <f>SUM(J27:J29)</f>
        <v>97412</v>
      </c>
      <c r="K26" s="207">
        <f t="shared" si="1"/>
        <v>82.41285956006769</v>
      </c>
    </row>
    <row r="27" spans="1:11" s="24" customFormat="1" ht="19.5" customHeight="1">
      <c r="A27" s="78"/>
      <c r="B27" s="77"/>
      <c r="C27" s="55">
        <v>4260</v>
      </c>
      <c r="D27" s="12" t="s">
        <v>108</v>
      </c>
      <c r="E27" s="76"/>
      <c r="F27" s="76"/>
      <c r="G27" s="76"/>
      <c r="H27" s="76">
        <v>0</v>
      </c>
      <c r="I27" s="202">
        <v>900</v>
      </c>
      <c r="J27" s="155">
        <v>655</v>
      </c>
      <c r="K27" s="207">
        <f t="shared" si="1"/>
        <v>72.77777777777777</v>
      </c>
    </row>
    <row r="28" spans="1:11" s="24" customFormat="1" ht="19.5" customHeight="1">
      <c r="A28" s="78"/>
      <c r="B28" s="77"/>
      <c r="C28" s="55">
        <v>4510</v>
      </c>
      <c r="D28" s="12" t="s">
        <v>171</v>
      </c>
      <c r="E28" s="76">
        <v>3500</v>
      </c>
      <c r="F28" s="90">
        <v>3200</v>
      </c>
      <c r="G28" s="90"/>
      <c r="H28" s="90">
        <f t="shared" si="3"/>
        <v>6700</v>
      </c>
      <c r="I28" s="202">
        <v>7750</v>
      </c>
      <c r="J28" s="155">
        <v>7744</v>
      </c>
      <c r="K28" s="207">
        <f t="shared" si="1"/>
        <v>99.92258064516129</v>
      </c>
    </row>
    <row r="29" spans="1:11" s="24" customFormat="1" ht="19.5" customHeight="1">
      <c r="A29" s="78"/>
      <c r="B29" s="84"/>
      <c r="C29" s="78">
        <v>4300</v>
      </c>
      <c r="D29" s="12" t="s">
        <v>92</v>
      </c>
      <c r="E29" s="76">
        <f>100000+10000+10000+1500-10000</f>
        <v>111500</v>
      </c>
      <c r="F29" s="90"/>
      <c r="G29" s="90"/>
      <c r="H29" s="90">
        <f t="shared" si="3"/>
        <v>111500</v>
      </c>
      <c r="I29" s="202">
        <v>109550</v>
      </c>
      <c r="J29" s="155">
        <v>89013</v>
      </c>
      <c r="K29" s="207">
        <f t="shared" si="1"/>
        <v>81.25330899132817</v>
      </c>
    </row>
    <row r="30" spans="1:11" s="24" customFormat="1" ht="24.75" customHeight="1">
      <c r="A30" s="78"/>
      <c r="B30" s="84">
        <v>70021</v>
      </c>
      <c r="C30" s="78"/>
      <c r="D30" s="12" t="s">
        <v>217</v>
      </c>
      <c r="E30" s="76">
        <f aca="true" t="shared" si="4" ref="E30:J30">SUM(E31:E33)</f>
        <v>425000</v>
      </c>
      <c r="F30" s="76">
        <f t="shared" si="4"/>
        <v>0</v>
      </c>
      <c r="G30" s="76">
        <f t="shared" si="4"/>
        <v>0</v>
      </c>
      <c r="H30" s="76">
        <f t="shared" si="4"/>
        <v>425000</v>
      </c>
      <c r="I30" s="202">
        <f t="shared" si="4"/>
        <v>433000</v>
      </c>
      <c r="J30" s="202">
        <f t="shared" si="4"/>
        <v>433000</v>
      </c>
      <c r="K30" s="207">
        <f t="shared" si="1"/>
        <v>100</v>
      </c>
    </row>
    <row r="31" spans="1:11" s="24" customFormat="1" ht="19.5" customHeight="1">
      <c r="A31" s="78"/>
      <c r="B31" s="84"/>
      <c r="C31" s="78">
        <v>4300</v>
      </c>
      <c r="D31" s="12" t="s">
        <v>92</v>
      </c>
      <c r="E31" s="76">
        <f>100000-50000</f>
        <v>50000</v>
      </c>
      <c r="F31" s="90"/>
      <c r="G31" s="90"/>
      <c r="H31" s="90">
        <f t="shared" si="3"/>
        <v>50000</v>
      </c>
      <c r="I31" s="202">
        <v>58000</v>
      </c>
      <c r="J31" s="155">
        <v>58000</v>
      </c>
      <c r="K31" s="207">
        <f t="shared" si="1"/>
        <v>100</v>
      </c>
    </row>
    <row r="32" spans="1:11" s="24" customFormat="1" ht="36">
      <c r="A32" s="78"/>
      <c r="B32" s="84"/>
      <c r="C32" s="78">
        <v>6010</v>
      </c>
      <c r="D32" s="12" t="s">
        <v>268</v>
      </c>
      <c r="E32" s="76"/>
      <c r="F32" s="90"/>
      <c r="G32" s="90"/>
      <c r="H32" s="90">
        <v>0</v>
      </c>
      <c r="I32" s="202">
        <v>375000</v>
      </c>
      <c r="J32" s="155">
        <v>375000</v>
      </c>
      <c r="K32" s="207">
        <f t="shared" si="1"/>
        <v>100</v>
      </c>
    </row>
    <row r="33" spans="1:11" s="24" customFormat="1" ht="24">
      <c r="A33" s="78"/>
      <c r="B33" s="84"/>
      <c r="C33" s="78">
        <v>6050</v>
      </c>
      <c r="D33" s="12" t="s">
        <v>86</v>
      </c>
      <c r="E33" s="76">
        <v>375000</v>
      </c>
      <c r="F33" s="90"/>
      <c r="G33" s="90"/>
      <c r="H33" s="90">
        <f t="shared" si="3"/>
        <v>375000</v>
      </c>
      <c r="I33" s="202">
        <v>0</v>
      </c>
      <c r="J33" s="155">
        <v>0</v>
      </c>
      <c r="K33" s="207">
        <v>0</v>
      </c>
    </row>
    <row r="34" spans="1:11" s="24" customFormat="1" ht="19.5" customHeight="1">
      <c r="A34" s="78"/>
      <c r="B34" s="77">
        <v>70095</v>
      </c>
      <c r="C34" s="55"/>
      <c r="D34" s="12" t="s">
        <v>6</v>
      </c>
      <c r="E34" s="76">
        <f>SUM(E36:E39)</f>
        <v>52300</v>
      </c>
      <c r="F34" s="76">
        <f>SUM(F36:F39)</f>
        <v>0</v>
      </c>
      <c r="G34" s="76">
        <f>SUM(G36:G39)</f>
        <v>0</v>
      </c>
      <c r="H34" s="76">
        <f>SUM(H36:H39)</f>
        <v>52300</v>
      </c>
      <c r="I34" s="202">
        <f>SUM(I35:I39)</f>
        <v>121620</v>
      </c>
      <c r="J34" s="202">
        <f>SUM(J35:J39)</f>
        <v>120139</v>
      </c>
      <c r="K34" s="207">
        <f t="shared" si="1"/>
        <v>98.78227265252426</v>
      </c>
    </row>
    <row r="35" spans="1:11" s="24" customFormat="1" ht="19.5" customHeight="1">
      <c r="A35" s="78"/>
      <c r="B35" s="77"/>
      <c r="C35" s="55">
        <v>4210</v>
      </c>
      <c r="D35" s="12" t="s">
        <v>85</v>
      </c>
      <c r="E35" s="76"/>
      <c r="F35" s="76"/>
      <c r="G35" s="76"/>
      <c r="H35" s="76">
        <v>0</v>
      </c>
      <c r="I35" s="202">
        <v>500</v>
      </c>
      <c r="J35" s="155">
        <v>494</v>
      </c>
      <c r="K35" s="207">
        <f t="shared" si="1"/>
        <v>98.8</v>
      </c>
    </row>
    <row r="36" spans="1:11" s="24" customFormat="1" ht="19.5" customHeight="1">
      <c r="A36" s="78"/>
      <c r="B36" s="77"/>
      <c r="C36" s="55">
        <v>4260</v>
      </c>
      <c r="D36" s="12" t="s">
        <v>108</v>
      </c>
      <c r="E36" s="76">
        <v>300</v>
      </c>
      <c r="F36" s="90"/>
      <c r="G36" s="90"/>
      <c r="H36" s="90">
        <f t="shared" si="3"/>
        <v>300</v>
      </c>
      <c r="I36" s="202">
        <v>400</v>
      </c>
      <c r="J36" s="155">
        <v>368</v>
      </c>
      <c r="K36" s="207">
        <f t="shared" si="1"/>
        <v>92</v>
      </c>
    </row>
    <row r="37" spans="1:11" s="24" customFormat="1" ht="19.5" customHeight="1">
      <c r="A37" s="78"/>
      <c r="B37" s="77"/>
      <c r="C37" s="55">
        <v>4300</v>
      </c>
      <c r="D37" s="12" t="s">
        <v>92</v>
      </c>
      <c r="E37" s="76">
        <v>2000</v>
      </c>
      <c r="F37" s="90"/>
      <c r="G37" s="90"/>
      <c r="H37" s="90">
        <f t="shared" si="3"/>
        <v>2000</v>
      </c>
      <c r="I37" s="202">
        <v>1500</v>
      </c>
      <c r="J37" s="155">
        <v>1500</v>
      </c>
      <c r="K37" s="207">
        <f t="shared" si="1"/>
        <v>100</v>
      </c>
    </row>
    <row r="38" spans="1:11" s="24" customFormat="1" ht="24">
      <c r="A38" s="78"/>
      <c r="B38" s="77"/>
      <c r="C38" s="55">
        <v>4590</v>
      </c>
      <c r="D38" s="12" t="s">
        <v>275</v>
      </c>
      <c r="E38" s="76"/>
      <c r="F38" s="90"/>
      <c r="G38" s="90"/>
      <c r="H38" s="90">
        <v>0</v>
      </c>
      <c r="I38" s="202">
        <v>24770</v>
      </c>
      <c r="J38" s="155">
        <v>23328</v>
      </c>
      <c r="K38" s="207">
        <f t="shared" si="1"/>
        <v>94.17844166330238</v>
      </c>
    </row>
    <row r="39" spans="1:11" s="24" customFormat="1" ht="21.75" customHeight="1">
      <c r="A39" s="78"/>
      <c r="B39" s="77"/>
      <c r="C39" s="78">
        <v>6050</v>
      </c>
      <c r="D39" s="12" t="s">
        <v>86</v>
      </c>
      <c r="E39" s="76">
        <f>100000-50000</f>
        <v>50000</v>
      </c>
      <c r="F39" s="90"/>
      <c r="G39" s="90"/>
      <c r="H39" s="90">
        <f t="shared" si="3"/>
        <v>50000</v>
      </c>
      <c r="I39" s="202">
        <v>94450</v>
      </c>
      <c r="J39" s="155">
        <v>94449</v>
      </c>
      <c r="K39" s="207">
        <f t="shared" si="1"/>
        <v>99.99894123875066</v>
      </c>
    </row>
    <row r="40" spans="1:11" s="5" customFormat="1" ht="19.5" customHeight="1">
      <c r="A40" s="33" t="s">
        <v>17</v>
      </c>
      <c r="B40" s="4"/>
      <c r="C40" s="3"/>
      <c r="D40" s="19" t="s">
        <v>93</v>
      </c>
      <c r="E40" s="66">
        <f>SUM(E41,E45)</f>
        <v>221050</v>
      </c>
      <c r="F40" s="66">
        <f>SUM(F41,F45)</f>
        <v>0</v>
      </c>
      <c r="G40" s="66">
        <f>SUM(G41,G45)</f>
        <v>100000</v>
      </c>
      <c r="H40" s="66">
        <f>SUM(H41,H45)</f>
        <v>121050</v>
      </c>
      <c r="I40" s="204">
        <f>SUM(I41,I45,)</f>
        <v>17022</v>
      </c>
      <c r="J40" s="204">
        <f>SUM(J41,J45,)</f>
        <v>15908</v>
      </c>
      <c r="K40" s="208">
        <f t="shared" si="1"/>
        <v>93.45552814005404</v>
      </c>
    </row>
    <row r="41" spans="1:11" s="24" customFormat="1" ht="25.5" customHeight="1">
      <c r="A41" s="78"/>
      <c r="B41" s="77" t="s">
        <v>94</v>
      </c>
      <c r="C41" s="55"/>
      <c r="D41" s="12" t="s">
        <v>95</v>
      </c>
      <c r="E41" s="76">
        <f aca="true" t="shared" si="5" ref="E41:J41">SUM(E42:E44)</f>
        <v>219200</v>
      </c>
      <c r="F41" s="76">
        <f t="shared" si="5"/>
        <v>0</v>
      </c>
      <c r="G41" s="76">
        <f t="shared" si="5"/>
        <v>100000</v>
      </c>
      <c r="H41" s="76">
        <f t="shared" si="5"/>
        <v>119200</v>
      </c>
      <c r="I41" s="202">
        <f t="shared" si="5"/>
        <v>14672</v>
      </c>
      <c r="J41" s="202">
        <f t="shared" si="5"/>
        <v>14117</v>
      </c>
      <c r="K41" s="207">
        <f t="shared" si="1"/>
        <v>96.21728462377317</v>
      </c>
    </row>
    <row r="42" spans="1:11" s="24" customFormat="1" ht="23.25" customHeight="1">
      <c r="A42" s="78"/>
      <c r="B42" s="77"/>
      <c r="C42" s="55">
        <v>3030</v>
      </c>
      <c r="D42" s="12" t="s">
        <v>102</v>
      </c>
      <c r="E42" s="76">
        <v>8200</v>
      </c>
      <c r="F42" s="90"/>
      <c r="G42" s="90"/>
      <c r="H42" s="90">
        <f t="shared" si="3"/>
        <v>8200</v>
      </c>
      <c r="I42" s="202">
        <v>0</v>
      </c>
      <c r="J42" s="155">
        <v>0</v>
      </c>
      <c r="K42" s="207">
        <v>0</v>
      </c>
    </row>
    <row r="43" spans="1:11" s="24" customFormat="1" ht="19.5" customHeight="1">
      <c r="A43" s="78"/>
      <c r="B43" s="77"/>
      <c r="C43" s="55">
        <v>4170</v>
      </c>
      <c r="D43" s="12" t="s">
        <v>249</v>
      </c>
      <c r="E43" s="76"/>
      <c r="F43" s="90"/>
      <c r="G43" s="90"/>
      <c r="H43" s="90">
        <v>0</v>
      </c>
      <c r="I43" s="202">
        <v>1500</v>
      </c>
      <c r="J43" s="155">
        <v>1400</v>
      </c>
      <c r="K43" s="207">
        <f t="shared" si="1"/>
        <v>93.33333333333333</v>
      </c>
    </row>
    <row r="44" spans="1:11" s="24" customFormat="1" ht="19.5" customHeight="1">
      <c r="A44" s="78"/>
      <c r="B44" s="77"/>
      <c r="C44" s="78">
        <v>4300</v>
      </c>
      <c r="D44" s="12" t="s">
        <v>92</v>
      </c>
      <c r="E44" s="76">
        <f>611000-400000</f>
        <v>211000</v>
      </c>
      <c r="F44" s="90"/>
      <c r="G44" s="90">
        <v>100000</v>
      </c>
      <c r="H44" s="90">
        <f t="shared" si="3"/>
        <v>111000</v>
      </c>
      <c r="I44" s="202">
        <v>13172</v>
      </c>
      <c r="J44" s="155">
        <v>12717</v>
      </c>
      <c r="K44" s="207">
        <f t="shared" si="1"/>
        <v>96.54570300637715</v>
      </c>
    </row>
    <row r="45" spans="1:11" s="24" customFormat="1" ht="19.5" customHeight="1">
      <c r="A45" s="78"/>
      <c r="B45" s="77">
        <v>71035</v>
      </c>
      <c r="C45" s="78"/>
      <c r="D45" s="12" t="s">
        <v>18</v>
      </c>
      <c r="E45" s="76">
        <f aca="true" t="shared" si="6" ref="E45:J45">SUM(E46:E47)</f>
        <v>1850</v>
      </c>
      <c r="F45" s="76">
        <f t="shared" si="6"/>
        <v>0</v>
      </c>
      <c r="G45" s="76">
        <f t="shared" si="6"/>
        <v>0</v>
      </c>
      <c r="H45" s="76">
        <f t="shared" si="6"/>
        <v>1850</v>
      </c>
      <c r="I45" s="202">
        <f t="shared" si="6"/>
        <v>2350</v>
      </c>
      <c r="J45" s="202">
        <f t="shared" si="6"/>
        <v>1791</v>
      </c>
      <c r="K45" s="207">
        <f t="shared" si="1"/>
        <v>76.2127659574468</v>
      </c>
    </row>
    <row r="46" spans="1:11" s="24" customFormat="1" ht="19.5" customHeight="1">
      <c r="A46" s="78"/>
      <c r="B46" s="77"/>
      <c r="C46" s="78">
        <v>4260</v>
      </c>
      <c r="D46" s="12" t="s">
        <v>108</v>
      </c>
      <c r="E46" s="76">
        <f>350+500</f>
        <v>850</v>
      </c>
      <c r="F46" s="90"/>
      <c r="G46" s="90"/>
      <c r="H46" s="90">
        <f t="shared" si="3"/>
        <v>850</v>
      </c>
      <c r="I46" s="202">
        <v>850</v>
      </c>
      <c r="J46" s="155">
        <v>360</v>
      </c>
      <c r="K46" s="207">
        <f t="shared" si="1"/>
        <v>42.35294117647059</v>
      </c>
    </row>
    <row r="47" spans="1:11" s="24" customFormat="1" ht="19.5" customHeight="1">
      <c r="A47" s="78"/>
      <c r="B47" s="77"/>
      <c r="C47" s="78">
        <v>4300</v>
      </c>
      <c r="D47" s="12" t="s">
        <v>92</v>
      </c>
      <c r="E47" s="76">
        <v>1000</v>
      </c>
      <c r="F47" s="90"/>
      <c r="G47" s="90"/>
      <c r="H47" s="90">
        <f t="shared" si="3"/>
        <v>1000</v>
      </c>
      <c r="I47" s="202">
        <v>1500</v>
      </c>
      <c r="J47" s="155">
        <v>1431</v>
      </c>
      <c r="K47" s="207">
        <f t="shared" si="1"/>
        <v>95.39999999999999</v>
      </c>
    </row>
    <row r="48" spans="1:11" s="5" customFormat="1" ht="19.5" customHeight="1">
      <c r="A48" s="33" t="s">
        <v>19</v>
      </c>
      <c r="B48" s="4"/>
      <c r="C48" s="3"/>
      <c r="D48" s="19" t="s">
        <v>96</v>
      </c>
      <c r="E48" s="66" t="e">
        <f>SUM(E49,E55,E62,#REF!,)</f>
        <v>#REF!</v>
      </c>
      <c r="F48" s="66" t="e">
        <f>SUM(F49,F55,F62,#REF!,)</f>
        <v>#REF!</v>
      </c>
      <c r="G48" s="66" t="e">
        <f>SUM(G49,G55,G62,#REF!,)</f>
        <v>#REF!</v>
      </c>
      <c r="H48" s="66">
        <f>SUM(H49,H55,H62,H82)</f>
        <v>4097693</v>
      </c>
      <c r="I48" s="128">
        <f>SUM(I49,I55,I62,I82)</f>
        <v>4085347</v>
      </c>
      <c r="J48" s="128">
        <f>SUM(J49,J55,J62,J82)</f>
        <v>3950253</v>
      </c>
      <c r="K48" s="208">
        <f t="shared" si="1"/>
        <v>96.69320623193084</v>
      </c>
    </row>
    <row r="49" spans="1:11" s="24" customFormat="1" ht="19.5" customHeight="1">
      <c r="A49" s="78"/>
      <c r="B49" s="77">
        <v>75011</v>
      </c>
      <c r="C49" s="55"/>
      <c r="D49" s="12" t="s">
        <v>21</v>
      </c>
      <c r="E49" s="76">
        <f aca="true" t="shared" si="7" ref="E49:J49">SUM(E50:E54)</f>
        <v>142600</v>
      </c>
      <c r="F49" s="76">
        <f t="shared" si="7"/>
        <v>0</v>
      </c>
      <c r="G49" s="76">
        <f t="shared" si="7"/>
        <v>0</v>
      </c>
      <c r="H49" s="76">
        <f t="shared" si="7"/>
        <v>142600</v>
      </c>
      <c r="I49" s="202">
        <f t="shared" si="7"/>
        <v>142600</v>
      </c>
      <c r="J49" s="202">
        <f t="shared" si="7"/>
        <v>142599</v>
      </c>
      <c r="K49" s="207">
        <f t="shared" si="1"/>
        <v>99.99929873772791</v>
      </c>
    </row>
    <row r="50" spans="1:11" s="24" customFormat="1" ht="24" customHeight="1">
      <c r="A50" s="78"/>
      <c r="B50" s="84"/>
      <c r="C50" s="78">
        <v>4010</v>
      </c>
      <c r="D50" s="12" t="s">
        <v>97</v>
      </c>
      <c r="E50" s="76">
        <v>102329</v>
      </c>
      <c r="F50" s="90"/>
      <c r="G50" s="90"/>
      <c r="H50" s="90">
        <f t="shared" si="3"/>
        <v>102329</v>
      </c>
      <c r="I50" s="202">
        <v>102413</v>
      </c>
      <c r="J50" s="155">
        <v>102413</v>
      </c>
      <c r="K50" s="207">
        <f t="shared" si="1"/>
        <v>100</v>
      </c>
    </row>
    <row r="51" spans="1:11" s="24" customFormat="1" ht="19.5" customHeight="1">
      <c r="A51" s="78"/>
      <c r="B51" s="84"/>
      <c r="C51" s="78">
        <v>4040</v>
      </c>
      <c r="D51" s="12" t="s">
        <v>98</v>
      </c>
      <c r="E51" s="76">
        <v>14500</v>
      </c>
      <c r="F51" s="90"/>
      <c r="G51" s="90"/>
      <c r="H51" s="90">
        <f t="shared" si="3"/>
        <v>14500</v>
      </c>
      <c r="I51" s="202">
        <v>14416</v>
      </c>
      <c r="J51" s="155">
        <v>14416</v>
      </c>
      <c r="K51" s="207">
        <f t="shared" si="1"/>
        <v>100</v>
      </c>
    </row>
    <row r="52" spans="1:11" s="24" customFormat="1" ht="19.5" customHeight="1">
      <c r="A52" s="78"/>
      <c r="B52" s="84"/>
      <c r="C52" s="78">
        <v>4110</v>
      </c>
      <c r="D52" s="12" t="s">
        <v>99</v>
      </c>
      <c r="E52" s="76">
        <v>17766</v>
      </c>
      <c r="F52" s="90"/>
      <c r="G52" s="90"/>
      <c r="H52" s="90">
        <f t="shared" si="3"/>
        <v>17766</v>
      </c>
      <c r="I52" s="202">
        <v>16759</v>
      </c>
      <c r="J52" s="155">
        <v>16689</v>
      </c>
      <c r="K52" s="207">
        <f t="shared" si="1"/>
        <v>99.58231398054777</v>
      </c>
    </row>
    <row r="53" spans="1:11" s="24" customFormat="1" ht="19.5" customHeight="1">
      <c r="A53" s="78"/>
      <c r="B53" s="84"/>
      <c r="C53" s="78">
        <v>4120</v>
      </c>
      <c r="D53" s="12" t="s">
        <v>100</v>
      </c>
      <c r="E53" s="76">
        <v>2570</v>
      </c>
      <c r="F53" s="90"/>
      <c r="G53" s="90"/>
      <c r="H53" s="90">
        <f t="shared" si="3"/>
        <v>2570</v>
      </c>
      <c r="I53" s="202">
        <v>2570</v>
      </c>
      <c r="J53" s="155">
        <v>2570</v>
      </c>
      <c r="K53" s="207">
        <f t="shared" si="1"/>
        <v>100</v>
      </c>
    </row>
    <row r="54" spans="1:11" s="24" customFormat="1" ht="24" customHeight="1">
      <c r="A54" s="78"/>
      <c r="B54" s="84"/>
      <c r="C54" s="88">
        <v>4440</v>
      </c>
      <c r="D54" s="12" t="s">
        <v>101</v>
      </c>
      <c r="E54" s="76">
        <v>5435</v>
      </c>
      <c r="F54" s="90"/>
      <c r="G54" s="90"/>
      <c r="H54" s="90">
        <f t="shared" si="3"/>
        <v>5435</v>
      </c>
      <c r="I54" s="202">
        <v>6442</v>
      </c>
      <c r="J54" s="155">
        <v>6511</v>
      </c>
      <c r="K54" s="207">
        <f t="shared" si="1"/>
        <v>101.07109593294008</v>
      </c>
    </row>
    <row r="55" spans="1:11" s="24" customFormat="1" ht="24" customHeight="1">
      <c r="A55" s="55"/>
      <c r="B55" s="77" t="s">
        <v>104</v>
      </c>
      <c r="C55" s="55"/>
      <c r="D55" s="12" t="s">
        <v>175</v>
      </c>
      <c r="E55" s="76">
        <f aca="true" t="shared" si="8" ref="E55:J55">SUM(E56:E61)</f>
        <v>250522</v>
      </c>
      <c r="F55" s="76">
        <f t="shared" si="8"/>
        <v>0</v>
      </c>
      <c r="G55" s="76">
        <f t="shared" si="8"/>
        <v>28000</v>
      </c>
      <c r="H55" s="76">
        <f t="shared" si="8"/>
        <v>222522</v>
      </c>
      <c r="I55" s="202">
        <f t="shared" si="8"/>
        <v>227055</v>
      </c>
      <c r="J55" s="202">
        <f t="shared" si="8"/>
        <v>218567</v>
      </c>
      <c r="K55" s="207">
        <f t="shared" si="1"/>
        <v>96.26169870736166</v>
      </c>
    </row>
    <row r="56" spans="1:11" s="24" customFormat="1" ht="24.75" customHeight="1">
      <c r="A56" s="55"/>
      <c r="B56" s="77"/>
      <c r="C56" s="78">
        <v>3030</v>
      </c>
      <c r="D56" s="12" t="s">
        <v>102</v>
      </c>
      <c r="E56" s="76">
        <v>199222</v>
      </c>
      <c r="F56" s="90"/>
      <c r="G56" s="90">
        <v>19000</v>
      </c>
      <c r="H56" s="90">
        <f t="shared" si="3"/>
        <v>180222</v>
      </c>
      <c r="I56" s="202">
        <v>196152</v>
      </c>
      <c r="J56" s="155">
        <v>194884</v>
      </c>
      <c r="K56" s="207">
        <f t="shared" si="1"/>
        <v>99.35356254333374</v>
      </c>
    </row>
    <row r="57" spans="1:11" s="24" customFormat="1" ht="19.5" customHeight="1">
      <c r="A57" s="55"/>
      <c r="B57" s="77"/>
      <c r="C57" s="78">
        <v>4170</v>
      </c>
      <c r="D57" s="12" t="s">
        <v>249</v>
      </c>
      <c r="E57" s="76"/>
      <c r="F57" s="90"/>
      <c r="G57" s="90"/>
      <c r="H57" s="90">
        <v>0</v>
      </c>
      <c r="I57" s="202">
        <v>986</v>
      </c>
      <c r="J57" s="155">
        <v>986</v>
      </c>
      <c r="K57" s="207">
        <f t="shared" si="1"/>
        <v>100</v>
      </c>
    </row>
    <row r="58" spans="1:11" s="24" customFormat="1" ht="19.5" customHeight="1">
      <c r="A58" s="55"/>
      <c r="B58" s="77"/>
      <c r="C58" s="78">
        <v>4210</v>
      </c>
      <c r="D58" s="12" t="s">
        <v>105</v>
      </c>
      <c r="E58" s="76">
        <v>22000</v>
      </c>
      <c r="F58" s="90"/>
      <c r="G58" s="90">
        <v>9000</v>
      </c>
      <c r="H58" s="90">
        <f t="shared" si="3"/>
        <v>13000</v>
      </c>
      <c r="I58" s="202">
        <v>13000</v>
      </c>
      <c r="J58" s="155">
        <v>10447</v>
      </c>
      <c r="K58" s="207">
        <f t="shared" si="1"/>
        <v>80.36153846153846</v>
      </c>
    </row>
    <row r="59" spans="1:11" s="24" customFormat="1" ht="19.5" customHeight="1">
      <c r="A59" s="55"/>
      <c r="B59" s="77"/>
      <c r="C59" s="78">
        <v>4300</v>
      </c>
      <c r="D59" s="12" t="s">
        <v>92</v>
      </c>
      <c r="E59" s="76">
        <v>25800</v>
      </c>
      <c r="F59" s="90"/>
      <c r="G59" s="90"/>
      <c r="H59" s="90">
        <f t="shared" si="3"/>
        <v>25800</v>
      </c>
      <c r="I59" s="202">
        <v>16417</v>
      </c>
      <c r="J59" s="155">
        <v>12164</v>
      </c>
      <c r="K59" s="207">
        <f t="shared" si="1"/>
        <v>74.09392702686239</v>
      </c>
    </row>
    <row r="60" spans="1:11" s="24" customFormat="1" ht="19.5" customHeight="1">
      <c r="A60" s="55"/>
      <c r="B60" s="77"/>
      <c r="C60" s="78">
        <v>4410</v>
      </c>
      <c r="D60" s="12" t="s">
        <v>103</v>
      </c>
      <c r="E60" s="76">
        <v>3000</v>
      </c>
      <c r="F60" s="90"/>
      <c r="G60" s="90"/>
      <c r="H60" s="90">
        <f t="shared" si="3"/>
        <v>3000</v>
      </c>
      <c r="I60" s="202">
        <v>500</v>
      </c>
      <c r="J60" s="155">
        <v>86</v>
      </c>
      <c r="K60" s="207">
        <f t="shared" si="1"/>
        <v>17.2</v>
      </c>
    </row>
    <row r="61" spans="1:11" s="24" customFormat="1" ht="19.5" customHeight="1">
      <c r="A61" s="55"/>
      <c r="B61" s="77"/>
      <c r="C61" s="88">
        <v>4430</v>
      </c>
      <c r="D61" s="12" t="s">
        <v>107</v>
      </c>
      <c r="E61" s="76">
        <v>500</v>
      </c>
      <c r="F61" s="90"/>
      <c r="G61" s="90"/>
      <c r="H61" s="90">
        <f t="shared" si="3"/>
        <v>500</v>
      </c>
      <c r="I61" s="202">
        <v>0</v>
      </c>
      <c r="J61" s="155">
        <v>0</v>
      </c>
      <c r="K61" s="207">
        <v>0</v>
      </c>
    </row>
    <row r="62" spans="1:11" s="24" customFormat="1" ht="21.75" customHeight="1">
      <c r="A62" s="55"/>
      <c r="B62" s="77" t="s">
        <v>22</v>
      </c>
      <c r="C62" s="55"/>
      <c r="D62" s="12" t="s">
        <v>23</v>
      </c>
      <c r="E62" s="76">
        <f aca="true" t="shared" si="9" ref="E62:J62">SUM(E63:E81)</f>
        <v>3358397</v>
      </c>
      <c r="F62" s="76">
        <f t="shared" si="9"/>
        <v>214000</v>
      </c>
      <c r="G62" s="76">
        <f t="shared" si="9"/>
        <v>100000</v>
      </c>
      <c r="H62" s="76">
        <f t="shared" si="9"/>
        <v>3472397</v>
      </c>
      <c r="I62" s="202">
        <f t="shared" si="9"/>
        <v>3474301</v>
      </c>
      <c r="J62" s="202">
        <f t="shared" si="9"/>
        <v>3360852</v>
      </c>
      <c r="K62" s="207">
        <f t="shared" si="1"/>
        <v>96.7346237415814</v>
      </c>
    </row>
    <row r="63" spans="1:11" s="24" customFormat="1" ht="26.25" customHeight="1">
      <c r="A63" s="55"/>
      <c r="B63" s="77"/>
      <c r="C63" s="78">
        <v>3020</v>
      </c>
      <c r="D63" s="12" t="s">
        <v>240</v>
      </c>
      <c r="E63" s="76">
        <v>25250</v>
      </c>
      <c r="F63" s="90"/>
      <c r="G63" s="90"/>
      <c r="H63" s="90">
        <f t="shared" si="3"/>
        <v>25250</v>
      </c>
      <c r="I63" s="202">
        <v>10260</v>
      </c>
      <c r="J63" s="155">
        <v>8428</v>
      </c>
      <c r="K63" s="207">
        <f t="shared" si="1"/>
        <v>82.14424951267057</v>
      </c>
    </row>
    <row r="64" spans="1:11" s="24" customFormat="1" ht="24" customHeight="1">
      <c r="A64" s="55"/>
      <c r="B64" s="77"/>
      <c r="C64" s="78">
        <v>3030</v>
      </c>
      <c r="D64" s="12" t="s">
        <v>102</v>
      </c>
      <c r="E64" s="76">
        <v>58000</v>
      </c>
      <c r="F64" s="90"/>
      <c r="G64" s="90"/>
      <c r="H64" s="90">
        <f t="shared" si="3"/>
        <v>58000</v>
      </c>
      <c r="I64" s="202">
        <v>58850</v>
      </c>
      <c r="J64" s="155">
        <v>58850</v>
      </c>
      <c r="K64" s="207">
        <f t="shared" si="1"/>
        <v>100</v>
      </c>
    </row>
    <row r="65" spans="1:11" s="24" customFormat="1" ht="22.5" customHeight="1">
      <c r="A65" s="55"/>
      <c r="B65" s="77"/>
      <c r="C65" s="78">
        <v>4010</v>
      </c>
      <c r="D65" s="12" t="s">
        <v>97</v>
      </c>
      <c r="E65" s="76">
        <v>1964616</v>
      </c>
      <c r="F65" s="90"/>
      <c r="G65" s="90"/>
      <c r="H65" s="90">
        <f t="shared" si="3"/>
        <v>1964616</v>
      </c>
      <c r="I65" s="202">
        <v>1964616</v>
      </c>
      <c r="J65" s="155">
        <v>1948537</v>
      </c>
      <c r="K65" s="207">
        <f t="shared" si="1"/>
        <v>99.1815703424995</v>
      </c>
    </row>
    <row r="66" spans="1:11" s="24" customFormat="1" ht="19.5" customHeight="1">
      <c r="A66" s="55"/>
      <c r="B66" s="77"/>
      <c r="C66" s="78">
        <v>4040</v>
      </c>
      <c r="D66" s="12" t="s">
        <v>98</v>
      </c>
      <c r="E66" s="76">
        <v>119700</v>
      </c>
      <c r="F66" s="90"/>
      <c r="G66" s="90"/>
      <c r="H66" s="90">
        <f t="shared" si="3"/>
        <v>119700</v>
      </c>
      <c r="I66" s="202">
        <v>119700</v>
      </c>
      <c r="J66" s="155">
        <v>114322</v>
      </c>
      <c r="K66" s="207">
        <f t="shared" si="1"/>
        <v>95.50710108604845</v>
      </c>
    </row>
    <row r="67" spans="1:11" s="24" customFormat="1" ht="19.5" customHeight="1">
      <c r="A67" s="55"/>
      <c r="B67" s="77"/>
      <c r="C67" s="78">
        <v>4110</v>
      </c>
      <c r="D67" s="12" t="s">
        <v>99</v>
      </c>
      <c r="E67" s="76">
        <v>362582</v>
      </c>
      <c r="F67" s="90"/>
      <c r="G67" s="90"/>
      <c r="H67" s="90">
        <f t="shared" si="3"/>
        <v>362582</v>
      </c>
      <c r="I67" s="202">
        <v>362582</v>
      </c>
      <c r="J67" s="155">
        <v>332570</v>
      </c>
      <c r="K67" s="207">
        <f t="shared" si="1"/>
        <v>91.72269996855884</v>
      </c>
    </row>
    <row r="68" spans="1:11" s="24" customFormat="1" ht="19.5" customHeight="1">
      <c r="A68" s="55"/>
      <c r="B68" s="77"/>
      <c r="C68" s="78">
        <v>4120</v>
      </c>
      <c r="D68" s="12" t="s">
        <v>100</v>
      </c>
      <c r="E68" s="76">
        <v>53464</v>
      </c>
      <c r="F68" s="90"/>
      <c r="G68" s="90"/>
      <c r="H68" s="90">
        <f t="shared" si="3"/>
        <v>53464</v>
      </c>
      <c r="I68" s="202">
        <v>53464</v>
      </c>
      <c r="J68" s="155">
        <v>52818</v>
      </c>
      <c r="K68" s="207">
        <f t="shared" si="1"/>
        <v>98.79171030974113</v>
      </c>
    </row>
    <row r="69" spans="1:11" s="24" customFormat="1" ht="19.5" customHeight="1">
      <c r="A69" s="55"/>
      <c r="B69" s="77"/>
      <c r="C69" s="78">
        <v>4170</v>
      </c>
      <c r="D69" s="12" t="s">
        <v>249</v>
      </c>
      <c r="E69" s="76">
        <v>4000</v>
      </c>
      <c r="F69" s="90"/>
      <c r="G69" s="90"/>
      <c r="H69" s="90">
        <f t="shared" si="3"/>
        <v>4000</v>
      </c>
      <c r="I69" s="202">
        <v>2000</v>
      </c>
      <c r="J69" s="155">
        <v>1647</v>
      </c>
      <c r="K69" s="207">
        <f t="shared" si="1"/>
        <v>82.35</v>
      </c>
    </row>
    <row r="70" spans="1:11" s="24" customFormat="1" ht="19.5" customHeight="1">
      <c r="A70" s="55"/>
      <c r="B70" s="77"/>
      <c r="C70" s="78">
        <v>4210</v>
      </c>
      <c r="D70" s="12" t="s">
        <v>105</v>
      </c>
      <c r="E70" s="76">
        <f>1400+140050</f>
        <v>141450</v>
      </c>
      <c r="F70" s="90"/>
      <c r="G70" s="90"/>
      <c r="H70" s="90">
        <f t="shared" si="3"/>
        <v>141450</v>
      </c>
      <c r="I70" s="202">
        <f>153300+14845</f>
        <v>168145</v>
      </c>
      <c r="J70" s="155">
        <v>156524</v>
      </c>
      <c r="K70" s="207">
        <f t="shared" si="1"/>
        <v>93.08870320259301</v>
      </c>
    </row>
    <row r="71" spans="1:11" s="24" customFormat="1" ht="19.5" customHeight="1">
      <c r="A71" s="55"/>
      <c r="B71" s="77"/>
      <c r="C71" s="78">
        <v>4260</v>
      </c>
      <c r="D71" s="12" t="s">
        <v>108</v>
      </c>
      <c r="E71" s="76">
        <v>74500</v>
      </c>
      <c r="F71" s="90"/>
      <c r="G71" s="90"/>
      <c r="H71" s="90">
        <f t="shared" si="3"/>
        <v>74500</v>
      </c>
      <c r="I71" s="202">
        <v>73500</v>
      </c>
      <c r="J71" s="155">
        <v>65319</v>
      </c>
      <c r="K71" s="207">
        <f t="shared" si="1"/>
        <v>88.86938775510204</v>
      </c>
    </row>
    <row r="72" spans="1:11" s="24" customFormat="1" ht="19.5" customHeight="1">
      <c r="A72" s="55"/>
      <c r="B72" s="77"/>
      <c r="C72" s="78">
        <v>4270</v>
      </c>
      <c r="D72" s="12" t="s">
        <v>91</v>
      </c>
      <c r="E72" s="76">
        <v>31000</v>
      </c>
      <c r="F72" s="90">
        <v>214000</v>
      </c>
      <c r="G72" s="90">
        <v>100000</v>
      </c>
      <c r="H72" s="90">
        <f t="shared" si="3"/>
        <v>145000</v>
      </c>
      <c r="I72" s="202">
        <v>118330</v>
      </c>
      <c r="J72" s="155">
        <v>113631</v>
      </c>
      <c r="K72" s="207">
        <f t="shared" si="1"/>
        <v>96.02890222259782</v>
      </c>
    </row>
    <row r="73" spans="1:11" s="24" customFormat="1" ht="19.5" customHeight="1">
      <c r="A73" s="55"/>
      <c r="B73" s="77"/>
      <c r="C73" s="78">
        <v>4300</v>
      </c>
      <c r="D73" s="12" t="s">
        <v>92</v>
      </c>
      <c r="E73" s="76">
        <f>8454+318806</f>
        <v>327260</v>
      </c>
      <c r="F73" s="90"/>
      <c r="G73" s="90"/>
      <c r="H73" s="90">
        <f t="shared" si="3"/>
        <v>327260</v>
      </c>
      <c r="I73" s="202">
        <v>344432</v>
      </c>
      <c r="J73" s="155">
        <v>314967</v>
      </c>
      <c r="K73" s="207">
        <f t="shared" si="1"/>
        <v>91.44533608956195</v>
      </c>
    </row>
    <row r="74" spans="1:11" s="24" customFormat="1" ht="19.5" customHeight="1">
      <c r="A74" s="55"/>
      <c r="B74" s="77"/>
      <c r="C74" s="78">
        <v>4350</v>
      </c>
      <c r="D74" s="12" t="s">
        <v>319</v>
      </c>
      <c r="E74" s="76"/>
      <c r="F74" s="90"/>
      <c r="G74" s="90"/>
      <c r="H74" s="90">
        <v>0</v>
      </c>
      <c r="I74" s="202">
        <v>4000</v>
      </c>
      <c r="J74" s="155">
        <v>2767</v>
      </c>
      <c r="K74" s="207">
        <f aca="true" t="shared" si="10" ref="K74:K136">J74/I74*100</f>
        <v>69.175</v>
      </c>
    </row>
    <row r="75" spans="1:11" s="24" customFormat="1" ht="19.5" customHeight="1">
      <c r="A75" s="55"/>
      <c r="B75" s="77"/>
      <c r="C75" s="78">
        <v>4410</v>
      </c>
      <c r="D75" s="12" t="s">
        <v>103</v>
      </c>
      <c r="E75" s="76">
        <v>42600</v>
      </c>
      <c r="F75" s="90"/>
      <c r="G75" s="90"/>
      <c r="H75" s="90">
        <f t="shared" si="3"/>
        <v>42600</v>
      </c>
      <c r="I75" s="202">
        <v>47600</v>
      </c>
      <c r="J75" s="155">
        <v>44484</v>
      </c>
      <c r="K75" s="207">
        <f t="shared" si="10"/>
        <v>93.45378151260503</v>
      </c>
    </row>
    <row r="76" spans="1:11" s="24" customFormat="1" ht="19.5" customHeight="1">
      <c r="A76" s="55"/>
      <c r="B76" s="77"/>
      <c r="C76" s="55">
        <v>4420</v>
      </c>
      <c r="D76" s="12" t="s">
        <v>106</v>
      </c>
      <c r="E76" s="76">
        <v>3000</v>
      </c>
      <c r="F76" s="90"/>
      <c r="G76" s="90"/>
      <c r="H76" s="90">
        <f t="shared" si="3"/>
        <v>3000</v>
      </c>
      <c r="I76" s="202">
        <v>4202</v>
      </c>
      <c r="J76" s="155">
        <v>3964</v>
      </c>
      <c r="K76" s="207">
        <f t="shared" si="10"/>
        <v>94.33603046168491</v>
      </c>
    </row>
    <row r="77" spans="1:11" s="24" customFormat="1" ht="19.5" customHeight="1">
      <c r="A77" s="55"/>
      <c r="B77" s="77"/>
      <c r="C77" s="88">
        <v>4430</v>
      </c>
      <c r="D77" s="12" t="s">
        <v>107</v>
      </c>
      <c r="E77" s="76">
        <v>41992</v>
      </c>
      <c r="F77" s="90"/>
      <c r="G77" s="90"/>
      <c r="H77" s="90">
        <f t="shared" si="3"/>
        <v>41992</v>
      </c>
      <c r="I77" s="202">
        <v>34082</v>
      </c>
      <c r="J77" s="155">
        <v>33517</v>
      </c>
      <c r="K77" s="207">
        <f t="shared" si="10"/>
        <v>98.34223343700486</v>
      </c>
    </row>
    <row r="78" spans="1:11" s="24" customFormat="1" ht="21" customHeight="1">
      <c r="A78" s="55"/>
      <c r="B78" s="77"/>
      <c r="C78" s="88">
        <v>4440</v>
      </c>
      <c r="D78" s="12" t="s">
        <v>101</v>
      </c>
      <c r="E78" s="76">
        <v>55733</v>
      </c>
      <c r="F78" s="90"/>
      <c r="G78" s="90"/>
      <c r="H78" s="90">
        <f t="shared" si="3"/>
        <v>55733</v>
      </c>
      <c r="I78" s="202">
        <v>55733</v>
      </c>
      <c r="J78" s="155">
        <v>55728</v>
      </c>
      <c r="K78" s="207">
        <f t="shared" si="10"/>
        <v>99.9910286544776</v>
      </c>
    </row>
    <row r="79" spans="1:11" s="24" customFormat="1" ht="21" customHeight="1">
      <c r="A79" s="55"/>
      <c r="B79" s="77"/>
      <c r="C79" s="55">
        <v>4580</v>
      </c>
      <c r="D79" s="12" t="s">
        <v>314</v>
      </c>
      <c r="E79" s="76"/>
      <c r="F79" s="90"/>
      <c r="G79" s="90"/>
      <c r="H79" s="90">
        <v>0</v>
      </c>
      <c r="I79" s="202">
        <v>191</v>
      </c>
      <c r="J79" s="155">
        <v>169</v>
      </c>
      <c r="K79" s="207">
        <f t="shared" si="10"/>
        <v>88.48167539267016</v>
      </c>
    </row>
    <row r="80" spans="1:11" s="24" customFormat="1" ht="24.75" customHeight="1">
      <c r="A80" s="55"/>
      <c r="B80" s="77"/>
      <c r="C80" s="55">
        <v>4590</v>
      </c>
      <c r="D80" s="12" t="s">
        <v>334</v>
      </c>
      <c r="E80" s="76"/>
      <c r="F80" s="90"/>
      <c r="G80" s="90"/>
      <c r="H80" s="90">
        <v>0</v>
      </c>
      <c r="I80" s="202">
        <v>169</v>
      </c>
      <c r="J80" s="155">
        <v>169</v>
      </c>
      <c r="K80" s="207">
        <f t="shared" si="10"/>
        <v>100</v>
      </c>
    </row>
    <row r="81" spans="1:11" s="24" customFormat="1" ht="25.5" customHeight="1">
      <c r="A81" s="55"/>
      <c r="B81" s="77"/>
      <c r="C81" s="55">
        <v>6060</v>
      </c>
      <c r="D81" s="12" t="s">
        <v>109</v>
      </c>
      <c r="E81" s="76">
        <v>53250</v>
      </c>
      <c r="F81" s="90"/>
      <c r="G81" s="90"/>
      <c r="H81" s="90">
        <f t="shared" si="3"/>
        <v>53250</v>
      </c>
      <c r="I81" s="202">
        <v>52445</v>
      </c>
      <c r="J81" s="155">
        <v>52441</v>
      </c>
      <c r="K81" s="207">
        <f t="shared" si="10"/>
        <v>99.99237296215082</v>
      </c>
    </row>
    <row r="82" spans="1:11" s="24" customFormat="1" ht="23.25" customHeight="1">
      <c r="A82" s="55"/>
      <c r="B82" s="77">
        <v>75075</v>
      </c>
      <c r="C82" s="55"/>
      <c r="D82" s="12" t="s">
        <v>305</v>
      </c>
      <c r="E82" s="76"/>
      <c r="F82" s="90"/>
      <c r="G82" s="90"/>
      <c r="H82" s="90">
        <f>SUM(H83:H88)</f>
        <v>260174</v>
      </c>
      <c r="I82" s="202">
        <f>SUM(I83:I88)</f>
        <v>241391</v>
      </c>
      <c r="J82" s="202">
        <f>SUM(J83:J88)</f>
        <v>228235</v>
      </c>
      <c r="K82" s="207">
        <f t="shared" si="10"/>
        <v>94.5499210823933</v>
      </c>
    </row>
    <row r="83" spans="1:11" s="24" customFormat="1" ht="24" customHeight="1">
      <c r="A83" s="55"/>
      <c r="B83" s="77"/>
      <c r="C83" s="55">
        <v>3020</v>
      </c>
      <c r="D83" s="12" t="s">
        <v>240</v>
      </c>
      <c r="E83" s="76"/>
      <c r="F83" s="90"/>
      <c r="G83" s="90"/>
      <c r="H83" s="90">
        <v>9600</v>
      </c>
      <c r="I83" s="202">
        <v>8300</v>
      </c>
      <c r="J83" s="155">
        <v>8300</v>
      </c>
      <c r="K83" s="207">
        <f t="shared" si="10"/>
        <v>100</v>
      </c>
    </row>
    <row r="84" spans="1:11" s="24" customFormat="1" ht="19.5" customHeight="1">
      <c r="A84" s="55"/>
      <c r="B84" s="77"/>
      <c r="C84" s="55">
        <v>4170</v>
      </c>
      <c r="D84" s="12" t="s">
        <v>249</v>
      </c>
      <c r="E84" s="76"/>
      <c r="F84" s="90"/>
      <c r="G84" s="90"/>
      <c r="H84" s="90">
        <v>0</v>
      </c>
      <c r="I84" s="202">
        <v>4340</v>
      </c>
      <c r="J84" s="155">
        <v>4340</v>
      </c>
      <c r="K84" s="207">
        <f t="shared" si="10"/>
        <v>100</v>
      </c>
    </row>
    <row r="85" spans="1:11" s="24" customFormat="1" ht="19.5" customHeight="1">
      <c r="A85" s="55"/>
      <c r="B85" s="77"/>
      <c r="C85" s="55">
        <v>4210</v>
      </c>
      <c r="D85" s="12" t="s">
        <v>105</v>
      </c>
      <c r="E85" s="76"/>
      <c r="F85" s="90"/>
      <c r="G85" s="90"/>
      <c r="H85" s="90">
        <v>72874</v>
      </c>
      <c r="I85" s="202">
        <v>50633</v>
      </c>
      <c r="J85" s="155">
        <v>49782</v>
      </c>
      <c r="K85" s="207">
        <f t="shared" si="10"/>
        <v>98.3192779412636</v>
      </c>
    </row>
    <row r="86" spans="1:11" s="24" customFormat="1" ht="19.5" customHeight="1">
      <c r="A86" s="55"/>
      <c r="B86" s="77"/>
      <c r="C86" s="78">
        <v>4300</v>
      </c>
      <c r="D86" s="12" t="s">
        <v>92</v>
      </c>
      <c r="E86" s="76"/>
      <c r="F86" s="90"/>
      <c r="G86" s="90"/>
      <c r="H86" s="90">
        <v>174500</v>
      </c>
      <c r="I86" s="202">
        <v>177818</v>
      </c>
      <c r="J86" s="155">
        <v>165513</v>
      </c>
      <c r="K86" s="207">
        <f t="shared" si="10"/>
        <v>93.08000314928748</v>
      </c>
    </row>
    <row r="87" spans="1:11" s="24" customFormat="1" ht="19.5" customHeight="1">
      <c r="A87" s="55"/>
      <c r="B87" s="77"/>
      <c r="C87" s="78">
        <v>4350</v>
      </c>
      <c r="D87" s="12" t="s">
        <v>307</v>
      </c>
      <c r="E87" s="76"/>
      <c r="F87" s="90"/>
      <c r="G87" s="90"/>
      <c r="H87" s="90">
        <v>3200</v>
      </c>
      <c r="I87" s="202">
        <v>200</v>
      </c>
      <c r="J87" s="155">
        <v>200</v>
      </c>
      <c r="K87" s="207">
        <f t="shared" si="10"/>
        <v>100</v>
      </c>
    </row>
    <row r="88" spans="1:11" s="24" customFormat="1" ht="19.5" customHeight="1">
      <c r="A88" s="55"/>
      <c r="B88" s="77"/>
      <c r="C88" s="78">
        <v>4430</v>
      </c>
      <c r="D88" s="12" t="s">
        <v>107</v>
      </c>
      <c r="E88" s="76"/>
      <c r="F88" s="90"/>
      <c r="G88" s="90"/>
      <c r="H88" s="90">
        <v>0</v>
      </c>
      <c r="I88" s="202">
        <v>100</v>
      </c>
      <c r="J88" s="155">
        <v>100</v>
      </c>
      <c r="K88" s="207">
        <f t="shared" si="10"/>
        <v>100</v>
      </c>
    </row>
    <row r="89" spans="1:11" s="5" customFormat="1" ht="48">
      <c r="A89" s="33">
        <v>751</v>
      </c>
      <c r="B89" s="4"/>
      <c r="C89" s="3"/>
      <c r="D89" s="19" t="s">
        <v>111</v>
      </c>
      <c r="E89" s="66">
        <f>SUM(E90)</f>
        <v>3737</v>
      </c>
      <c r="F89" s="66">
        <f>SUM(F90)</f>
        <v>0</v>
      </c>
      <c r="G89" s="66">
        <f>SUM(G90)</f>
        <v>0</v>
      </c>
      <c r="H89" s="66">
        <f>SUM(H90)</f>
        <v>3737</v>
      </c>
      <c r="I89" s="204">
        <f>SUM(I90,I93,I101,)</f>
        <v>118811</v>
      </c>
      <c r="J89" s="204">
        <f>SUM(J90,J93,J101,)</f>
        <v>118265</v>
      </c>
      <c r="K89" s="208">
        <f t="shared" si="10"/>
        <v>99.54044659164556</v>
      </c>
    </row>
    <row r="90" spans="1:11" s="24" customFormat="1" ht="24" customHeight="1">
      <c r="A90" s="55"/>
      <c r="B90" s="77">
        <v>75101</v>
      </c>
      <c r="C90" s="55"/>
      <c r="D90" s="12" t="s">
        <v>25</v>
      </c>
      <c r="E90" s="76">
        <f aca="true" t="shared" si="11" ref="E90:J90">SUM(E91:E92)</f>
        <v>3737</v>
      </c>
      <c r="F90" s="76">
        <f t="shared" si="11"/>
        <v>0</v>
      </c>
      <c r="G90" s="76">
        <f t="shared" si="11"/>
        <v>0</v>
      </c>
      <c r="H90" s="76">
        <f t="shared" si="11"/>
        <v>3737</v>
      </c>
      <c r="I90" s="202">
        <f t="shared" si="11"/>
        <v>3737</v>
      </c>
      <c r="J90" s="202">
        <f t="shared" si="11"/>
        <v>3737</v>
      </c>
      <c r="K90" s="207">
        <f t="shared" si="10"/>
        <v>100</v>
      </c>
    </row>
    <row r="91" spans="1:11" s="24" customFormat="1" ht="19.5" customHeight="1">
      <c r="A91" s="55"/>
      <c r="B91" s="77"/>
      <c r="C91" s="78">
        <v>4210</v>
      </c>
      <c r="D91" s="12" t="s">
        <v>105</v>
      </c>
      <c r="E91" s="76">
        <v>2000</v>
      </c>
      <c r="F91" s="90"/>
      <c r="G91" s="90"/>
      <c r="H91" s="90">
        <f t="shared" si="3"/>
        <v>2000</v>
      </c>
      <c r="I91" s="202">
        <v>2241</v>
      </c>
      <c r="J91" s="155">
        <v>2241</v>
      </c>
      <c r="K91" s="207">
        <f t="shared" si="10"/>
        <v>100</v>
      </c>
    </row>
    <row r="92" spans="1:11" s="24" customFormat="1" ht="19.5" customHeight="1">
      <c r="A92" s="55"/>
      <c r="B92" s="77"/>
      <c r="C92" s="78">
        <v>4300</v>
      </c>
      <c r="D92" s="12" t="s">
        <v>92</v>
      </c>
      <c r="E92" s="76">
        <v>1737</v>
      </c>
      <c r="F92" s="90"/>
      <c r="G92" s="90"/>
      <c r="H92" s="90">
        <f t="shared" si="3"/>
        <v>1737</v>
      </c>
      <c r="I92" s="202">
        <v>1496</v>
      </c>
      <c r="J92" s="155">
        <v>1496</v>
      </c>
      <c r="K92" s="207">
        <f t="shared" si="10"/>
        <v>100</v>
      </c>
    </row>
    <row r="93" spans="1:11" s="24" customFormat="1" ht="19.5" customHeight="1">
      <c r="A93" s="55"/>
      <c r="B93" s="77">
        <v>75107</v>
      </c>
      <c r="C93" s="88"/>
      <c r="D93" s="12" t="s">
        <v>331</v>
      </c>
      <c r="E93" s="76"/>
      <c r="F93" s="90"/>
      <c r="G93" s="90"/>
      <c r="H93" s="90">
        <f>SUM(H94:H100)</f>
        <v>0</v>
      </c>
      <c r="I93" s="202">
        <f>SUM(I94:I100)</f>
        <v>70314</v>
      </c>
      <c r="J93" s="202">
        <f>SUM(J94:J100)</f>
        <v>69906</v>
      </c>
      <c r="K93" s="207">
        <f t="shared" si="10"/>
        <v>99.41974571209148</v>
      </c>
    </row>
    <row r="94" spans="1:11" s="24" customFormat="1" ht="25.5" customHeight="1">
      <c r="A94" s="55"/>
      <c r="B94" s="77"/>
      <c r="C94" s="88">
        <v>3030</v>
      </c>
      <c r="D94" s="12" t="s">
        <v>102</v>
      </c>
      <c r="E94" s="76"/>
      <c r="F94" s="90"/>
      <c r="G94" s="90"/>
      <c r="H94" s="90">
        <v>0</v>
      </c>
      <c r="I94" s="202">
        <v>42840</v>
      </c>
      <c r="J94" s="155">
        <v>42435</v>
      </c>
      <c r="K94" s="207">
        <f t="shared" si="10"/>
        <v>99.0546218487395</v>
      </c>
    </row>
    <row r="95" spans="1:11" s="24" customFormat="1" ht="19.5" customHeight="1">
      <c r="A95" s="55"/>
      <c r="B95" s="77"/>
      <c r="C95" s="78">
        <v>4110</v>
      </c>
      <c r="D95" s="12" t="s">
        <v>99</v>
      </c>
      <c r="E95" s="76"/>
      <c r="F95" s="90"/>
      <c r="G95" s="90"/>
      <c r="H95" s="90">
        <v>0</v>
      </c>
      <c r="I95" s="202">
        <v>1097</v>
      </c>
      <c r="J95" s="155">
        <v>1096</v>
      </c>
      <c r="K95" s="207">
        <f t="shared" si="10"/>
        <v>99.90884229717412</v>
      </c>
    </row>
    <row r="96" spans="1:11" s="24" customFormat="1" ht="19.5" customHeight="1">
      <c r="A96" s="55"/>
      <c r="B96" s="77"/>
      <c r="C96" s="78">
        <v>4120</v>
      </c>
      <c r="D96" s="12" t="s">
        <v>100</v>
      </c>
      <c r="E96" s="76"/>
      <c r="F96" s="90"/>
      <c r="G96" s="90"/>
      <c r="H96" s="90">
        <v>0</v>
      </c>
      <c r="I96" s="202">
        <v>157</v>
      </c>
      <c r="J96" s="155">
        <v>156</v>
      </c>
      <c r="K96" s="207">
        <f t="shared" si="10"/>
        <v>99.36305732484077</v>
      </c>
    </row>
    <row r="97" spans="1:11" s="24" customFormat="1" ht="19.5" customHeight="1">
      <c r="A97" s="55"/>
      <c r="B97" s="77"/>
      <c r="C97" s="78">
        <v>4170</v>
      </c>
      <c r="D97" s="12" t="s">
        <v>249</v>
      </c>
      <c r="E97" s="76"/>
      <c r="F97" s="90"/>
      <c r="G97" s="90"/>
      <c r="H97" s="90">
        <v>0</v>
      </c>
      <c r="I97" s="202">
        <v>9220</v>
      </c>
      <c r="J97" s="155">
        <v>9220</v>
      </c>
      <c r="K97" s="207">
        <f t="shared" si="10"/>
        <v>100</v>
      </c>
    </row>
    <row r="98" spans="1:11" s="24" customFormat="1" ht="19.5" customHeight="1">
      <c r="A98" s="55"/>
      <c r="B98" s="77"/>
      <c r="C98" s="78">
        <v>4210</v>
      </c>
      <c r="D98" s="12" t="s">
        <v>105</v>
      </c>
      <c r="E98" s="76"/>
      <c r="F98" s="90"/>
      <c r="G98" s="90"/>
      <c r="H98" s="90">
        <v>0</v>
      </c>
      <c r="I98" s="202">
        <v>11703</v>
      </c>
      <c r="J98" s="155">
        <v>11703</v>
      </c>
      <c r="K98" s="207">
        <f t="shared" si="10"/>
        <v>100</v>
      </c>
    </row>
    <row r="99" spans="1:11" s="24" customFormat="1" ht="19.5" customHeight="1">
      <c r="A99" s="55"/>
      <c r="B99" s="77"/>
      <c r="C99" s="78">
        <v>4300</v>
      </c>
      <c r="D99" s="12" t="s">
        <v>92</v>
      </c>
      <c r="E99" s="76"/>
      <c r="F99" s="90"/>
      <c r="G99" s="90"/>
      <c r="H99" s="90">
        <v>0</v>
      </c>
      <c r="I99" s="202">
        <v>2448</v>
      </c>
      <c r="J99" s="155">
        <v>2448</v>
      </c>
      <c r="K99" s="207">
        <f t="shared" si="10"/>
        <v>100</v>
      </c>
    </row>
    <row r="100" spans="1:11" s="24" customFormat="1" ht="19.5" customHeight="1">
      <c r="A100" s="55"/>
      <c r="B100" s="77"/>
      <c r="C100" s="78">
        <v>4410</v>
      </c>
      <c r="D100" s="12" t="s">
        <v>103</v>
      </c>
      <c r="E100" s="76"/>
      <c r="F100" s="90"/>
      <c r="G100" s="90"/>
      <c r="H100" s="90">
        <v>0</v>
      </c>
      <c r="I100" s="202">
        <v>2849</v>
      </c>
      <c r="J100" s="155">
        <v>2848</v>
      </c>
      <c r="K100" s="207">
        <f t="shared" si="10"/>
        <v>99.96489996489997</v>
      </c>
    </row>
    <row r="101" spans="1:11" s="24" customFormat="1" ht="19.5" customHeight="1">
      <c r="A101" s="55"/>
      <c r="B101" s="77">
        <v>75108</v>
      </c>
      <c r="C101" s="78"/>
      <c r="D101" s="12" t="s">
        <v>321</v>
      </c>
      <c r="E101" s="76"/>
      <c r="F101" s="90"/>
      <c r="G101" s="90"/>
      <c r="H101" s="90">
        <f>SUM(H102:H108)</f>
        <v>0</v>
      </c>
      <c r="I101" s="202">
        <f>SUM(I102:I108)</f>
        <v>44760</v>
      </c>
      <c r="J101" s="202">
        <f>SUM(J102:J108)</f>
        <v>44622</v>
      </c>
      <c r="K101" s="207">
        <f t="shared" si="10"/>
        <v>99.6916890080429</v>
      </c>
    </row>
    <row r="102" spans="1:11" s="24" customFormat="1" ht="23.25" customHeight="1">
      <c r="A102" s="55"/>
      <c r="B102" s="77"/>
      <c r="C102" s="78">
        <v>3030</v>
      </c>
      <c r="D102" s="12" t="s">
        <v>102</v>
      </c>
      <c r="E102" s="76"/>
      <c r="F102" s="90"/>
      <c r="G102" s="90"/>
      <c r="H102" s="90">
        <v>0</v>
      </c>
      <c r="I102" s="202">
        <v>26010</v>
      </c>
      <c r="J102" s="155">
        <v>25875</v>
      </c>
      <c r="K102" s="207">
        <f t="shared" si="10"/>
        <v>99.48096885813149</v>
      </c>
    </row>
    <row r="103" spans="1:11" s="24" customFormat="1" ht="19.5" customHeight="1">
      <c r="A103" s="55"/>
      <c r="B103" s="77"/>
      <c r="C103" s="78">
        <v>4110</v>
      </c>
      <c r="D103" s="12" t="s">
        <v>99</v>
      </c>
      <c r="E103" s="76"/>
      <c r="F103" s="90"/>
      <c r="G103" s="90"/>
      <c r="H103" s="90">
        <v>0</v>
      </c>
      <c r="I103" s="202">
        <v>778</v>
      </c>
      <c r="J103" s="155">
        <v>777</v>
      </c>
      <c r="K103" s="207">
        <f t="shared" si="10"/>
        <v>99.87146529562982</v>
      </c>
    </row>
    <row r="104" spans="1:11" s="24" customFormat="1" ht="19.5" customHeight="1">
      <c r="A104" s="55"/>
      <c r="B104" s="77"/>
      <c r="C104" s="78">
        <v>4120</v>
      </c>
      <c r="D104" s="12" t="s">
        <v>100</v>
      </c>
      <c r="E104" s="76"/>
      <c r="F104" s="90"/>
      <c r="G104" s="90"/>
      <c r="H104" s="90">
        <v>0</v>
      </c>
      <c r="I104" s="202">
        <v>111</v>
      </c>
      <c r="J104" s="155">
        <v>111</v>
      </c>
      <c r="K104" s="207">
        <f t="shared" si="10"/>
        <v>100</v>
      </c>
    </row>
    <row r="105" spans="1:11" s="24" customFormat="1" ht="19.5" customHeight="1">
      <c r="A105" s="55"/>
      <c r="B105" s="77"/>
      <c r="C105" s="78">
        <v>4170</v>
      </c>
      <c r="D105" s="12" t="s">
        <v>249</v>
      </c>
      <c r="E105" s="76"/>
      <c r="F105" s="90"/>
      <c r="G105" s="90"/>
      <c r="H105" s="90">
        <v>0</v>
      </c>
      <c r="I105" s="202">
        <v>6722</v>
      </c>
      <c r="J105" s="155">
        <v>6722</v>
      </c>
      <c r="K105" s="207">
        <f t="shared" si="10"/>
        <v>100</v>
      </c>
    </row>
    <row r="106" spans="1:11" s="24" customFormat="1" ht="19.5" customHeight="1">
      <c r="A106" s="55"/>
      <c r="B106" s="77"/>
      <c r="C106" s="78">
        <v>4210</v>
      </c>
      <c r="D106" s="12" t="s">
        <v>105</v>
      </c>
      <c r="E106" s="76"/>
      <c r="F106" s="90"/>
      <c r="G106" s="90"/>
      <c r="H106" s="90">
        <v>0</v>
      </c>
      <c r="I106" s="202">
        <v>6953</v>
      </c>
      <c r="J106" s="155">
        <v>6953</v>
      </c>
      <c r="K106" s="207">
        <f t="shared" si="10"/>
        <v>100</v>
      </c>
    </row>
    <row r="107" spans="1:11" s="24" customFormat="1" ht="19.5" customHeight="1">
      <c r="A107" s="55"/>
      <c r="B107" s="77"/>
      <c r="C107" s="78">
        <v>4300</v>
      </c>
      <c r="D107" s="12" t="s">
        <v>92</v>
      </c>
      <c r="E107" s="76"/>
      <c r="F107" s="90"/>
      <c r="G107" s="90"/>
      <c r="H107" s="90">
        <v>0</v>
      </c>
      <c r="I107" s="202">
        <v>2260</v>
      </c>
      <c r="J107" s="155">
        <v>2259</v>
      </c>
      <c r="K107" s="207">
        <f t="shared" si="10"/>
        <v>99.95575221238938</v>
      </c>
    </row>
    <row r="108" spans="1:11" s="24" customFormat="1" ht="19.5" customHeight="1">
      <c r="A108" s="55"/>
      <c r="B108" s="77"/>
      <c r="C108" s="78">
        <v>4410</v>
      </c>
      <c r="D108" s="12" t="s">
        <v>103</v>
      </c>
      <c r="E108" s="76"/>
      <c r="F108" s="90"/>
      <c r="G108" s="90"/>
      <c r="H108" s="90">
        <v>0</v>
      </c>
      <c r="I108" s="202">
        <v>1926</v>
      </c>
      <c r="J108" s="155">
        <v>1925</v>
      </c>
      <c r="K108" s="207">
        <f t="shared" si="10"/>
        <v>99.94807892004154</v>
      </c>
    </row>
    <row r="109" spans="1:11" s="5" customFormat="1" ht="31.5" customHeight="1">
      <c r="A109" s="33" t="s">
        <v>26</v>
      </c>
      <c r="B109" s="4"/>
      <c r="C109" s="3"/>
      <c r="D109" s="19" t="s">
        <v>112</v>
      </c>
      <c r="E109" s="66" t="e">
        <f aca="true" t="shared" si="12" ref="E109:J109">SUM(E110,E121,E124,E136,)</f>
        <v>#REF!</v>
      </c>
      <c r="F109" s="66" t="e">
        <f t="shared" si="12"/>
        <v>#REF!</v>
      </c>
      <c r="G109" s="66" t="e">
        <f t="shared" si="12"/>
        <v>#REF!</v>
      </c>
      <c r="H109" s="66">
        <f t="shared" si="12"/>
        <v>256567</v>
      </c>
      <c r="I109" s="204">
        <f t="shared" si="12"/>
        <v>242874</v>
      </c>
      <c r="J109" s="204">
        <f t="shared" si="12"/>
        <v>216214</v>
      </c>
      <c r="K109" s="208">
        <f t="shared" si="10"/>
        <v>89.02311486614458</v>
      </c>
    </row>
    <row r="110" spans="1:11" s="24" customFormat="1" ht="19.5" customHeight="1">
      <c r="A110" s="55"/>
      <c r="B110" s="77" t="s">
        <v>113</v>
      </c>
      <c r="C110" s="55"/>
      <c r="D110" s="12" t="s">
        <v>114</v>
      </c>
      <c r="E110" s="76">
        <f>SUM(E111:E119)</f>
        <v>107800</v>
      </c>
      <c r="F110" s="76">
        <f>SUM(F111:F119)</f>
        <v>96150</v>
      </c>
      <c r="G110" s="76">
        <f>SUM(G111:G119)</f>
        <v>96150</v>
      </c>
      <c r="H110" s="155">
        <f>SUM(H111:H120)</f>
        <v>107800</v>
      </c>
      <c r="I110" s="202">
        <f>SUM(I111:I120)</f>
        <v>114600</v>
      </c>
      <c r="J110" s="155">
        <f>SUM(J111:J120)</f>
        <v>101140</v>
      </c>
      <c r="K110" s="207">
        <f t="shared" si="10"/>
        <v>88.25479930191972</v>
      </c>
    </row>
    <row r="111" spans="1:11" s="24" customFormat="1" ht="24" customHeight="1">
      <c r="A111" s="55"/>
      <c r="B111" s="77"/>
      <c r="C111" s="55">
        <v>3020</v>
      </c>
      <c r="D111" s="12" t="s">
        <v>240</v>
      </c>
      <c r="E111" s="76">
        <v>0</v>
      </c>
      <c r="F111" s="76">
        <v>18200</v>
      </c>
      <c r="G111" s="76"/>
      <c r="H111" s="76">
        <f>SUM(E111+F111-G111)</f>
        <v>18200</v>
      </c>
      <c r="I111" s="202">
        <v>16000</v>
      </c>
      <c r="J111" s="155">
        <v>14730</v>
      </c>
      <c r="K111" s="207">
        <f t="shared" si="10"/>
        <v>92.0625</v>
      </c>
    </row>
    <row r="112" spans="1:11" s="24" customFormat="1" ht="19.5" customHeight="1">
      <c r="A112" s="55"/>
      <c r="B112" s="77"/>
      <c r="C112" s="55">
        <v>4110</v>
      </c>
      <c r="D112" s="12" t="s">
        <v>99</v>
      </c>
      <c r="E112" s="76">
        <v>0</v>
      </c>
      <c r="F112" s="76">
        <v>3800</v>
      </c>
      <c r="G112" s="76"/>
      <c r="H112" s="76">
        <f aca="true" t="shared" si="13" ref="H112:H119">SUM(E112+F112-G112)</f>
        <v>3800</v>
      </c>
      <c r="I112" s="202">
        <v>1694</v>
      </c>
      <c r="J112" s="155">
        <v>1417</v>
      </c>
      <c r="K112" s="207">
        <f t="shared" si="10"/>
        <v>83.64817001180637</v>
      </c>
    </row>
    <row r="113" spans="1:11" s="24" customFormat="1" ht="19.5" customHeight="1">
      <c r="A113" s="55"/>
      <c r="B113" s="77"/>
      <c r="C113" s="78">
        <v>4170</v>
      </c>
      <c r="D113" s="12" t="s">
        <v>249</v>
      </c>
      <c r="E113" s="76">
        <v>3900</v>
      </c>
      <c r="F113" s="90">
        <v>18200</v>
      </c>
      <c r="G113" s="90"/>
      <c r="H113" s="76">
        <f t="shared" si="13"/>
        <v>22100</v>
      </c>
      <c r="I113" s="202">
        <v>20877</v>
      </c>
      <c r="J113" s="155">
        <v>18907</v>
      </c>
      <c r="K113" s="207">
        <f t="shared" si="10"/>
        <v>90.56377832063994</v>
      </c>
    </row>
    <row r="114" spans="1:11" s="24" customFormat="1" ht="19.5" customHeight="1">
      <c r="A114" s="55"/>
      <c r="B114" s="77"/>
      <c r="C114" s="78">
        <v>4210</v>
      </c>
      <c r="D114" s="12" t="s">
        <v>105</v>
      </c>
      <c r="E114" s="76">
        <f>2000+2000</f>
        <v>4000</v>
      </c>
      <c r="F114" s="90">
        <v>23600</v>
      </c>
      <c r="G114" s="90"/>
      <c r="H114" s="76">
        <f t="shared" si="13"/>
        <v>27600</v>
      </c>
      <c r="I114" s="202">
        <v>29116</v>
      </c>
      <c r="J114" s="155">
        <v>25542</v>
      </c>
      <c r="K114" s="207">
        <f t="shared" si="10"/>
        <v>87.72496222008517</v>
      </c>
    </row>
    <row r="115" spans="1:11" s="24" customFormat="1" ht="19.5" customHeight="1">
      <c r="A115" s="55"/>
      <c r="B115" s="77"/>
      <c r="C115" s="78">
        <v>4260</v>
      </c>
      <c r="D115" s="12" t="s">
        <v>108</v>
      </c>
      <c r="E115" s="76">
        <v>0</v>
      </c>
      <c r="F115" s="90">
        <v>6400</v>
      </c>
      <c r="G115" s="90"/>
      <c r="H115" s="76">
        <f t="shared" si="13"/>
        <v>6400</v>
      </c>
      <c r="I115" s="202">
        <v>7600</v>
      </c>
      <c r="J115" s="155">
        <v>6632</v>
      </c>
      <c r="K115" s="207">
        <f t="shared" si="10"/>
        <v>87.26315789473685</v>
      </c>
    </row>
    <row r="116" spans="1:11" s="24" customFormat="1" ht="19.5" customHeight="1">
      <c r="A116" s="55"/>
      <c r="B116" s="77"/>
      <c r="C116" s="78">
        <v>4270</v>
      </c>
      <c r="D116" s="12" t="s">
        <v>91</v>
      </c>
      <c r="E116" s="76">
        <v>0</v>
      </c>
      <c r="F116" s="90">
        <v>13500</v>
      </c>
      <c r="G116" s="90"/>
      <c r="H116" s="76">
        <f t="shared" si="13"/>
        <v>13500</v>
      </c>
      <c r="I116" s="202">
        <v>1000</v>
      </c>
      <c r="J116" s="155">
        <v>466</v>
      </c>
      <c r="K116" s="207">
        <f t="shared" si="10"/>
        <v>46.6</v>
      </c>
    </row>
    <row r="117" spans="1:11" s="24" customFormat="1" ht="19.5" customHeight="1">
      <c r="A117" s="55"/>
      <c r="B117" s="77"/>
      <c r="C117" s="78">
        <v>4300</v>
      </c>
      <c r="D117" s="12" t="s">
        <v>92</v>
      </c>
      <c r="E117" s="76">
        <f>96150</f>
        <v>96150</v>
      </c>
      <c r="F117" s="90">
        <v>6450</v>
      </c>
      <c r="G117" s="90">
        <v>96150</v>
      </c>
      <c r="H117" s="76">
        <f t="shared" si="13"/>
        <v>6450</v>
      </c>
      <c r="I117" s="202">
        <v>4950</v>
      </c>
      <c r="J117" s="155">
        <v>4383</v>
      </c>
      <c r="K117" s="207">
        <f t="shared" si="10"/>
        <v>88.54545454545455</v>
      </c>
    </row>
    <row r="118" spans="1:11" s="24" customFormat="1" ht="19.5" customHeight="1">
      <c r="A118" s="55"/>
      <c r="B118" s="77"/>
      <c r="C118" s="78">
        <v>4410</v>
      </c>
      <c r="D118" s="12" t="s">
        <v>103</v>
      </c>
      <c r="E118" s="76">
        <v>3750</v>
      </c>
      <c r="F118" s="90"/>
      <c r="G118" s="90"/>
      <c r="H118" s="76">
        <f t="shared" si="13"/>
        <v>3750</v>
      </c>
      <c r="I118" s="202">
        <v>3050</v>
      </c>
      <c r="J118" s="155">
        <v>2869</v>
      </c>
      <c r="K118" s="207">
        <f t="shared" si="10"/>
        <v>94.06557377049181</v>
      </c>
    </row>
    <row r="119" spans="1:11" s="24" customFormat="1" ht="19.5" customHeight="1">
      <c r="A119" s="55"/>
      <c r="B119" s="77"/>
      <c r="C119" s="78">
        <v>4430</v>
      </c>
      <c r="D119" s="12" t="s">
        <v>107</v>
      </c>
      <c r="E119" s="76">
        <v>0</v>
      </c>
      <c r="F119" s="90">
        <v>6000</v>
      </c>
      <c r="G119" s="90"/>
      <c r="H119" s="76">
        <f t="shared" si="13"/>
        <v>6000</v>
      </c>
      <c r="I119" s="202">
        <v>5763</v>
      </c>
      <c r="J119" s="155">
        <v>5318</v>
      </c>
      <c r="K119" s="207">
        <f t="shared" si="10"/>
        <v>92.27832726010759</v>
      </c>
    </row>
    <row r="120" spans="1:11" s="24" customFormat="1" ht="27.75" customHeight="1">
      <c r="A120" s="55"/>
      <c r="B120" s="77"/>
      <c r="C120" s="78">
        <v>6050</v>
      </c>
      <c r="D120" s="12" t="s">
        <v>86</v>
      </c>
      <c r="E120" s="76"/>
      <c r="F120" s="90"/>
      <c r="G120" s="90"/>
      <c r="H120" s="76">
        <v>0</v>
      </c>
      <c r="I120" s="202">
        <v>24550</v>
      </c>
      <c r="J120" s="155">
        <v>20876</v>
      </c>
      <c r="K120" s="207">
        <f t="shared" si="10"/>
        <v>85.03462321792261</v>
      </c>
    </row>
    <row r="121" spans="1:11" s="24" customFormat="1" ht="19.5" customHeight="1">
      <c r="A121" s="55"/>
      <c r="B121" s="77" t="s">
        <v>28</v>
      </c>
      <c r="C121" s="55"/>
      <c r="D121" s="12" t="s">
        <v>115</v>
      </c>
      <c r="E121" s="76" t="e">
        <f>SUM(#REF!)</f>
        <v>#REF!</v>
      </c>
      <c r="F121" s="76" t="e">
        <f>SUM(#REF!)</f>
        <v>#REF!</v>
      </c>
      <c r="G121" s="76" t="e">
        <f>SUM(#REF!)</f>
        <v>#REF!</v>
      </c>
      <c r="H121" s="76">
        <f>SUM(H122,H123)</f>
        <v>1400</v>
      </c>
      <c r="I121" s="202">
        <f>SUM(I122:I123)</f>
        <v>1400</v>
      </c>
      <c r="J121" s="155">
        <f>SUM(J122:J123)</f>
        <v>1400</v>
      </c>
      <c r="K121" s="207">
        <f t="shared" si="10"/>
        <v>100</v>
      </c>
    </row>
    <row r="122" spans="1:11" s="24" customFormat="1" ht="19.5" customHeight="1">
      <c r="A122" s="55"/>
      <c r="B122" s="77"/>
      <c r="C122" s="78">
        <v>4210</v>
      </c>
      <c r="D122" s="12" t="s">
        <v>92</v>
      </c>
      <c r="E122" s="76"/>
      <c r="F122" s="90"/>
      <c r="G122" s="90"/>
      <c r="H122" s="90">
        <v>1400</v>
      </c>
      <c r="I122" s="202">
        <v>0</v>
      </c>
      <c r="J122" s="155">
        <v>0</v>
      </c>
      <c r="K122" s="207">
        <v>0</v>
      </c>
    </row>
    <row r="123" spans="1:11" s="24" customFormat="1" ht="19.5" customHeight="1">
      <c r="A123" s="55"/>
      <c r="B123" s="77"/>
      <c r="C123" s="78">
        <v>4300</v>
      </c>
      <c r="D123" s="12" t="s">
        <v>92</v>
      </c>
      <c r="E123" s="76"/>
      <c r="F123" s="90"/>
      <c r="G123" s="90"/>
      <c r="H123" s="90">
        <v>0</v>
      </c>
      <c r="I123" s="202">
        <v>1400</v>
      </c>
      <c r="J123" s="155">
        <v>1400</v>
      </c>
      <c r="K123" s="207">
        <f t="shared" si="10"/>
        <v>100</v>
      </c>
    </row>
    <row r="124" spans="1:11" s="24" customFormat="1" ht="19.5" customHeight="1">
      <c r="A124" s="55"/>
      <c r="B124" s="77">
        <v>75416</v>
      </c>
      <c r="C124" s="55"/>
      <c r="D124" s="12" t="s">
        <v>31</v>
      </c>
      <c r="E124" s="76">
        <f aca="true" t="shared" si="14" ref="E124:J124">SUM(E125:E135)</f>
        <v>162367</v>
      </c>
      <c r="F124" s="76">
        <f t="shared" si="14"/>
        <v>0</v>
      </c>
      <c r="G124" s="76">
        <f t="shared" si="14"/>
        <v>20000</v>
      </c>
      <c r="H124" s="76">
        <f t="shared" si="14"/>
        <v>142367</v>
      </c>
      <c r="I124" s="202">
        <f t="shared" si="14"/>
        <v>121874</v>
      </c>
      <c r="J124" s="155">
        <f t="shared" si="14"/>
        <v>108674</v>
      </c>
      <c r="K124" s="207">
        <f t="shared" si="10"/>
        <v>89.1691419006515</v>
      </c>
    </row>
    <row r="125" spans="1:11" s="24" customFormat="1" ht="27.75" customHeight="1">
      <c r="A125" s="55"/>
      <c r="B125" s="77"/>
      <c r="C125" s="78">
        <v>3020</v>
      </c>
      <c r="D125" s="12" t="s">
        <v>240</v>
      </c>
      <c r="E125" s="76">
        <v>8000</v>
      </c>
      <c r="F125" s="90"/>
      <c r="G125" s="90"/>
      <c r="H125" s="90">
        <f aca="true" t="shared" si="15" ref="H125:H187">SUM(E125+F125-G125)</f>
        <v>8000</v>
      </c>
      <c r="I125" s="202">
        <v>1700</v>
      </c>
      <c r="J125" s="155">
        <v>1356</v>
      </c>
      <c r="K125" s="207">
        <f t="shared" si="10"/>
        <v>79.76470588235294</v>
      </c>
    </row>
    <row r="126" spans="1:11" s="24" customFormat="1" ht="23.25" customHeight="1">
      <c r="A126" s="55"/>
      <c r="B126" s="77"/>
      <c r="C126" s="78">
        <v>4010</v>
      </c>
      <c r="D126" s="12" t="s">
        <v>97</v>
      </c>
      <c r="E126" s="76">
        <v>94927</v>
      </c>
      <c r="F126" s="90"/>
      <c r="G126" s="90">
        <v>18000</v>
      </c>
      <c r="H126" s="90">
        <f t="shared" si="15"/>
        <v>76927</v>
      </c>
      <c r="I126" s="202">
        <v>76927</v>
      </c>
      <c r="J126" s="155">
        <v>68839</v>
      </c>
      <c r="K126" s="207">
        <f t="shared" si="10"/>
        <v>89.48613620705343</v>
      </c>
    </row>
    <row r="127" spans="1:11" s="24" customFormat="1" ht="19.5" customHeight="1">
      <c r="A127" s="55"/>
      <c r="B127" s="77"/>
      <c r="C127" s="78">
        <v>4040</v>
      </c>
      <c r="D127" s="12" t="s">
        <v>98</v>
      </c>
      <c r="E127" s="76">
        <v>5500</v>
      </c>
      <c r="F127" s="90"/>
      <c r="G127" s="90"/>
      <c r="H127" s="90">
        <f t="shared" si="15"/>
        <v>5500</v>
      </c>
      <c r="I127" s="202">
        <v>5500</v>
      </c>
      <c r="J127" s="155">
        <v>5420</v>
      </c>
      <c r="K127" s="207">
        <f t="shared" si="10"/>
        <v>98.54545454545455</v>
      </c>
    </row>
    <row r="128" spans="1:11" s="24" customFormat="1" ht="19.5" customHeight="1">
      <c r="A128" s="55"/>
      <c r="B128" s="77"/>
      <c r="C128" s="78">
        <v>4110</v>
      </c>
      <c r="D128" s="12" t="s">
        <v>99</v>
      </c>
      <c r="E128" s="76">
        <v>17304</v>
      </c>
      <c r="F128" s="90"/>
      <c r="G128" s="90">
        <v>2000</v>
      </c>
      <c r="H128" s="90">
        <f t="shared" si="15"/>
        <v>15304</v>
      </c>
      <c r="I128" s="202">
        <v>15304</v>
      </c>
      <c r="J128" s="155">
        <v>12404</v>
      </c>
      <c r="K128" s="207">
        <f t="shared" si="10"/>
        <v>81.05070569785677</v>
      </c>
    </row>
    <row r="129" spans="1:11" s="24" customFormat="1" ht="19.5" customHeight="1">
      <c r="A129" s="55"/>
      <c r="B129" s="77"/>
      <c r="C129" s="78">
        <v>4120</v>
      </c>
      <c r="D129" s="12" t="s">
        <v>100</v>
      </c>
      <c r="E129" s="76">
        <v>2461</v>
      </c>
      <c r="F129" s="90"/>
      <c r="G129" s="90"/>
      <c r="H129" s="90">
        <f t="shared" si="15"/>
        <v>2461</v>
      </c>
      <c r="I129" s="202">
        <v>2461</v>
      </c>
      <c r="J129" s="155">
        <v>1764</v>
      </c>
      <c r="K129" s="207">
        <f t="shared" si="10"/>
        <v>71.67817960178789</v>
      </c>
    </row>
    <row r="130" spans="1:11" s="24" customFormat="1" ht="19.5" customHeight="1">
      <c r="A130" s="55"/>
      <c r="B130" s="77"/>
      <c r="C130" s="78">
        <v>4210</v>
      </c>
      <c r="D130" s="12" t="s">
        <v>105</v>
      </c>
      <c r="E130" s="76">
        <v>11600</v>
      </c>
      <c r="F130" s="90"/>
      <c r="G130" s="90"/>
      <c r="H130" s="90">
        <f t="shared" si="15"/>
        <v>11600</v>
      </c>
      <c r="I130" s="202">
        <v>9930</v>
      </c>
      <c r="J130" s="155">
        <v>9260</v>
      </c>
      <c r="K130" s="207">
        <f t="shared" si="10"/>
        <v>93.25276938569989</v>
      </c>
    </row>
    <row r="131" spans="1:11" s="24" customFormat="1" ht="19.5" customHeight="1">
      <c r="A131" s="55"/>
      <c r="B131" s="77"/>
      <c r="C131" s="78">
        <v>4270</v>
      </c>
      <c r="D131" s="12" t="s">
        <v>91</v>
      </c>
      <c r="E131" s="76">
        <v>4000</v>
      </c>
      <c r="F131" s="90"/>
      <c r="G131" s="90"/>
      <c r="H131" s="90">
        <f t="shared" si="15"/>
        <v>4000</v>
      </c>
      <c r="I131" s="202">
        <v>0</v>
      </c>
      <c r="J131" s="155">
        <v>0</v>
      </c>
      <c r="K131" s="207">
        <v>0</v>
      </c>
    </row>
    <row r="132" spans="1:11" s="24" customFormat="1" ht="19.5" customHeight="1">
      <c r="A132" s="55"/>
      <c r="B132" s="77"/>
      <c r="C132" s="78">
        <v>4300</v>
      </c>
      <c r="D132" s="12" t="s">
        <v>92</v>
      </c>
      <c r="E132" s="76">
        <v>11800</v>
      </c>
      <c r="F132" s="90"/>
      <c r="G132" s="90"/>
      <c r="H132" s="90">
        <f t="shared" si="15"/>
        <v>11800</v>
      </c>
      <c r="I132" s="202">
        <v>5829</v>
      </c>
      <c r="J132" s="155">
        <v>5602</v>
      </c>
      <c r="K132" s="207">
        <f t="shared" si="10"/>
        <v>96.10567850403157</v>
      </c>
    </row>
    <row r="133" spans="1:11" s="24" customFormat="1" ht="19.5" customHeight="1">
      <c r="A133" s="55"/>
      <c r="B133" s="77"/>
      <c r="C133" s="78">
        <v>4410</v>
      </c>
      <c r="D133" s="12" t="s">
        <v>103</v>
      </c>
      <c r="E133" s="76">
        <v>500</v>
      </c>
      <c r="F133" s="90"/>
      <c r="G133" s="90"/>
      <c r="H133" s="90">
        <f t="shared" si="15"/>
        <v>500</v>
      </c>
      <c r="I133" s="202">
        <v>500</v>
      </c>
      <c r="J133" s="155">
        <v>334</v>
      </c>
      <c r="K133" s="207">
        <f t="shared" si="10"/>
        <v>66.8</v>
      </c>
    </row>
    <row r="134" spans="1:11" s="24" customFormat="1" ht="19.5" customHeight="1">
      <c r="A134" s="55"/>
      <c r="B134" s="77"/>
      <c r="C134" s="88">
        <v>4430</v>
      </c>
      <c r="D134" s="12" t="s">
        <v>107</v>
      </c>
      <c r="E134" s="76">
        <v>3500</v>
      </c>
      <c r="F134" s="90"/>
      <c r="G134" s="90"/>
      <c r="H134" s="90">
        <f t="shared" si="15"/>
        <v>3500</v>
      </c>
      <c r="I134" s="202">
        <v>1523</v>
      </c>
      <c r="J134" s="155">
        <v>1495</v>
      </c>
      <c r="K134" s="207">
        <f t="shared" si="10"/>
        <v>98.16152330925804</v>
      </c>
    </row>
    <row r="135" spans="1:11" s="24" customFormat="1" ht="26.25" customHeight="1">
      <c r="A135" s="55"/>
      <c r="B135" s="77"/>
      <c r="C135" s="88">
        <v>4440</v>
      </c>
      <c r="D135" s="12" t="s">
        <v>101</v>
      </c>
      <c r="E135" s="76">
        <v>2775</v>
      </c>
      <c r="F135" s="90"/>
      <c r="G135" s="90"/>
      <c r="H135" s="90">
        <f t="shared" si="15"/>
        <v>2775</v>
      </c>
      <c r="I135" s="202">
        <v>2200</v>
      </c>
      <c r="J135" s="155">
        <v>2200</v>
      </c>
      <c r="K135" s="207">
        <f t="shared" si="10"/>
        <v>100</v>
      </c>
    </row>
    <row r="136" spans="1:11" s="24" customFormat="1" ht="19.5" customHeight="1">
      <c r="A136" s="55"/>
      <c r="B136" s="77" t="s">
        <v>116</v>
      </c>
      <c r="C136" s="55"/>
      <c r="D136" s="12" t="s">
        <v>6</v>
      </c>
      <c r="E136" s="76">
        <f aca="true" t="shared" si="16" ref="E136:J136">SUM(E137)</f>
        <v>5000</v>
      </c>
      <c r="F136" s="76">
        <f t="shared" si="16"/>
        <v>0</v>
      </c>
      <c r="G136" s="76">
        <f t="shared" si="16"/>
        <v>0</v>
      </c>
      <c r="H136" s="76">
        <f t="shared" si="16"/>
        <v>5000</v>
      </c>
      <c r="I136" s="202">
        <f t="shared" si="16"/>
        <v>5000</v>
      </c>
      <c r="J136" s="155">
        <f t="shared" si="16"/>
        <v>5000</v>
      </c>
      <c r="K136" s="207">
        <f t="shared" si="10"/>
        <v>100</v>
      </c>
    </row>
    <row r="137" spans="1:11" s="24" customFormat="1" ht="19.5" customHeight="1">
      <c r="A137" s="55"/>
      <c r="B137" s="77"/>
      <c r="C137" s="88">
        <v>4430</v>
      </c>
      <c r="D137" s="12" t="s">
        <v>107</v>
      </c>
      <c r="E137" s="76">
        <v>5000</v>
      </c>
      <c r="F137" s="90"/>
      <c r="G137" s="90"/>
      <c r="H137" s="90">
        <f t="shared" si="15"/>
        <v>5000</v>
      </c>
      <c r="I137" s="202">
        <v>5000</v>
      </c>
      <c r="J137" s="155">
        <v>5000</v>
      </c>
      <c r="K137" s="207">
        <f aca="true" t="shared" si="17" ref="K137:K199">J137/I137*100</f>
        <v>100</v>
      </c>
    </row>
    <row r="138" spans="1:11" s="42" customFormat="1" ht="60">
      <c r="A138" s="3">
        <v>756</v>
      </c>
      <c r="B138" s="30"/>
      <c r="C138" s="10"/>
      <c r="D138" s="19" t="s">
        <v>181</v>
      </c>
      <c r="E138" s="66">
        <f aca="true" t="shared" si="18" ref="E138:J138">SUM(E139)</f>
        <v>70000</v>
      </c>
      <c r="F138" s="66">
        <f t="shared" si="18"/>
        <v>0</v>
      </c>
      <c r="G138" s="66">
        <f t="shared" si="18"/>
        <v>0</v>
      </c>
      <c r="H138" s="66">
        <f t="shared" si="18"/>
        <v>70000</v>
      </c>
      <c r="I138" s="204">
        <f t="shared" si="18"/>
        <v>68396</v>
      </c>
      <c r="J138" s="32">
        <f t="shared" si="18"/>
        <v>65711</v>
      </c>
      <c r="K138" s="208">
        <f t="shared" si="17"/>
        <v>96.0743318322709</v>
      </c>
    </row>
    <row r="139" spans="1:11" s="24" customFormat="1" ht="24">
      <c r="A139" s="55"/>
      <c r="B139" s="77">
        <v>75647</v>
      </c>
      <c r="C139" s="88"/>
      <c r="D139" s="12" t="s">
        <v>216</v>
      </c>
      <c r="E139" s="76">
        <f aca="true" t="shared" si="19" ref="E139:J139">SUM(E140:E145)</f>
        <v>70000</v>
      </c>
      <c r="F139" s="76">
        <f t="shared" si="19"/>
        <v>0</v>
      </c>
      <c r="G139" s="76">
        <f t="shared" si="19"/>
        <v>0</v>
      </c>
      <c r="H139" s="76">
        <f t="shared" si="19"/>
        <v>70000</v>
      </c>
      <c r="I139" s="202">
        <f t="shared" si="19"/>
        <v>68396</v>
      </c>
      <c r="J139" s="155">
        <f t="shared" si="19"/>
        <v>65711</v>
      </c>
      <c r="K139" s="207">
        <f t="shared" si="17"/>
        <v>96.0743318322709</v>
      </c>
    </row>
    <row r="140" spans="1:11" s="24" customFormat="1" ht="19.5" customHeight="1">
      <c r="A140" s="55"/>
      <c r="B140" s="77"/>
      <c r="C140" s="88">
        <v>4100</v>
      </c>
      <c r="D140" s="12" t="s">
        <v>110</v>
      </c>
      <c r="E140" s="76">
        <v>30000</v>
      </c>
      <c r="F140" s="90"/>
      <c r="G140" s="90"/>
      <c r="H140" s="90">
        <f t="shared" si="15"/>
        <v>30000</v>
      </c>
      <c r="I140" s="202">
        <v>39000</v>
      </c>
      <c r="J140" s="155">
        <v>38023</v>
      </c>
      <c r="K140" s="207">
        <f t="shared" si="17"/>
        <v>97.4948717948718</v>
      </c>
    </row>
    <row r="141" spans="1:11" s="24" customFormat="1" ht="19.5" customHeight="1">
      <c r="A141" s="55"/>
      <c r="B141" s="77"/>
      <c r="C141" s="88">
        <v>4170</v>
      </c>
      <c r="D141" s="12" t="s">
        <v>249</v>
      </c>
      <c r="E141" s="76"/>
      <c r="F141" s="90"/>
      <c r="G141" s="90"/>
      <c r="H141" s="90">
        <v>0</v>
      </c>
      <c r="I141" s="202">
        <v>8000</v>
      </c>
      <c r="J141" s="155">
        <v>7476</v>
      </c>
      <c r="K141" s="207">
        <f t="shared" si="17"/>
        <v>93.45</v>
      </c>
    </row>
    <row r="142" spans="1:11" s="24" customFormat="1" ht="19.5" customHeight="1">
      <c r="A142" s="55"/>
      <c r="B142" s="77"/>
      <c r="C142" s="88">
        <v>4210</v>
      </c>
      <c r="D142" s="12" t="s">
        <v>85</v>
      </c>
      <c r="E142" s="76">
        <v>4500</v>
      </c>
      <c r="F142" s="90"/>
      <c r="G142" s="90"/>
      <c r="H142" s="90">
        <f t="shared" si="15"/>
        <v>4500</v>
      </c>
      <c r="I142" s="202">
        <v>4500</v>
      </c>
      <c r="J142" s="155">
        <v>3882</v>
      </c>
      <c r="K142" s="207">
        <f t="shared" si="17"/>
        <v>86.26666666666667</v>
      </c>
    </row>
    <row r="143" spans="1:11" s="24" customFormat="1" ht="24" customHeight="1">
      <c r="A143" s="55"/>
      <c r="B143" s="77"/>
      <c r="C143" s="88">
        <v>4610</v>
      </c>
      <c r="D143" s="12" t="s">
        <v>219</v>
      </c>
      <c r="E143" s="76">
        <v>10000</v>
      </c>
      <c r="F143" s="90"/>
      <c r="G143" s="90"/>
      <c r="H143" s="90">
        <f t="shared" si="15"/>
        <v>10000</v>
      </c>
      <c r="I143" s="202">
        <v>8396</v>
      </c>
      <c r="J143" s="155">
        <v>8120</v>
      </c>
      <c r="K143" s="207">
        <f t="shared" si="17"/>
        <v>96.7127203430205</v>
      </c>
    </row>
    <row r="144" spans="1:11" s="24" customFormat="1" ht="19.5" customHeight="1">
      <c r="A144" s="55"/>
      <c r="B144" s="77"/>
      <c r="C144" s="88">
        <v>4300</v>
      </c>
      <c r="D144" s="12" t="s">
        <v>92</v>
      </c>
      <c r="E144" s="76">
        <f>15000+10000</f>
        <v>25000</v>
      </c>
      <c r="F144" s="90"/>
      <c r="G144" s="90"/>
      <c r="H144" s="90">
        <f t="shared" si="15"/>
        <v>25000</v>
      </c>
      <c r="I144" s="202">
        <v>8000</v>
      </c>
      <c r="J144" s="155">
        <v>8000</v>
      </c>
      <c r="K144" s="207">
        <f t="shared" si="17"/>
        <v>100</v>
      </c>
    </row>
    <row r="145" spans="1:11" s="24" customFormat="1" ht="19.5" customHeight="1">
      <c r="A145" s="55"/>
      <c r="B145" s="77"/>
      <c r="C145" s="88">
        <v>4430</v>
      </c>
      <c r="D145" s="12" t="s">
        <v>107</v>
      </c>
      <c r="E145" s="76">
        <v>500</v>
      </c>
      <c r="F145" s="90"/>
      <c r="G145" s="90"/>
      <c r="H145" s="90">
        <f t="shared" si="15"/>
        <v>500</v>
      </c>
      <c r="I145" s="202">
        <v>500</v>
      </c>
      <c r="J145" s="155">
        <v>210</v>
      </c>
      <c r="K145" s="207">
        <f t="shared" si="17"/>
        <v>42</v>
      </c>
    </row>
    <row r="146" spans="1:11" s="5" customFormat="1" ht="19.5" customHeight="1">
      <c r="A146" s="33" t="s">
        <v>117</v>
      </c>
      <c r="B146" s="4"/>
      <c r="C146" s="3"/>
      <c r="D146" s="19" t="s">
        <v>118</v>
      </c>
      <c r="E146" s="66">
        <f>SUM(E147)</f>
        <v>1168317</v>
      </c>
      <c r="F146" s="66">
        <f aca="true" t="shared" si="20" ref="F146:H147">SUM(F147)</f>
        <v>0</v>
      </c>
      <c r="G146" s="66">
        <f t="shared" si="20"/>
        <v>172959</v>
      </c>
      <c r="H146" s="66">
        <f t="shared" si="20"/>
        <v>995358</v>
      </c>
      <c r="I146" s="204">
        <f>SUM(I147)</f>
        <v>915358</v>
      </c>
      <c r="J146" s="32">
        <f>SUM(J147)</f>
        <v>901623</v>
      </c>
      <c r="K146" s="208">
        <f t="shared" si="17"/>
        <v>98.49949418697383</v>
      </c>
    </row>
    <row r="147" spans="1:11" s="24" customFormat="1" ht="37.5" customHeight="1">
      <c r="A147" s="78"/>
      <c r="B147" s="77" t="s">
        <v>119</v>
      </c>
      <c r="C147" s="55"/>
      <c r="D147" s="12" t="s">
        <v>120</v>
      </c>
      <c r="E147" s="76">
        <f>SUM(E148)</f>
        <v>1168317</v>
      </c>
      <c r="F147" s="76">
        <f t="shared" si="20"/>
        <v>0</v>
      </c>
      <c r="G147" s="76">
        <f t="shared" si="20"/>
        <v>172959</v>
      </c>
      <c r="H147" s="76">
        <f>SUM(H148:H149)</f>
        <v>995358</v>
      </c>
      <c r="I147" s="202">
        <f>SUM(I148:I149)</f>
        <v>915358</v>
      </c>
      <c r="J147" s="155">
        <f>SUM(J148:J149)</f>
        <v>901623</v>
      </c>
      <c r="K147" s="207">
        <f t="shared" si="17"/>
        <v>98.49949418697383</v>
      </c>
    </row>
    <row r="148" spans="1:11" s="24" customFormat="1" ht="47.25" customHeight="1">
      <c r="A148" s="78"/>
      <c r="B148" s="84"/>
      <c r="C148" s="55">
        <v>8070</v>
      </c>
      <c r="D148" s="12" t="s">
        <v>121</v>
      </c>
      <c r="E148" s="76">
        <v>1168317</v>
      </c>
      <c r="F148" s="90"/>
      <c r="G148" s="90">
        <v>172959</v>
      </c>
      <c r="H148" s="90">
        <f t="shared" si="15"/>
        <v>995358</v>
      </c>
      <c r="I148" s="202">
        <v>891358</v>
      </c>
      <c r="J148" s="155">
        <v>879412</v>
      </c>
      <c r="K148" s="207">
        <f t="shared" si="17"/>
        <v>98.65979774680879</v>
      </c>
    </row>
    <row r="149" spans="1:11" s="24" customFormat="1" ht="48" customHeight="1">
      <c r="A149" s="78"/>
      <c r="B149" s="84"/>
      <c r="C149" s="55">
        <v>8079</v>
      </c>
      <c r="D149" s="12" t="s">
        <v>121</v>
      </c>
      <c r="E149" s="76"/>
      <c r="F149" s="90"/>
      <c r="G149" s="90"/>
      <c r="H149" s="90">
        <v>0</v>
      </c>
      <c r="I149" s="202">
        <v>24000</v>
      </c>
      <c r="J149" s="155">
        <v>22211</v>
      </c>
      <c r="K149" s="207">
        <f t="shared" si="17"/>
        <v>92.54583333333333</v>
      </c>
    </row>
    <row r="150" spans="1:11" s="5" customFormat="1" ht="19.5" customHeight="1">
      <c r="A150" s="33" t="s">
        <v>56</v>
      </c>
      <c r="B150" s="4"/>
      <c r="C150" s="3"/>
      <c r="D150" s="19" t="s">
        <v>57</v>
      </c>
      <c r="E150" s="66">
        <f>SUM(E151)</f>
        <v>282273</v>
      </c>
      <c r="F150" s="66">
        <f aca="true" t="shared" si="21" ref="F150:H151">SUM(F151)</f>
        <v>0</v>
      </c>
      <c r="G150" s="66">
        <f t="shared" si="21"/>
        <v>0</v>
      </c>
      <c r="H150" s="66">
        <f t="shared" si="21"/>
        <v>282273</v>
      </c>
      <c r="I150" s="204">
        <f>SUM(I151)</f>
        <v>0</v>
      </c>
      <c r="J150" s="32">
        <f>SUM(J151)</f>
        <v>0</v>
      </c>
      <c r="K150" s="208">
        <v>0</v>
      </c>
    </row>
    <row r="151" spans="1:11" s="24" customFormat="1" ht="19.5" customHeight="1">
      <c r="A151" s="78"/>
      <c r="B151" s="77" t="s">
        <v>122</v>
      </c>
      <c r="C151" s="55"/>
      <c r="D151" s="12" t="s">
        <v>123</v>
      </c>
      <c r="E151" s="76">
        <f>SUM(E152)</f>
        <v>282273</v>
      </c>
      <c r="F151" s="76">
        <f t="shared" si="21"/>
        <v>0</v>
      </c>
      <c r="G151" s="76">
        <f t="shared" si="21"/>
        <v>0</v>
      </c>
      <c r="H151" s="76">
        <f t="shared" si="21"/>
        <v>282273</v>
      </c>
      <c r="I151" s="202">
        <f>SUM(I152)</f>
        <v>0</v>
      </c>
      <c r="J151" s="155">
        <f>SUM(J152)</f>
        <v>0</v>
      </c>
      <c r="K151" s="207">
        <v>0</v>
      </c>
    </row>
    <row r="152" spans="1:11" s="24" customFormat="1" ht="19.5" customHeight="1">
      <c r="A152" s="78"/>
      <c r="B152" s="84"/>
      <c r="C152" s="55">
        <v>4810</v>
      </c>
      <c r="D152" s="12" t="s">
        <v>124</v>
      </c>
      <c r="E152" s="76">
        <f>48000+93571+100000+100000-59298</f>
        <v>282273</v>
      </c>
      <c r="F152" s="90"/>
      <c r="G152" s="90"/>
      <c r="H152" s="90">
        <f t="shared" si="15"/>
        <v>282273</v>
      </c>
      <c r="I152" s="202">
        <v>0</v>
      </c>
      <c r="J152" s="155">
        <v>0</v>
      </c>
      <c r="K152" s="207">
        <v>0</v>
      </c>
    </row>
    <row r="153" spans="1:11" s="5" customFormat="1" ht="19.5" customHeight="1">
      <c r="A153" s="33" t="s">
        <v>125</v>
      </c>
      <c r="B153" s="4"/>
      <c r="C153" s="3"/>
      <c r="D153" s="19" t="s">
        <v>126</v>
      </c>
      <c r="E153" s="153">
        <f>SUM(E154,E185,E199,E221,E225,E229,)</f>
        <v>16396824</v>
      </c>
      <c r="F153" s="153">
        <f>SUM(F154,F185,F199,F221,F225,F229,)</f>
        <v>76347</v>
      </c>
      <c r="G153" s="153">
        <f>SUM(G154,G185,G199,G221,G225,G229,)</f>
        <v>529950</v>
      </c>
      <c r="H153" s="153">
        <f>SUM(H154,H185,H199,H221,H225,H229,)</f>
        <v>16214705</v>
      </c>
      <c r="I153" s="204">
        <f>SUM(I154,I174,I185,I199,I221,I225,I229,)</f>
        <v>16323431</v>
      </c>
      <c r="J153" s="32">
        <f>SUM(J154,J174,J185,J199,J221,J225,J229,)</f>
        <v>16063367</v>
      </c>
      <c r="K153" s="208">
        <f t="shared" si="17"/>
        <v>98.40680553003838</v>
      </c>
    </row>
    <row r="154" spans="1:11" s="24" customFormat="1" ht="19.5" customHeight="1">
      <c r="A154" s="78"/>
      <c r="B154" s="77" t="s">
        <v>127</v>
      </c>
      <c r="C154" s="55"/>
      <c r="D154" s="12" t="s">
        <v>62</v>
      </c>
      <c r="E154" s="76">
        <f aca="true" t="shared" si="22" ref="E154:J154">SUM(E155:E173)</f>
        <v>9053147</v>
      </c>
      <c r="F154" s="76">
        <f t="shared" si="22"/>
        <v>20719</v>
      </c>
      <c r="G154" s="76">
        <f t="shared" si="22"/>
        <v>319230</v>
      </c>
      <c r="H154" s="76">
        <f t="shared" si="22"/>
        <v>8760432</v>
      </c>
      <c r="I154" s="202">
        <f t="shared" si="22"/>
        <v>8861438</v>
      </c>
      <c r="J154" s="155">
        <f t="shared" si="22"/>
        <v>8764066</v>
      </c>
      <c r="K154" s="207">
        <f t="shared" si="17"/>
        <v>98.90117157057354</v>
      </c>
    </row>
    <row r="155" spans="1:11" s="24" customFormat="1" ht="24">
      <c r="A155" s="78"/>
      <c r="B155" s="77"/>
      <c r="C155" s="55">
        <v>2540</v>
      </c>
      <c r="D155" s="12" t="s">
        <v>222</v>
      </c>
      <c r="E155" s="76">
        <v>133094</v>
      </c>
      <c r="F155" s="90">
        <v>6319</v>
      </c>
      <c r="G155" s="90"/>
      <c r="H155" s="90">
        <f t="shared" si="15"/>
        <v>139413</v>
      </c>
      <c r="I155" s="202">
        <v>139413</v>
      </c>
      <c r="J155" s="155">
        <v>139413</v>
      </c>
      <c r="K155" s="207">
        <f t="shared" si="17"/>
        <v>100</v>
      </c>
    </row>
    <row r="156" spans="1:11" s="24" customFormat="1" ht="27" customHeight="1">
      <c r="A156" s="78"/>
      <c r="B156" s="77"/>
      <c r="C156" s="78">
        <v>3020</v>
      </c>
      <c r="D156" s="12" t="s">
        <v>347</v>
      </c>
      <c r="E156" s="76">
        <v>164770</v>
      </c>
      <c r="F156" s="90"/>
      <c r="G156" s="90">
        <f>10534+1468</f>
        <v>12002</v>
      </c>
      <c r="H156" s="90">
        <f t="shared" si="15"/>
        <v>152768</v>
      </c>
      <c r="I156" s="202">
        <v>154659</v>
      </c>
      <c r="J156" s="155">
        <v>154289</v>
      </c>
      <c r="K156" s="207">
        <f t="shared" si="17"/>
        <v>99.7607640033881</v>
      </c>
    </row>
    <row r="157" spans="1:11" s="24" customFormat="1" ht="19.5" customHeight="1">
      <c r="A157" s="78"/>
      <c r="B157" s="77"/>
      <c r="C157" s="78">
        <v>3260</v>
      </c>
      <c r="D157" s="12" t="s">
        <v>315</v>
      </c>
      <c r="E157" s="76"/>
      <c r="F157" s="90"/>
      <c r="G157" s="90"/>
      <c r="H157" s="90">
        <v>0</v>
      </c>
      <c r="I157" s="202">
        <v>7180</v>
      </c>
      <c r="J157" s="155">
        <v>7180</v>
      </c>
      <c r="K157" s="207">
        <f t="shared" si="17"/>
        <v>100</v>
      </c>
    </row>
    <row r="158" spans="1:11" s="24" customFormat="1" ht="19.5" customHeight="1">
      <c r="A158" s="78"/>
      <c r="B158" s="77"/>
      <c r="C158" s="78">
        <v>4010</v>
      </c>
      <c r="D158" s="12" t="s">
        <v>97</v>
      </c>
      <c r="E158" s="76">
        <v>5729443</v>
      </c>
      <c r="F158" s="90"/>
      <c r="G158" s="90">
        <f>39400+37184+41350</f>
        <v>117934</v>
      </c>
      <c r="H158" s="90">
        <f t="shared" si="15"/>
        <v>5611509</v>
      </c>
      <c r="I158" s="202">
        <v>5530099</v>
      </c>
      <c r="J158" s="155">
        <v>5489044</v>
      </c>
      <c r="K158" s="207">
        <f t="shared" si="17"/>
        <v>99.25760822726681</v>
      </c>
    </row>
    <row r="159" spans="1:11" s="24" customFormat="1" ht="19.5" customHeight="1">
      <c r="A159" s="78"/>
      <c r="B159" s="77"/>
      <c r="C159" s="78">
        <v>4040</v>
      </c>
      <c r="D159" s="12" t="s">
        <v>98</v>
      </c>
      <c r="E159" s="76">
        <v>442831</v>
      </c>
      <c r="F159" s="90"/>
      <c r="G159" s="90">
        <v>28380</v>
      </c>
      <c r="H159" s="90">
        <f t="shared" si="15"/>
        <v>414451</v>
      </c>
      <c r="I159" s="202">
        <v>414451</v>
      </c>
      <c r="J159" s="155">
        <v>414176</v>
      </c>
      <c r="K159" s="207">
        <f t="shared" si="17"/>
        <v>99.93364716214944</v>
      </c>
    </row>
    <row r="160" spans="1:11" s="24" customFormat="1" ht="19.5" customHeight="1">
      <c r="A160" s="78"/>
      <c r="B160" s="77"/>
      <c r="C160" s="78">
        <v>4110</v>
      </c>
      <c r="D160" s="12" t="s">
        <v>99</v>
      </c>
      <c r="E160" s="76">
        <v>1130406</v>
      </c>
      <c r="F160" s="90"/>
      <c r="G160" s="90">
        <f>45000+5075+1662</f>
        <v>51737</v>
      </c>
      <c r="H160" s="90">
        <f t="shared" si="15"/>
        <v>1078669</v>
      </c>
      <c r="I160" s="202">
        <v>1075117</v>
      </c>
      <c r="J160" s="155">
        <v>1059760</v>
      </c>
      <c r="K160" s="207">
        <f t="shared" si="17"/>
        <v>98.57159732382615</v>
      </c>
    </row>
    <row r="161" spans="1:11" s="24" customFormat="1" ht="19.5" customHeight="1">
      <c r="A161" s="78"/>
      <c r="B161" s="77"/>
      <c r="C161" s="78">
        <v>4120</v>
      </c>
      <c r="D161" s="12" t="s">
        <v>100</v>
      </c>
      <c r="E161" s="76">
        <v>153945</v>
      </c>
      <c r="F161" s="90"/>
      <c r="G161" s="90">
        <v>694</v>
      </c>
      <c r="H161" s="90">
        <f t="shared" si="15"/>
        <v>153251</v>
      </c>
      <c r="I161" s="202">
        <v>147328</v>
      </c>
      <c r="J161" s="155">
        <v>144058</v>
      </c>
      <c r="K161" s="207">
        <f t="shared" si="17"/>
        <v>97.78046264118157</v>
      </c>
    </row>
    <row r="162" spans="1:11" s="24" customFormat="1" ht="19.5" customHeight="1">
      <c r="A162" s="78"/>
      <c r="B162" s="77"/>
      <c r="C162" s="78">
        <v>4170</v>
      </c>
      <c r="D162" s="12" t="s">
        <v>249</v>
      </c>
      <c r="E162" s="76">
        <v>0</v>
      </c>
      <c r="F162" s="90">
        <v>14400</v>
      </c>
      <c r="G162" s="90"/>
      <c r="H162" s="90">
        <f t="shared" si="15"/>
        <v>14400</v>
      </c>
      <c r="I162" s="202">
        <v>15515</v>
      </c>
      <c r="J162" s="155">
        <v>15024</v>
      </c>
      <c r="K162" s="207">
        <f t="shared" si="17"/>
        <v>96.8353206574283</v>
      </c>
    </row>
    <row r="163" spans="1:11" s="24" customFormat="1" ht="19.5" customHeight="1">
      <c r="A163" s="78"/>
      <c r="B163" s="77"/>
      <c r="C163" s="78">
        <v>4210</v>
      </c>
      <c r="D163" s="12" t="s">
        <v>105</v>
      </c>
      <c r="E163" s="76">
        <f>4000+250920+29474</f>
        <v>284394</v>
      </c>
      <c r="F163" s="90"/>
      <c r="G163" s="90">
        <v>36625</v>
      </c>
      <c r="H163" s="90">
        <f t="shared" si="15"/>
        <v>247769</v>
      </c>
      <c r="I163" s="202">
        <v>276455</v>
      </c>
      <c r="J163" s="155">
        <v>270594</v>
      </c>
      <c r="K163" s="207">
        <f t="shared" si="17"/>
        <v>97.87994429473152</v>
      </c>
    </row>
    <row r="164" spans="1:11" s="24" customFormat="1" ht="19.5" customHeight="1">
      <c r="A164" s="78"/>
      <c r="B164" s="77"/>
      <c r="C164" s="55">
        <v>4230</v>
      </c>
      <c r="D164" s="12" t="s">
        <v>129</v>
      </c>
      <c r="E164" s="76">
        <v>1310</v>
      </c>
      <c r="F164" s="90"/>
      <c r="G164" s="90">
        <v>100</v>
      </c>
      <c r="H164" s="90">
        <f t="shared" si="15"/>
        <v>1210</v>
      </c>
      <c r="I164" s="202">
        <v>1185</v>
      </c>
      <c r="J164" s="155">
        <v>1061</v>
      </c>
      <c r="K164" s="207">
        <f t="shared" si="17"/>
        <v>89.53586497890296</v>
      </c>
    </row>
    <row r="165" spans="1:11" s="24" customFormat="1" ht="24.75" customHeight="1">
      <c r="A165" s="78"/>
      <c r="B165" s="77"/>
      <c r="C165" s="55">
        <v>4240</v>
      </c>
      <c r="D165" s="12" t="s">
        <v>140</v>
      </c>
      <c r="E165" s="76">
        <f>3000</f>
        <v>3000</v>
      </c>
      <c r="F165" s="90"/>
      <c r="G165" s="90"/>
      <c r="H165" s="90">
        <f t="shared" si="15"/>
        <v>3000</v>
      </c>
      <c r="I165" s="202">
        <v>8998</v>
      </c>
      <c r="J165" s="155">
        <v>8666</v>
      </c>
      <c r="K165" s="207">
        <f t="shared" si="17"/>
        <v>96.31029117581686</v>
      </c>
    </row>
    <row r="166" spans="1:11" s="24" customFormat="1" ht="19.5" customHeight="1">
      <c r="A166" s="78"/>
      <c r="B166" s="77"/>
      <c r="C166" s="78">
        <v>4260</v>
      </c>
      <c r="D166" s="12" t="s">
        <v>108</v>
      </c>
      <c r="E166" s="76">
        <v>400706</v>
      </c>
      <c r="F166" s="90"/>
      <c r="G166" s="90">
        <f>40000+580</f>
        <v>40580</v>
      </c>
      <c r="H166" s="90">
        <f t="shared" si="15"/>
        <v>360126</v>
      </c>
      <c r="I166" s="202">
        <v>372070</v>
      </c>
      <c r="J166" s="155">
        <v>358763</v>
      </c>
      <c r="K166" s="207">
        <f t="shared" si="17"/>
        <v>96.42352245545193</v>
      </c>
    </row>
    <row r="167" spans="1:11" s="24" customFormat="1" ht="19.5" customHeight="1">
      <c r="A167" s="78"/>
      <c r="B167" s="77"/>
      <c r="C167" s="78">
        <v>4270</v>
      </c>
      <c r="D167" s="12" t="s">
        <v>91</v>
      </c>
      <c r="E167" s="76">
        <f>7320+50000</f>
        <v>57320</v>
      </c>
      <c r="F167" s="90"/>
      <c r="G167" s="90"/>
      <c r="H167" s="90">
        <f t="shared" si="15"/>
        <v>57320</v>
      </c>
      <c r="I167" s="202">
        <v>165310</v>
      </c>
      <c r="J167" s="155">
        <v>163848</v>
      </c>
      <c r="K167" s="207">
        <f t="shared" si="17"/>
        <v>99.11560099207549</v>
      </c>
    </row>
    <row r="168" spans="1:11" s="24" customFormat="1" ht="19.5" customHeight="1">
      <c r="A168" s="78"/>
      <c r="B168" s="77"/>
      <c r="C168" s="78">
        <v>4300</v>
      </c>
      <c r="D168" s="12" t="s">
        <v>92</v>
      </c>
      <c r="E168" s="76">
        <f>158100+9780</f>
        <v>167880</v>
      </c>
      <c r="F168" s="90"/>
      <c r="G168" s="90">
        <f>5796+21682</f>
        <v>27478</v>
      </c>
      <c r="H168" s="90">
        <f t="shared" si="15"/>
        <v>140402</v>
      </c>
      <c r="I168" s="202">
        <v>155445</v>
      </c>
      <c r="J168" s="155">
        <v>142743</v>
      </c>
      <c r="K168" s="207">
        <f t="shared" si="17"/>
        <v>91.82862105567887</v>
      </c>
    </row>
    <row r="169" spans="1:11" s="24" customFormat="1" ht="19.5" customHeight="1">
      <c r="A169" s="78"/>
      <c r="B169" s="77"/>
      <c r="C169" s="78">
        <v>4350</v>
      </c>
      <c r="D169" s="12" t="s">
        <v>307</v>
      </c>
      <c r="E169" s="76"/>
      <c r="F169" s="90"/>
      <c r="G169" s="90"/>
      <c r="H169" s="90">
        <v>5796</v>
      </c>
      <c r="I169" s="202">
        <v>5448</v>
      </c>
      <c r="J169" s="155">
        <v>3503</v>
      </c>
      <c r="K169" s="207">
        <f t="shared" si="17"/>
        <v>64.29882525697504</v>
      </c>
    </row>
    <row r="170" spans="1:11" s="24" customFormat="1" ht="19.5" customHeight="1">
      <c r="A170" s="78"/>
      <c r="B170" s="77"/>
      <c r="C170" s="78">
        <v>4410</v>
      </c>
      <c r="D170" s="12" t="s">
        <v>103</v>
      </c>
      <c r="E170" s="76">
        <v>13000</v>
      </c>
      <c r="F170" s="90"/>
      <c r="G170" s="90">
        <v>2700</v>
      </c>
      <c r="H170" s="90">
        <f t="shared" si="15"/>
        <v>10300</v>
      </c>
      <c r="I170" s="202">
        <v>12386</v>
      </c>
      <c r="J170" s="155">
        <v>11957</v>
      </c>
      <c r="K170" s="207">
        <f t="shared" si="17"/>
        <v>96.53641207815275</v>
      </c>
    </row>
    <row r="171" spans="1:11" s="24" customFormat="1" ht="19.5" customHeight="1">
      <c r="A171" s="78"/>
      <c r="B171" s="77"/>
      <c r="C171" s="88">
        <v>4430</v>
      </c>
      <c r="D171" s="12" t="s">
        <v>107</v>
      </c>
      <c r="E171" s="76">
        <v>6990</v>
      </c>
      <c r="F171" s="90"/>
      <c r="G171" s="90">
        <v>1000</v>
      </c>
      <c r="H171" s="90">
        <f t="shared" si="15"/>
        <v>5990</v>
      </c>
      <c r="I171" s="202">
        <v>4674</v>
      </c>
      <c r="J171" s="155">
        <v>4284</v>
      </c>
      <c r="K171" s="207">
        <f t="shared" si="17"/>
        <v>91.65596919127086</v>
      </c>
    </row>
    <row r="172" spans="1:11" s="24" customFormat="1" ht="24.75" customHeight="1">
      <c r="A172" s="78"/>
      <c r="B172" s="77"/>
      <c r="C172" s="88">
        <v>4440</v>
      </c>
      <c r="D172" s="12" t="s">
        <v>101</v>
      </c>
      <c r="E172" s="76">
        <v>348558</v>
      </c>
      <c r="F172" s="90"/>
      <c r="G172" s="90"/>
      <c r="H172" s="90">
        <f t="shared" si="15"/>
        <v>348558</v>
      </c>
      <c r="I172" s="202">
        <v>357061</v>
      </c>
      <c r="J172" s="155">
        <v>357061</v>
      </c>
      <c r="K172" s="207">
        <f t="shared" si="17"/>
        <v>100</v>
      </c>
    </row>
    <row r="173" spans="1:11" s="24" customFormat="1" ht="24.75" customHeight="1">
      <c r="A173" s="78"/>
      <c r="B173" s="77"/>
      <c r="C173" s="88">
        <v>6060</v>
      </c>
      <c r="D173" s="12" t="s">
        <v>109</v>
      </c>
      <c r="E173" s="76">
        <v>15500</v>
      </c>
      <c r="F173" s="90"/>
      <c r="G173" s="90"/>
      <c r="H173" s="90">
        <f t="shared" si="15"/>
        <v>15500</v>
      </c>
      <c r="I173" s="202">
        <v>18644</v>
      </c>
      <c r="J173" s="155">
        <v>18642</v>
      </c>
      <c r="K173" s="207">
        <f t="shared" si="17"/>
        <v>99.98927268826432</v>
      </c>
    </row>
    <row r="174" spans="1:11" s="24" customFormat="1" ht="24.75" customHeight="1">
      <c r="A174" s="78"/>
      <c r="B174" s="77">
        <v>80103</v>
      </c>
      <c r="C174" s="88"/>
      <c r="D174" s="12" t="s">
        <v>303</v>
      </c>
      <c r="E174" s="76"/>
      <c r="F174" s="90"/>
      <c r="G174" s="90"/>
      <c r="H174" s="90">
        <f>SUM(H175:H184)</f>
        <v>0</v>
      </c>
      <c r="I174" s="202">
        <f>SUM(I175:I184)</f>
        <v>278665</v>
      </c>
      <c r="J174" s="155">
        <f>SUM(J175:J184)</f>
        <v>270714</v>
      </c>
      <c r="K174" s="207">
        <f t="shared" si="17"/>
        <v>97.14675327005544</v>
      </c>
    </row>
    <row r="175" spans="1:11" s="24" customFormat="1" ht="24.75" customHeight="1">
      <c r="A175" s="78"/>
      <c r="B175" s="77"/>
      <c r="C175" s="55">
        <v>3020</v>
      </c>
      <c r="D175" s="12" t="s">
        <v>240</v>
      </c>
      <c r="E175" s="76"/>
      <c r="F175" s="90"/>
      <c r="G175" s="90"/>
      <c r="H175" s="90">
        <v>0</v>
      </c>
      <c r="I175" s="202">
        <v>18684</v>
      </c>
      <c r="J175" s="155">
        <v>18488</v>
      </c>
      <c r="K175" s="207">
        <f t="shared" si="17"/>
        <v>98.95097409548276</v>
      </c>
    </row>
    <row r="176" spans="1:11" s="24" customFormat="1" ht="19.5" customHeight="1">
      <c r="A176" s="78"/>
      <c r="B176" s="77"/>
      <c r="C176" s="55">
        <v>4010</v>
      </c>
      <c r="D176" s="12" t="s">
        <v>97</v>
      </c>
      <c r="E176" s="76"/>
      <c r="F176" s="90"/>
      <c r="G176" s="90"/>
      <c r="H176" s="90">
        <v>0</v>
      </c>
      <c r="I176" s="202">
        <v>184238</v>
      </c>
      <c r="J176" s="155">
        <v>179638</v>
      </c>
      <c r="K176" s="207">
        <f t="shared" si="17"/>
        <v>97.5032295183404</v>
      </c>
    </row>
    <row r="177" spans="1:11" s="24" customFormat="1" ht="19.5" customHeight="1">
      <c r="A177" s="78"/>
      <c r="B177" s="77"/>
      <c r="C177" s="55">
        <v>4040</v>
      </c>
      <c r="D177" s="12" t="s">
        <v>98</v>
      </c>
      <c r="E177" s="76"/>
      <c r="F177" s="90"/>
      <c r="G177" s="90"/>
      <c r="H177" s="90">
        <v>0</v>
      </c>
      <c r="I177" s="202">
        <v>12931</v>
      </c>
      <c r="J177" s="155">
        <v>12928</v>
      </c>
      <c r="K177" s="207">
        <f t="shared" si="17"/>
        <v>99.97679993813317</v>
      </c>
    </row>
    <row r="178" spans="1:11" s="24" customFormat="1" ht="19.5" customHeight="1">
      <c r="A178" s="78"/>
      <c r="B178" s="77"/>
      <c r="C178" s="55">
        <v>4110</v>
      </c>
      <c r="D178" s="12" t="s">
        <v>99</v>
      </c>
      <c r="E178" s="76"/>
      <c r="F178" s="90"/>
      <c r="G178" s="90"/>
      <c r="H178" s="90">
        <v>0</v>
      </c>
      <c r="I178" s="202">
        <v>34895</v>
      </c>
      <c r="J178" s="155">
        <v>33136</v>
      </c>
      <c r="K178" s="207">
        <f t="shared" si="17"/>
        <v>94.95916320389742</v>
      </c>
    </row>
    <row r="179" spans="1:11" s="24" customFormat="1" ht="19.5" customHeight="1">
      <c r="A179" s="78"/>
      <c r="B179" s="77"/>
      <c r="C179" s="55">
        <v>4120</v>
      </c>
      <c r="D179" s="12" t="s">
        <v>100</v>
      </c>
      <c r="E179" s="76"/>
      <c r="F179" s="90"/>
      <c r="G179" s="90"/>
      <c r="H179" s="90">
        <v>0</v>
      </c>
      <c r="I179" s="202">
        <v>5274</v>
      </c>
      <c r="J179" s="155">
        <v>4721</v>
      </c>
      <c r="K179" s="207">
        <f t="shared" si="17"/>
        <v>89.51459992415623</v>
      </c>
    </row>
    <row r="180" spans="1:11" s="24" customFormat="1" ht="19.5" customHeight="1">
      <c r="A180" s="78"/>
      <c r="B180" s="77"/>
      <c r="C180" s="55">
        <v>4210</v>
      </c>
      <c r="D180" s="12" t="s">
        <v>85</v>
      </c>
      <c r="E180" s="76"/>
      <c r="F180" s="90"/>
      <c r="G180" s="90"/>
      <c r="H180" s="90">
        <v>0</v>
      </c>
      <c r="I180" s="202">
        <v>1960</v>
      </c>
      <c r="J180" s="155">
        <v>1528</v>
      </c>
      <c r="K180" s="207">
        <f t="shared" si="17"/>
        <v>77.9591836734694</v>
      </c>
    </row>
    <row r="181" spans="1:11" s="24" customFormat="1" ht="24.75" customHeight="1">
      <c r="A181" s="78"/>
      <c r="B181" s="77"/>
      <c r="C181" s="55">
        <v>4240</v>
      </c>
      <c r="D181" s="12" t="s">
        <v>140</v>
      </c>
      <c r="E181" s="76"/>
      <c r="F181" s="90"/>
      <c r="G181" s="90"/>
      <c r="H181" s="90">
        <v>0</v>
      </c>
      <c r="I181" s="202">
        <v>340</v>
      </c>
      <c r="J181" s="155">
        <v>340</v>
      </c>
      <c r="K181" s="207">
        <f t="shared" si="17"/>
        <v>100</v>
      </c>
    </row>
    <row r="182" spans="1:11" s="24" customFormat="1" ht="19.5" customHeight="1">
      <c r="A182" s="78"/>
      <c r="B182" s="77"/>
      <c r="C182" s="55">
        <v>4260</v>
      </c>
      <c r="D182" s="12" t="s">
        <v>108</v>
      </c>
      <c r="E182" s="76"/>
      <c r="F182" s="90"/>
      <c r="G182" s="90"/>
      <c r="H182" s="90">
        <v>0</v>
      </c>
      <c r="I182" s="202">
        <v>394</v>
      </c>
      <c r="J182" s="155">
        <v>352</v>
      </c>
      <c r="K182" s="207">
        <f t="shared" si="17"/>
        <v>89.34010152284264</v>
      </c>
    </row>
    <row r="183" spans="1:11" s="24" customFormat="1" ht="19.5" customHeight="1">
      <c r="A183" s="78"/>
      <c r="B183" s="77"/>
      <c r="C183" s="55">
        <v>4300</v>
      </c>
      <c r="D183" s="12" t="s">
        <v>92</v>
      </c>
      <c r="E183" s="76"/>
      <c r="F183" s="90"/>
      <c r="G183" s="90"/>
      <c r="H183" s="90">
        <v>0</v>
      </c>
      <c r="I183" s="202">
        <v>600</v>
      </c>
      <c r="J183" s="155">
        <v>234</v>
      </c>
      <c r="K183" s="207">
        <f t="shared" si="17"/>
        <v>39</v>
      </c>
    </row>
    <row r="184" spans="1:11" s="24" customFormat="1" ht="24" customHeight="1">
      <c r="A184" s="78"/>
      <c r="B184" s="77"/>
      <c r="C184" s="55">
        <v>4440</v>
      </c>
      <c r="D184" s="12" t="s">
        <v>131</v>
      </c>
      <c r="E184" s="76"/>
      <c r="F184" s="90"/>
      <c r="G184" s="90"/>
      <c r="H184" s="90">
        <v>0</v>
      </c>
      <c r="I184" s="202">
        <v>19349</v>
      </c>
      <c r="J184" s="155">
        <v>19349</v>
      </c>
      <c r="K184" s="207">
        <f t="shared" si="17"/>
        <v>100</v>
      </c>
    </row>
    <row r="185" spans="1:11" s="24" customFormat="1" ht="21.75" customHeight="1">
      <c r="A185" s="105"/>
      <c r="B185" s="77" t="s">
        <v>130</v>
      </c>
      <c r="C185" s="55"/>
      <c r="D185" s="12" t="s">
        <v>141</v>
      </c>
      <c r="E185" s="76">
        <f>SUM(E186:E188)</f>
        <v>2646193</v>
      </c>
      <c r="F185" s="76">
        <f>SUM(F186:F188)</f>
        <v>0</v>
      </c>
      <c r="G185" s="76">
        <f>SUM(G186:G188)</f>
        <v>47081</v>
      </c>
      <c r="H185" s="76">
        <f>SUM(H186:H198)</f>
        <v>2864800</v>
      </c>
      <c r="I185" s="180">
        <f>SUM(I186:I198)</f>
        <v>2626065</v>
      </c>
      <c r="J185" s="155">
        <f>SUM(J186:J198)</f>
        <v>2541948</v>
      </c>
      <c r="K185" s="207">
        <f t="shared" si="17"/>
        <v>96.79684242393087</v>
      </c>
    </row>
    <row r="186" spans="1:11" s="24" customFormat="1" ht="24.75" customHeight="1">
      <c r="A186" s="105"/>
      <c r="B186" s="77"/>
      <c r="C186" s="55">
        <v>2510</v>
      </c>
      <c r="D186" s="12" t="s">
        <v>142</v>
      </c>
      <c r="E186" s="76">
        <f>2653473-100000</f>
        <v>2553473</v>
      </c>
      <c r="F186" s="90"/>
      <c r="G186" s="90">
        <f>65688-18777</f>
        <v>46911</v>
      </c>
      <c r="H186" s="90">
        <f t="shared" si="15"/>
        <v>2506562</v>
      </c>
      <c r="I186" s="202">
        <v>2537345</v>
      </c>
      <c r="J186" s="155">
        <v>2453370</v>
      </c>
      <c r="K186" s="207">
        <f t="shared" si="17"/>
        <v>96.6904382336655</v>
      </c>
    </row>
    <row r="187" spans="1:11" s="24" customFormat="1" ht="24">
      <c r="A187" s="105"/>
      <c r="B187" s="77"/>
      <c r="C187" s="55">
        <v>2540</v>
      </c>
      <c r="D187" s="12" t="s">
        <v>222</v>
      </c>
      <c r="E187" s="76">
        <v>72720</v>
      </c>
      <c r="F187" s="90"/>
      <c r="G187" s="90">
        <v>170</v>
      </c>
      <c r="H187" s="90">
        <f t="shared" si="15"/>
        <v>72550</v>
      </c>
      <c r="I187" s="202">
        <v>72550</v>
      </c>
      <c r="J187" s="155">
        <v>72550</v>
      </c>
      <c r="K187" s="207">
        <f t="shared" si="17"/>
        <v>100</v>
      </c>
    </row>
    <row r="188" spans="1:11" s="24" customFormat="1" ht="24.75" customHeight="1">
      <c r="A188" s="78"/>
      <c r="B188" s="77"/>
      <c r="C188" s="55">
        <v>3020</v>
      </c>
      <c r="D188" s="12" t="s">
        <v>347</v>
      </c>
      <c r="E188" s="76">
        <v>20000</v>
      </c>
      <c r="F188" s="90"/>
      <c r="G188" s="90"/>
      <c r="H188" s="90">
        <v>16077</v>
      </c>
      <c r="I188" s="202">
        <v>0</v>
      </c>
      <c r="J188" s="155">
        <v>0</v>
      </c>
      <c r="K188" s="207">
        <v>0</v>
      </c>
    </row>
    <row r="189" spans="1:11" s="24" customFormat="1" ht="12">
      <c r="A189" s="78"/>
      <c r="B189" s="77"/>
      <c r="C189" s="55">
        <v>4010</v>
      </c>
      <c r="D189" s="12" t="s">
        <v>97</v>
      </c>
      <c r="E189" s="76"/>
      <c r="F189" s="90"/>
      <c r="G189" s="90"/>
      <c r="H189" s="90">
        <v>171577</v>
      </c>
      <c r="I189" s="202">
        <v>0</v>
      </c>
      <c r="J189" s="155">
        <v>0</v>
      </c>
      <c r="K189" s="207">
        <v>0</v>
      </c>
    </row>
    <row r="190" spans="1:11" s="24" customFormat="1" ht="19.5" customHeight="1">
      <c r="A190" s="78"/>
      <c r="B190" s="77"/>
      <c r="C190" s="55">
        <v>4040</v>
      </c>
      <c r="D190" s="12" t="s">
        <v>98</v>
      </c>
      <c r="E190" s="76"/>
      <c r="F190" s="90"/>
      <c r="G190" s="90"/>
      <c r="H190" s="90">
        <v>12931</v>
      </c>
      <c r="I190" s="202">
        <v>0</v>
      </c>
      <c r="J190" s="155">
        <v>0</v>
      </c>
      <c r="K190" s="207">
        <v>0</v>
      </c>
    </row>
    <row r="191" spans="1:11" s="24" customFormat="1" ht="19.5" customHeight="1">
      <c r="A191" s="78"/>
      <c r="B191" s="77"/>
      <c r="C191" s="55">
        <v>4110</v>
      </c>
      <c r="D191" s="12" t="s">
        <v>99</v>
      </c>
      <c r="E191" s="76"/>
      <c r="F191" s="90"/>
      <c r="G191" s="90"/>
      <c r="H191" s="90">
        <v>36565</v>
      </c>
      <c r="I191" s="202">
        <v>0</v>
      </c>
      <c r="J191" s="155">
        <v>0</v>
      </c>
      <c r="K191" s="207">
        <v>0</v>
      </c>
    </row>
    <row r="192" spans="1:11" s="24" customFormat="1" ht="19.5" customHeight="1">
      <c r="A192" s="78"/>
      <c r="B192" s="77"/>
      <c r="C192" s="55">
        <v>4120</v>
      </c>
      <c r="D192" s="12" t="s">
        <v>100</v>
      </c>
      <c r="E192" s="76"/>
      <c r="F192" s="90"/>
      <c r="G192" s="90"/>
      <c r="H192" s="90">
        <v>4978</v>
      </c>
      <c r="I192" s="202">
        <v>0</v>
      </c>
      <c r="J192" s="155">
        <v>0</v>
      </c>
      <c r="K192" s="207">
        <v>0</v>
      </c>
    </row>
    <row r="193" spans="1:11" s="24" customFormat="1" ht="19.5" customHeight="1">
      <c r="A193" s="78"/>
      <c r="B193" s="77"/>
      <c r="C193" s="55">
        <v>4210</v>
      </c>
      <c r="D193" s="12" t="s">
        <v>85</v>
      </c>
      <c r="E193" s="76"/>
      <c r="F193" s="90"/>
      <c r="G193" s="90"/>
      <c r="H193" s="90">
        <v>2800</v>
      </c>
      <c r="I193" s="202">
        <v>0</v>
      </c>
      <c r="J193" s="155">
        <v>0</v>
      </c>
      <c r="K193" s="207">
        <v>0</v>
      </c>
    </row>
    <row r="194" spans="1:11" s="24" customFormat="1" ht="19.5" customHeight="1">
      <c r="A194" s="78"/>
      <c r="B194" s="77"/>
      <c r="C194" s="55">
        <v>4220</v>
      </c>
      <c r="D194" s="12" t="s">
        <v>215</v>
      </c>
      <c r="E194" s="76"/>
      <c r="F194" s="90"/>
      <c r="G194" s="90"/>
      <c r="H194" s="90">
        <v>2800</v>
      </c>
      <c r="I194" s="202">
        <v>0</v>
      </c>
      <c r="J194" s="155">
        <v>0</v>
      </c>
      <c r="K194" s="207">
        <v>0</v>
      </c>
    </row>
    <row r="195" spans="1:11" s="24" customFormat="1" ht="19.5" customHeight="1">
      <c r="A195" s="78"/>
      <c r="B195" s="77"/>
      <c r="C195" s="55">
        <v>4260</v>
      </c>
      <c r="D195" s="12" t="s">
        <v>108</v>
      </c>
      <c r="E195" s="76"/>
      <c r="F195" s="90"/>
      <c r="G195" s="90"/>
      <c r="H195" s="90">
        <v>650</v>
      </c>
      <c r="I195" s="202">
        <v>0</v>
      </c>
      <c r="J195" s="155">
        <v>0</v>
      </c>
      <c r="K195" s="207">
        <v>0</v>
      </c>
    </row>
    <row r="196" spans="1:11" s="24" customFormat="1" ht="19.5" customHeight="1">
      <c r="A196" s="78"/>
      <c r="B196" s="77"/>
      <c r="C196" s="55">
        <v>4270</v>
      </c>
      <c r="D196" s="12" t="s">
        <v>91</v>
      </c>
      <c r="E196" s="76"/>
      <c r="F196" s="90"/>
      <c r="G196" s="90"/>
      <c r="H196" s="90">
        <v>20000</v>
      </c>
      <c r="I196" s="202">
        <v>16170</v>
      </c>
      <c r="J196" s="155">
        <v>16028</v>
      </c>
      <c r="K196" s="207">
        <f t="shared" si="17"/>
        <v>99.12183055040198</v>
      </c>
    </row>
    <row r="197" spans="1:11" s="24" customFormat="1" ht="19.5" customHeight="1">
      <c r="A197" s="78"/>
      <c r="B197" s="77"/>
      <c r="C197" s="55">
        <v>4300</v>
      </c>
      <c r="D197" s="12" t="s">
        <v>92</v>
      </c>
      <c r="E197" s="76"/>
      <c r="F197" s="90"/>
      <c r="G197" s="90"/>
      <c r="H197" s="90">
        <v>800</v>
      </c>
      <c r="I197" s="202">
        <v>0</v>
      </c>
      <c r="J197" s="155">
        <v>0</v>
      </c>
      <c r="K197" s="207">
        <v>0</v>
      </c>
    </row>
    <row r="198" spans="1:11" s="24" customFormat="1" ht="24">
      <c r="A198" s="78"/>
      <c r="B198" s="77"/>
      <c r="C198" s="55">
        <v>4440</v>
      </c>
      <c r="D198" s="12" t="s">
        <v>101</v>
      </c>
      <c r="E198" s="76"/>
      <c r="F198" s="90"/>
      <c r="G198" s="90"/>
      <c r="H198" s="90">
        <v>16510</v>
      </c>
      <c r="I198" s="202">
        <v>0</v>
      </c>
      <c r="J198" s="155">
        <v>0</v>
      </c>
      <c r="K198" s="207">
        <v>0</v>
      </c>
    </row>
    <row r="199" spans="1:11" s="24" customFormat="1" ht="19.5" customHeight="1">
      <c r="A199" s="105"/>
      <c r="B199" s="77" t="s">
        <v>132</v>
      </c>
      <c r="C199" s="55"/>
      <c r="D199" s="12" t="s">
        <v>63</v>
      </c>
      <c r="E199" s="76">
        <f aca="true" t="shared" si="23" ref="E199:J199">SUM(E200:E220)</f>
        <v>4242957</v>
      </c>
      <c r="F199" s="76">
        <f t="shared" si="23"/>
        <v>34637</v>
      </c>
      <c r="G199" s="76">
        <f t="shared" si="23"/>
        <v>143829</v>
      </c>
      <c r="H199" s="76">
        <f t="shared" si="23"/>
        <v>4133765</v>
      </c>
      <c r="I199" s="202">
        <f t="shared" si="23"/>
        <v>4100238</v>
      </c>
      <c r="J199" s="155">
        <f t="shared" si="23"/>
        <v>4042254</v>
      </c>
      <c r="K199" s="207">
        <f t="shared" si="17"/>
        <v>98.58583818792958</v>
      </c>
    </row>
    <row r="200" spans="1:11" s="24" customFormat="1" ht="24" customHeight="1">
      <c r="A200" s="78"/>
      <c r="B200" s="77"/>
      <c r="C200" s="55">
        <v>3020</v>
      </c>
      <c r="D200" s="12" t="s">
        <v>240</v>
      </c>
      <c r="E200" s="76">
        <v>31522</v>
      </c>
      <c r="F200" s="90"/>
      <c r="G200" s="90">
        <v>7127</v>
      </c>
      <c r="H200" s="90">
        <f aca="true" t="shared" si="24" ref="H200:H283">SUM(E200+F200-G200)</f>
        <v>24395</v>
      </c>
      <c r="I200" s="202">
        <v>23855</v>
      </c>
      <c r="J200" s="155">
        <v>23287</v>
      </c>
      <c r="K200" s="207">
        <f aca="true" t="shared" si="25" ref="K200:K262">J200/I200*100</f>
        <v>97.6189478096835</v>
      </c>
    </row>
    <row r="201" spans="1:11" s="24" customFormat="1" ht="19.5" customHeight="1">
      <c r="A201" s="78"/>
      <c r="B201" s="77"/>
      <c r="C201" s="55">
        <v>4010</v>
      </c>
      <c r="D201" s="12" t="s">
        <v>97</v>
      </c>
      <c r="E201" s="76">
        <v>2741415</v>
      </c>
      <c r="F201" s="90">
        <v>9317</v>
      </c>
      <c r="G201" s="90">
        <f>49000</f>
        <v>49000</v>
      </c>
      <c r="H201" s="90">
        <f t="shared" si="24"/>
        <v>2701732</v>
      </c>
      <c r="I201" s="202">
        <v>2671511</v>
      </c>
      <c r="J201" s="155">
        <v>2638661</v>
      </c>
      <c r="K201" s="207">
        <f t="shared" si="25"/>
        <v>98.77035879695049</v>
      </c>
    </row>
    <row r="202" spans="1:11" s="24" customFormat="1" ht="19.5" customHeight="1">
      <c r="A202" s="78"/>
      <c r="B202" s="77"/>
      <c r="C202" s="55">
        <v>4040</v>
      </c>
      <c r="D202" s="12" t="s">
        <v>98</v>
      </c>
      <c r="E202" s="76">
        <v>213810</v>
      </c>
      <c r="F202" s="90"/>
      <c r="G202" s="90">
        <f>15118+10</f>
        <v>15128</v>
      </c>
      <c r="H202" s="90">
        <f t="shared" si="24"/>
        <v>198682</v>
      </c>
      <c r="I202" s="202">
        <v>198682</v>
      </c>
      <c r="J202" s="155">
        <v>198681</v>
      </c>
      <c r="K202" s="207">
        <f t="shared" si="25"/>
        <v>99.99949668314191</v>
      </c>
    </row>
    <row r="203" spans="1:11" s="24" customFormat="1" ht="19.5" customHeight="1">
      <c r="A203" s="78"/>
      <c r="B203" s="77"/>
      <c r="C203" s="55">
        <v>4110</v>
      </c>
      <c r="D203" s="12" t="s">
        <v>99</v>
      </c>
      <c r="E203" s="76">
        <v>532096</v>
      </c>
      <c r="F203" s="90"/>
      <c r="G203" s="90">
        <f>20000+2703</f>
        <v>22703</v>
      </c>
      <c r="H203" s="90">
        <f t="shared" si="24"/>
        <v>509393</v>
      </c>
      <c r="I203" s="202">
        <v>499667</v>
      </c>
      <c r="J203" s="155">
        <v>491208</v>
      </c>
      <c r="K203" s="207">
        <f t="shared" si="25"/>
        <v>98.30707251029186</v>
      </c>
    </row>
    <row r="204" spans="1:11" s="24" customFormat="1" ht="19.5" customHeight="1">
      <c r="A204" s="78"/>
      <c r="B204" s="77"/>
      <c r="C204" s="55">
        <v>4120</v>
      </c>
      <c r="D204" s="12" t="s">
        <v>100</v>
      </c>
      <c r="E204" s="76">
        <v>72467</v>
      </c>
      <c r="F204" s="90"/>
      <c r="G204" s="90">
        <v>371</v>
      </c>
      <c r="H204" s="90">
        <f t="shared" si="24"/>
        <v>72096</v>
      </c>
      <c r="I204" s="202">
        <v>69941</v>
      </c>
      <c r="J204" s="155">
        <v>67307</v>
      </c>
      <c r="K204" s="207">
        <f t="shared" si="25"/>
        <v>96.23396863070303</v>
      </c>
    </row>
    <row r="205" spans="1:11" s="24" customFormat="1" ht="19.5" customHeight="1">
      <c r="A205" s="78"/>
      <c r="B205" s="77"/>
      <c r="C205" s="55">
        <v>4170</v>
      </c>
      <c r="D205" s="12" t="s">
        <v>249</v>
      </c>
      <c r="E205" s="76">
        <v>0</v>
      </c>
      <c r="F205" s="90">
        <v>21600</v>
      </c>
      <c r="G205" s="90"/>
      <c r="H205" s="90">
        <f t="shared" si="24"/>
        <v>21600</v>
      </c>
      <c r="I205" s="202">
        <v>12990</v>
      </c>
      <c r="J205" s="155">
        <v>12427</v>
      </c>
      <c r="K205" s="207">
        <f t="shared" si="25"/>
        <v>95.66589684372595</v>
      </c>
    </row>
    <row r="206" spans="1:11" s="24" customFormat="1" ht="19.5" customHeight="1">
      <c r="A206" s="78"/>
      <c r="B206" s="77"/>
      <c r="C206" s="55">
        <v>4210</v>
      </c>
      <c r="D206" s="12" t="s">
        <v>105</v>
      </c>
      <c r="E206" s="76">
        <f>98570+16199</f>
        <v>114769</v>
      </c>
      <c r="F206" s="90"/>
      <c r="G206" s="90">
        <f>6000+10000</f>
        <v>16000</v>
      </c>
      <c r="H206" s="90">
        <f t="shared" si="24"/>
        <v>98769</v>
      </c>
      <c r="I206" s="202">
        <v>106709</v>
      </c>
      <c r="J206" s="155">
        <v>104299</v>
      </c>
      <c r="K206" s="207">
        <f t="shared" si="25"/>
        <v>97.74152133372068</v>
      </c>
    </row>
    <row r="207" spans="1:11" s="24" customFormat="1" ht="19.5" customHeight="1">
      <c r="A207" s="78"/>
      <c r="B207" s="77"/>
      <c r="C207" s="55">
        <v>4215</v>
      </c>
      <c r="D207" s="12" t="s">
        <v>105</v>
      </c>
      <c r="E207" s="76"/>
      <c r="F207" s="90"/>
      <c r="G207" s="90"/>
      <c r="H207" s="90">
        <v>0</v>
      </c>
      <c r="I207" s="202">
        <v>2600</v>
      </c>
      <c r="J207" s="155">
        <v>2600</v>
      </c>
      <c r="K207" s="207">
        <f t="shared" si="25"/>
        <v>100</v>
      </c>
    </row>
    <row r="208" spans="1:11" s="24" customFormat="1" ht="19.5" customHeight="1">
      <c r="A208" s="78"/>
      <c r="B208" s="77"/>
      <c r="C208" s="55">
        <v>4230</v>
      </c>
      <c r="D208" s="12" t="s">
        <v>129</v>
      </c>
      <c r="E208" s="76">
        <v>1400</v>
      </c>
      <c r="F208" s="90"/>
      <c r="G208" s="90">
        <v>400</v>
      </c>
      <c r="H208" s="90">
        <f t="shared" si="24"/>
        <v>1000</v>
      </c>
      <c r="I208" s="202">
        <v>1200</v>
      </c>
      <c r="J208" s="155">
        <v>1191</v>
      </c>
      <c r="K208" s="207">
        <f t="shared" si="25"/>
        <v>99.25</v>
      </c>
    </row>
    <row r="209" spans="1:11" s="24" customFormat="1" ht="21" customHeight="1">
      <c r="A209" s="78"/>
      <c r="B209" s="77"/>
      <c r="C209" s="55">
        <v>4240</v>
      </c>
      <c r="D209" s="12" t="s">
        <v>140</v>
      </c>
      <c r="E209" s="76">
        <f>1000</f>
        <v>1000</v>
      </c>
      <c r="F209" s="90"/>
      <c r="G209" s="90"/>
      <c r="H209" s="90">
        <f t="shared" si="24"/>
        <v>1000</v>
      </c>
      <c r="I209" s="202">
        <v>3039</v>
      </c>
      <c r="J209" s="155">
        <v>2991</v>
      </c>
      <c r="K209" s="207">
        <f t="shared" si="25"/>
        <v>98.42053307008885</v>
      </c>
    </row>
    <row r="210" spans="1:11" s="24" customFormat="1" ht="19.5" customHeight="1">
      <c r="A210" s="78"/>
      <c r="B210" s="77"/>
      <c r="C210" s="55">
        <v>4260</v>
      </c>
      <c r="D210" s="12" t="s">
        <v>108</v>
      </c>
      <c r="E210" s="76">
        <v>226880</v>
      </c>
      <c r="F210" s="90"/>
      <c r="G210" s="90">
        <v>17100</v>
      </c>
      <c r="H210" s="90">
        <f t="shared" si="24"/>
        <v>209780</v>
      </c>
      <c r="I210" s="202">
        <v>210880</v>
      </c>
      <c r="J210" s="155">
        <v>203830</v>
      </c>
      <c r="K210" s="207">
        <f t="shared" si="25"/>
        <v>96.65686646433991</v>
      </c>
    </row>
    <row r="211" spans="1:11" s="24" customFormat="1" ht="19.5" customHeight="1">
      <c r="A211" s="78"/>
      <c r="B211" s="77"/>
      <c r="C211" s="55">
        <v>4270</v>
      </c>
      <c r="D211" s="12" t="s">
        <v>91</v>
      </c>
      <c r="E211" s="76">
        <v>50000</v>
      </c>
      <c r="F211" s="90"/>
      <c r="G211" s="90"/>
      <c r="H211" s="90">
        <f t="shared" si="24"/>
        <v>50000</v>
      </c>
      <c r="I211" s="202">
        <v>45840</v>
      </c>
      <c r="J211" s="155">
        <v>45834</v>
      </c>
      <c r="K211" s="207">
        <f t="shared" si="25"/>
        <v>99.9869109947644</v>
      </c>
    </row>
    <row r="212" spans="1:11" s="24" customFormat="1" ht="19.5" customHeight="1">
      <c r="A212" s="78"/>
      <c r="B212" s="77"/>
      <c r="C212" s="55">
        <v>4300</v>
      </c>
      <c r="D212" s="12" t="s">
        <v>92</v>
      </c>
      <c r="E212" s="76">
        <f>1000+1700+71360</f>
        <v>74060</v>
      </c>
      <c r="F212" s="90"/>
      <c r="G212" s="90">
        <f>10320+4680</f>
        <v>15000</v>
      </c>
      <c r="H212" s="90">
        <f t="shared" si="24"/>
        <v>59060</v>
      </c>
      <c r="I212" s="202">
        <v>64061</v>
      </c>
      <c r="J212" s="155">
        <v>62189</v>
      </c>
      <c r="K212" s="207">
        <f t="shared" si="25"/>
        <v>97.07778523594699</v>
      </c>
    </row>
    <row r="213" spans="1:11" s="24" customFormat="1" ht="19.5" customHeight="1">
      <c r="A213" s="78"/>
      <c r="B213" s="77"/>
      <c r="C213" s="55">
        <v>4305</v>
      </c>
      <c r="D213" s="12" t="s">
        <v>92</v>
      </c>
      <c r="E213" s="76">
        <v>0</v>
      </c>
      <c r="F213" s="90">
        <v>3720</v>
      </c>
      <c r="G213" s="90"/>
      <c r="H213" s="90">
        <v>0</v>
      </c>
      <c r="I213" s="202">
        <v>2000</v>
      </c>
      <c r="J213" s="155">
        <v>2000</v>
      </c>
      <c r="K213" s="207">
        <f t="shared" si="25"/>
        <v>100</v>
      </c>
    </row>
    <row r="214" spans="1:11" s="24" customFormat="1" ht="19.5" customHeight="1">
      <c r="A214" s="78"/>
      <c r="B214" s="77"/>
      <c r="C214" s="55">
        <v>4350</v>
      </c>
      <c r="D214" s="12" t="s">
        <v>307</v>
      </c>
      <c r="E214" s="76"/>
      <c r="F214" s="90"/>
      <c r="G214" s="90"/>
      <c r="H214" s="90">
        <v>3720</v>
      </c>
      <c r="I214" s="202">
        <v>2820</v>
      </c>
      <c r="J214" s="155">
        <v>2071</v>
      </c>
      <c r="K214" s="207">
        <f t="shared" si="25"/>
        <v>73.43971631205673</v>
      </c>
    </row>
    <row r="215" spans="1:11" s="24" customFormat="1" ht="19.5" customHeight="1">
      <c r="A215" s="78"/>
      <c r="B215" s="77"/>
      <c r="C215" s="55">
        <v>4410</v>
      </c>
      <c r="D215" s="12" t="s">
        <v>103</v>
      </c>
      <c r="E215" s="76">
        <v>6500</v>
      </c>
      <c r="F215" s="90"/>
      <c r="G215" s="90">
        <v>1000</v>
      </c>
      <c r="H215" s="90">
        <f t="shared" si="24"/>
        <v>5500</v>
      </c>
      <c r="I215" s="202">
        <v>6100</v>
      </c>
      <c r="J215" s="155">
        <v>5769</v>
      </c>
      <c r="K215" s="207">
        <f t="shared" si="25"/>
        <v>94.57377049180327</v>
      </c>
    </row>
    <row r="216" spans="1:11" s="24" customFormat="1" ht="19.5" customHeight="1">
      <c r="A216" s="78"/>
      <c r="B216" s="77"/>
      <c r="C216" s="55">
        <v>4425</v>
      </c>
      <c r="D216" s="12" t="s">
        <v>106</v>
      </c>
      <c r="E216" s="76"/>
      <c r="F216" s="90"/>
      <c r="G216" s="90"/>
      <c r="H216" s="90">
        <v>0</v>
      </c>
      <c r="I216" s="202">
        <v>3640</v>
      </c>
      <c r="J216" s="155">
        <v>3640</v>
      </c>
      <c r="K216" s="207">
        <f t="shared" si="25"/>
        <v>100</v>
      </c>
    </row>
    <row r="217" spans="1:11" s="24" customFormat="1" ht="19.5" customHeight="1">
      <c r="A217" s="78"/>
      <c r="B217" s="77"/>
      <c r="C217" s="55">
        <v>4430</v>
      </c>
      <c r="D217" s="12" t="s">
        <v>107</v>
      </c>
      <c r="E217" s="76">
        <v>4500</v>
      </c>
      <c r="F217" s="90"/>
      <c r="G217" s="90"/>
      <c r="H217" s="90">
        <f t="shared" si="24"/>
        <v>4500</v>
      </c>
      <c r="I217" s="202">
        <v>2024</v>
      </c>
      <c r="J217" s="155">
        <v>1591</v>
      </c>
      <c r="K217" s="207">
        <f t="shared" si="25"/>
        <v>78.60671936758892</v>
      </c>
    </row>
    <row r="218" spans="1:11" s="24" customFormat="1" ht="24.75" customHeight="1">
      <c r="A218" s="78"/>
      <c r="B218" s="77"/>
      <c r="C218" s="55">
        <v>4440</v>
      </c>
      <c r="D218" s="12" t="s">
        <v>101</v>
      </c>
      <c r="E218" s="76">
        <v>169038</v>
      </c>
      <c r="F218" s="90"/>
      <c r="G218" s="90"/>
      <c r="H218" s="90">
        <f t="shared" si="24"/>
        <v>169038</v>
      </c>
      <c r="I218" s="202">
        <v>172533</v>
      </c>
      <c r="J218" s="155">
        <v>172533</v>
      </c>
      <c r="K218" s="207">
        <f t="shared" si="25"/>
        <v>100</v>
      </c>
    </row>
    <row r="219" spans="1:11" s="24" customFormat="1" ht="24.75" customHeight="1">
      <c r="A219" s="78"/>
      <c r="B219" s="77"/>
      <c r="C219" s="55">
        <v>4570</v>
      </c>
      <c r="D219" s="12" t="s">
        <v>308</v>
      </c>
      <c r="E219" s="76"/>
      <c r="F219" s="90"/>
      <c r="G219" s="90"/>
      <c r="H219" s="90">
        <v>0</v>
      </c>
      <c r="I219" s="202">
        <v>146</v>
      </c>
      <c r="J219" s="155">
        <v>145</v>
      </c>
      <c r="K219" s="207">
        <f t="shared" si="25"/>
        <v>99.31506849315068</v>
      </c>
    </row>
    <row r="220" spans="1:11" s="24" customFormat="1" ht="24.75" customHeight="1">
      <c r="A220" s="78"/>
      <c r="B220" s="77"/>
      <c r="C220" s="55">
        <v>6060</v>
      </c>
      <c r="D220" s="12" t="s">
        <v>109</v>
      </c>
      <c r="E220" s="76">
        <v>3500</v>
      </c>
      <c r="F220" s="90"/>
      <c r="G220" s="90"/>
      <c r="H220" s="90">
        <f t="shared" si="24"/>
        <v>3500</v>
      </c>
      <c r="I220" s="202">
        <v>0</v>
      </c>
      <c r="J220" s="155">
        <v>0</v>
      </c>
      <c r="K220" s="207">
        <v>0</v>
      </c>
    </row>
    <row r="221" spans="1:11" s="24" customFormat="1" ht="19.5" customHeight="1">
      <c r="A221" s="78"/>
      <c r="B221" s="77" t="s">
        <v>133</v>
      </c>
      <c r="C221" s="55"/>
      <c r="D221" s="12" t="s">
        <v>134</v>
      </c>
      <c r="E221" s="76">
        <f>SUM(E223)</f>
        <v>253445</v>
      </c>
      <c r="F221" s="76">
        <f>SUM(F223)</f>
        <v>0</v>
      </c>
      <c r="G221" s="76">
        <f>SUM(G223)</f>
        <v>0</v>
      </c>
      <c r="H221" s="76">
        <f>SUM(H222:H224)</f>
        <v>253445</v>
      </c>
      <c r="I221" s="202">
        <f>SUM(I222:I224)</f>
        <v>250945</v>
      </c>
      <c r="J221" s="155">
        <f>SUM(J222:J224)</f>
        <v>248662</v>
      </c>
      <c r="K221" s="207">
        <f t="shared" si="25"/>
        <v>99.09023889696945</v>
      </c>
    </row>
    <row r="222" spans="1:11" s="24" customFormat="1" ht="19.5" customHeight="1">
      <c r="A222" s="78"/>
      <c r="B222" s="77"/>
      <c r="C222" s="55">
        <v>4210</v>
      </c>
      <c r="D222" s="12" t="s">
        <v>105</v>
      </c>
      <c r="E222" s="76"/>
      <c r="F222" s="76"/>
      <c r="G222" s="76"/>
      <c r="H222" s="76">
        <v>0</v>
      </c>
      <c r="I222" s="202">
        <v>2000</v>
      </c>
      <c r="J222" s="155">
        <v>1085</v>
      </c>
      <c r="K222" s="207">
        <f t="shared" si="25"/>
        <v>54.25</v>
      </c>
    </row>
    <row r="223" spans="1:11" s="24" customFormat="1" ht="19.5" customHeight="1">
      <c r="A223" s="78"/>
      <c r="B223" s="77"/>
      <c r="C223" s="55">
        <v>4300</v>
      </c>
      <c r="D223" s="12" t="s">
        <v>92</v>
      </c>
      <c r="E223" s="76">
        <f>267329-13884</f>
        <v>253445</v>
      </c>
      <c r="F223" s="90"/>
      <c r="G223" s="90"/>
      <c r="H223" s="90">
        <v>253445</v>
      </c>
      <c r="I223" s="202">
        <v>244645</v>
      </c>
      <c r="J223" s="155">
        <v>243319</v>
      </c>
      <c r="K223" s="207">
        <f t="shared" si="25"/>
        <v>99.4579901489914</v>
      </c>
    </row>
    <row r="224" spans="1:11" s="24" customFormat="1" ht="19.5" customHeight="1">
      <c r="A224" s="78"/>
      <c r="B224" s="77"/>
      <c r="C224" s="55">
        <v>4430</v>
      </c>
      <c r="D224" s="12" t="s">
        <v>107</v>
      </c>
      <c r="E224" s="76"/>
      <c r="F224" s="90"/>
      <c r="G224" s="90"/>
      <c r="H224" s="90">
        <v>0</v>
      </c>
      <c r="I224" s="202">
        <v>4300</v>
      </c>
      <c r="J224" s="155">
        <v>4258</v>
      </c>
      <c r="K224" s="207">
        <f t="shared" si="25"/>
        <v>99.0232558139535</v>
      </c>
    </row>
    <row r="225" spans="1:11" s="24" customFormat="1" ht="24">
      <c r="A225" s="78"/>
      <c r="B225" s="84">
        <v>80146</v>
      </c>
      <c r="C225" s="88"/>
      <c r="D225" s="12" t="s">
        <v>173</v>
      </c>
      <c r="E225" s="76">
        <f aca="true" t="shared" si="26" ref="E225:J225">SUM(E226:E228)</f>
        <v>85629</v>
      </c>
      <c r="F225" s="76">
        <f t="shared" si="26"/>
        <v>19810</v>
      </c>
      <c r="G225" s="76">
        <f t="shared" si="26"/>
        <v>19810</v>
      </c>
      <c r="H225" s="76">
        <f t="shared" si="26"/>
        <v>85629</v>
      </c>
      <c r="I225" s="202">
        <f t="shared" si="26"/>
        <v>85429</v>
      </c>
      <c r="J225" s="155">
        <f t="shared" si="26"/>
        <v>75072</v>
      </c>
      <c r="K225" s="207">
        <f t="shared" si="25"/>
        <v>87.87648222500556</v>
      </c>
    </row>
    <row r="226" spans="1:11" s="24" customFormat="1" ht="24">
      <c r="A226" s="78"/>
      <c r="B226" s="84"/>
      <c r="C226" s="88">
        <v>2510</v>
      </c>
      <c r="D226" s="12" t="s">
        <v>142</v>
      </c>
      <c r="E226" s="76">
        <v>9893</v>
      </c>
      <c r="F226" s="90"/>
      <c r="G226" s="90"/>
      <c r="H226" s="90">
        <f t="shared" si="24"/>
        <v>9893</v>
      </c>
      <c r="I226" s="202">
        <v>9893</v>
      </c>
      <c r="J226" s="155">
        <v>8197</v>
      </c>
      <c r="K226" s="207">
        <f t="shared" si="25"/>
        <v>82.85656524815525</v>
      </c>
    </row>
    <row r="227" spans="1:11" s="24" customFormat="1" ht="19.5" customHeight="1">
      <c r="A227" s="78"/>
      <c r="B227" s="84"/>
      <c r="C227" s="88">
        <v>4300</v>
      </c>
      <c r="D227" s="12" t="s">
        <v>92</v>
      </c>
      <c r="E227" s="76">
        <f>85629-9893</f>
        <v>75736</v>
      </c>
      <c r="F227" s="90"/>
      <c r="G227" s="90">
        <v>19810</v>
      </c>
      <c r="H227" s="90">
        <f t="shared" si="24"/>
        <v>55926</v>
      </c>
      <c r="I227" s="202">
        <v>56671</v>
      </c>
      <c r="J227" s="155">
        <v>51886</v>
      </c>
      <c r="K227" s="207">
        <f t="shared" si="25"/>
        <v>91.55652803020945</v>
      </c>
    </row>
    <row r="228" spans="1:11" s="24" customFormat="1" ht="19.5" customHeight="1">
      <c r="A228" s="78"/>
      <c r="B228" s="84"/>
      <c r="C228" s="88">
        <v>4410</v>
      </c>
      <c r="D228" s="12" t="s">
        <v>103</v>
      </c>
      <c r="E228" s="76">
        <v>0</v>
      </c>
      <c r="F228" s="90">
        <v>19810</v>
      </c>
      <c r="G228" s="90"/>
      <c r="H228" s="90">
        <f t="shared" si="24"/>
        <v>19810</v>
      </c>
      <c r="I228" s="202">
        <v>18865</v>
      </c>
      <c r="J228" s="155">
        <v>14989</v>
      </c>
      <c r="K228" s="207">
        <f t="shared" si="25"/>
        <v>79.45401537238273</v>
      </c>
    </row>
    <row r="229" spans="1:11" s="24" customFormat="1" ht="19.5" customHeight="1">
      <c r="A229" s="78"/>
      <c r="B229" s="77">
        <v>80195</v>
      </c>
      <c r="C229" s="78"/>
      <c r="D229" s="12" t="s">
        <v>6</v>
      </c>
      <c r="E229" s="76">
        <f>SUM(E232:E232)</f>
        <v>115453</v>
      </c>
      <c r="F229" s="76">
        <f>SUM(F232:F232)</f>
        <v>1181</v>
      </c>
      <c r="G229" s="76">
        <f>SUM(G232:G232)</f>
        <v>0</v>
      </c>
      <c r="H229" s="76">
        <f>SUM(H230:H232)</f>
        <v>116634</v>
      </c>
      <c r="I229" s="202">
        <f>SUM(I230:I232)</f>
        <v>120651</v>
      </c>
      <c r="J229" s="155">
        <f>SUM(J230:J232)</f>
        <v>120651</v>
      </c>
      <c r="K229" s="207">
        <f t="shared" si="25"/>
        <v>100</v>
      </c>
    </row>
    <row r="230" spans="1:11" s="24" customFormat="1" ht="19.5" customHeight="1">
      <c r="A230" s="78"/>
      <c r="B230" s="77"/>
      <c r="C230" s="78">
        <v>4170</v>
      </c>
      <c r="D230" s="12" t="s">
        <v>249</v>
      </c>
      <c r="E230" s="76"/>
      <c r="F230" s="76"/>
      <c r="G230" s="76"/>
      <c r="H230" s="76">
        <v>0</v>
      </c>
      <c r="I230" s="202">
        <v>1650</v>
      </c>
      <c r="J230" s="155">
        <v>1650</v>
      </c>
      <c r="K230" s="207">
        <f t="shared" si="25"/>
        <v>100</v>
      </c>
    </row>
    <row r="231" spans="1:11" s="24" customFormat="1" ht="19.5" customHeight="1">
      <c r="A231" s="78"/>
      <c r="B231" s="77"/>
      <c r="C231" s="78">
        <v>4300</v>
      </c>
      <c r="D231" s="12" t="s">
        <v>92</v>
      </c>
      <c r="E231" s="76"/>
      <c r="F231" s="76"/>
      <c r="G231" s="76"/>
      <c r="H231" s="76">
        <v>0</v>
      </c>
      <c r="I231" s="202">
        <v>2367</v>
      </c>
      <c r="J231" s="155">
        <v>2367</v>
      </c>
      <c r="K231" s="207">
        <f t="shared" si="25"/>
        <v>100</v>
      </c>
    </row>
    <row r="232" spans="1:11" s="24" customFormat="1" ht="24.75" customHeight="1">
      <c r="A232" s="78"/>
      <c r="B232" s="77"/>
      <c r="C232" s="78">
        <v>4440</v>
      </c>
      <c r="D232" s="12" t="s">
        <v>101</v>
      </c>
      <c r="E232" s="76">
        <v>115453</v>
      </c>
      <c r="F232" s="90">
        <v>1181</v>
      </c>
      <c r="G232" s="90"/>
      <c r="H232" s="90">
        <f t="shared" si="24"/>
        <v>116634</v>
      </c>
      <c r="I232" s="202">
        <v>116634</v>
      </c>
      <c r="J232" s="155">
        <v>116634</v>
      </c>
      <c r="K232" s="207">
        <f t="shared" si="25"/>
        <v>100</v>
      </c>
    </row>
    <row r="233" spans="1:11" s="5" customFormat="1" ht="19.5" customHeight="1">
      <c r="A233" s="33" t="s">
        <v>135</v>
      </c>
      <c r="B233" s="4"/>
      <c r="C233" s="3"/>
      <c r="D233" s="19" t="s">
        <v>64</v>
      </c>
      <c r="E233" s="66">
        <f>SUM(E234,E236,E244,)</f>
        <v>126466</v>
      </c>
      <c r="F233" s="66">
        <f>SUM(F234,F236,F244,)</f>
        <v>6906</v>
      </c>
      <c r="G233" s="66">
        <f>SUM(G234,G236,G244,)</f>
        <v>500</v>
      </c>
      <c r="H233" s="66">
        <f>SUM(H234,H236,H244,)</f>
        <v>132872</v>
      </c>
      <c r="I233" s="204">
        <f>SUM(I234,I236,I244,)</f>
        <v>157172</v>
      </c>
      <c r="J233" s="32">
        <f>SUM(J234,J236,J244)</f>
        <v>155471</v>
      </c>
      <c r="K233" s="208">
        <f t="shared" si="25"/>
        <v>98.91774616343878</v>
      </c>
    </row>
    <row r="234" spans="1:11" s="24" customFormat="1" ht="19.5" customHeight="1">
      <c r="A234" s="78"/>
      <c r="B234" s="84">
        <v>85111</v>
      </c>
      <c r="C234" s="55"/>
      <c r="D234" s="12" t="s">
        <v>228</v>
      </c>
      <c r="E234" s="76">
        <f aca="true" t="shared" si="27" ref="E234:J234">SUM(E235)</f>
        <v>10000</v>
      </c>
      <c r="F234" s="76">
        <f t="shared" si="27"/>
        <v>0</v>
      </c>
      <c r="G234" s="76">
        <f t="shared" si="27"/>
        <v>0</v>
      </c>
      <c r="H234" s="76">
        <f t="shared" si="27"/>
        <v>10000</v>
      </c>
      <c r="I234" s="202">
        <f t="shared" si="27"/>
        <v>10000</v>
      </c>
      <c r="J234" s="155">
        <f t="shared" si="27"/>
        <v>10000</v>
      </c>
      <c r="K234" s="207">
        <f t="shared" si="25"/>
        <v>100</v>
      </c>
    </row>
    <row r="235" spans="1:11" s="24" customFormat="1" ht="60">
      <c r="A235" s="78"/>
      <c r="B235" s="84"/>
      <c r="C235" s="55">
        <v>6300</v>
      </c>
      <c r="D235" s="12" t="s">
        <v>231</v>
      </c>
      <c r="E235" s="76">
        <v>10000</v>
      </c>
      <c r="F235" s="90"/>
      <c r="G235" s="90"/>
      <c r="H235" s="90">
        <f t="shared" si="24"/>
        <v>10000</v>
      </c>
      <c r="I235" s="202">
        <v>10000</v>
      </c>
      <c r="J235" s="155">
        <v>10000</v>
      </c>
      <c r="K235" s="207">
        <f t="shared" si="25"/>
        <v>100</v>
      </c>
    </row>
    <row r="236" spans="1:11" s="24" customFormat="1" ht="19.5" customHeight="1">
      <c r="A236" s="78"/>
      <c r="B236" s="77" t="s">
        <v>136</v>
      </c>
      <c r="C236" s="55"/>
      <c r="D236" s="12" t="s">
        <v>65</v>
      </c>
      <c r="E236" s="76">
        <f>SUM(E239:E243)</f>
        <v>111466</v>
      </c>
      <c r="F236" s="76">
        <f>SUM(F239:F243)</f>
        <v>6906</v>
      </c>
      <c r="G236" s="76">
        <f>SUM(G239:G243)</f>
        <v>500</v>
      </c>
      <c r="H236" s="76">
        <f>SUM(H237:H243)</f>
        <v>117872</v>
      </c>
      <c r="I236" s="202">
        <f>SUM(I237:I243)</f>
        <v>142172</v>
      </c>
      <c r="J236" s="155">
        <f>SUM(J237:J243)</f>
        <v>140471</v>
      </c>
      <c r="K236" s="207">
        <f t="shared" si="25"/>
        <v>98.80356188278986</v>
      </c>
    </row>
    <row r="237" spans="1:11" s="24" customFormat="1" ht="48">
      <c r="A237" s="78"/>
      <c r="B237" s="77"/>
      <c r="C237" s="55">
        <v>2710</v>
      </c>
      <c r="D237" s="12" t="s">
        <v>304</v>
      </c>
      <c r="E237" s="76"/>
      <c r="F237" s="76"/>
      <c r="G237" s="76"/>
      <c r="H237" s="76">
        <v>0</v>
      </c>
      <c r="I237" s="202">
        <v>12285</v>
      </c>
      <c r="J237" s="155">
        <v>12285</v>
      </c>
      <c r="K237" s="207">
        <f t="shared" si="25"/>
        <v>100</v>
      </c>
    </row>
    <row r="238" spans="1:11" s="24" customFormat="1" ht="36">
      <c r="A238" s="78"/>
      <c r="B238" s="77"/>
      <c r="C238" s="55">
        <v>2630</v>
      </c>
      <c r="D238" s="12" t="s">
        <v>274</v>
      </c>
      <c r="E238" s="76"/>
      <c r="F238" s="76"/>
      <c r="G238" s="76"/>
      <c r="H238" s="76">
        <v>0</v>
      </c>
      <c r="I238" s="202">
        <v>49972</v>
      </c>
      <c r="J238" s="155">
        <v>49972</v>
      </c>
      <c r="K238" s="207">
        <f t="shared" si="25"/>
        <v>100</v>
      </c>
    </row>
    <row r="239" spans="1:11" s="24" customFormat="1" ht="21" customHeight="1">
      <c r="A239" s="78"/>
      <c r="B239" s="84"/>
      <c r="C239" s="55">
        <v>3030</v>
      </c>
      <c r="D239" s="12" t="s">
        <v>102</v>
      </c>
      <c r="E239" s="76">
        <v>16500</v>
      </c>
      <c r="F239" s="90"/>
      <c r="G239" s="90">
        <v>500</v>
      </c>
      <c r="H239" s="90">
        <f t="shared" si="24"/>
        <v>16000</v>
      </c>
      <c r="I239" s="202">
        <v>0</v>
      </c>
      <c r="J239" s="155">
        <v>0</v>
      </c>
      <c r="K239" s="207">
        <v>0</v>
      </c>
    </row>
    <row r="240" spans="1:11" s="24" customFormat="1" ht="21" customHeight="1">
      <c r="A240" s="78"/>
      <c r="B240" s="84"/>
      <c r="C240" s="55">
        <v>4170</v>
      </c>
      <c r="D240" s="12" t="s">
        <v>249</v>
      </c>
      <c r="E240" s="76"/>
      <c r="F240" s="90"/>
      <c r="G240" s="90"/>
      <c r="H240" s="90">
        <v>0</v>
      </c>
      <c r="I240" s="202">
        <v>13715</v>
      </c>
      <c r="J240" s="155">
        <v>12022</v>
      </c>
      <c r="K240" s="207">
        <f t="shared" si="25"/>
        <v>87.655851257747</v>
      </c>
    </row>
    <row r="241" spans="1:11" s="24" customFormat="1" ht="19.5" customHeight="1">
      <c r="A241" s="78"/>
      <c r="B241" s="84"/>
      <c r="C241" s="55">
        <v>4210</v>
      </c>
      <c r="D241" s="12" t="s">
        <v>105</v>
      </c>
      <c r="E241" s="76">
        <v>5000</v>
      </c>
      <c r="F241" s="90"/>
      <c r="G241" s="90"/>
      <c r="H241" s="90">
        <f t="shared" si="24"/>
        <v>5000</v>
      </c>
      <c r="I241" s="202">
        <v>5000</v>
      </c>
      <c r="J241" s="155">
        <v>4999</v>
      </c>
      <c r="K241" s="207">
        <f t="shared" si="25"/>
        <v>99.98</v>
      </c>
    </row>
    <row r="242" spans="1:11" s="24" customFormat="1" ht="19.5" customHeight="1">
      <c r="A242" s="78"/>
      <c r="B242" s="84"/>
      <c r="C242" s="55">
        <v>4300</v>
      </c>
      <c r="D242" s="12" t="s">
        <v>92</v>
      </c>
      <c r="E242" s="76">
        <v>59966</v>
      </c>
      <c r="F242" s="90">
        <v>6906</v>
      </c>
      <c r="G242" s="90"/>
      <c r="H242" s="90">
        <f t="shared" si="24"/>
        <v>66872</v>
      </c>
      <c r="I242" s="202">
        <v>19900</v>
      </c>
      <c r="J242" s="155">
        <v>19900</v>
      </c>
      <c r="K242" s="207">
        <f t="shared" si="25"/>
        <v>100</v>
      </c>
    </row>
    <row r="243" spans="1:11" s="24" customFormat="1" ht="24.75" customHeight="1">
      <c r="A243" s="78"/>
      <c r="B243" s="84"/>
      <c r="C243" s="55">
        <v>6060</v>
      </c>
      <c r="D243" s="12" t="s">
        <v>109</v>
      </c>
      <c r="E243" s="76">
        <v>30000</v>
      </c>
      <c r="F243" s="90"/>
      <c r="G243" s="90"/>
      <c r="H243" s="90">
        <f t="shared" si="24"/>
        <v>30000</v>
      </c>
      <c r="I243" s="202">
        <v>41300</v>
      </c>
      <c r="J243" s="155">
        <v>41293</v>
      </c>
      <c r="K243" s="207">
        <f t="shared" si="25"/>
        <v>99.98305084745762</v>
      </c>
    </row>
    <row r="244" spans="1:11" s="24" customFormat="1" ht="19.5" customHeight="1">
      <c r="A244" s="78"/>
      <c r="B244" s="84">
        <v>85195</v>
      </c>
      <c r="C244" s="55"/>
      <c r="D244" s="12" t="s">
        <v>6</v>
      </c>
      <c r="E244" s="76">
        <f aca="true" t="shared" si="28" ref="E244:J244">SUM(E245)</f>
        <v>5000</v>
      </c>
      <c r="F244" s="76">
        <f t="shared" si="28"/>
        <v>0</v>
      </c>
      <c r="G244" s="76">
        <f t="shared" si="28"/>
        <v>0</v>
      </c>
      <c r="H244" s="76">
        <f t="shared" si="28"/>
        <v>5000</v>
      </c>
      <c r="I244" s="202">
        <f t="shared" si="28"/>
        <v>5000</v>
      </c>
      <c r="J244" s="155">
        <f t="shared" si="28"/>
        <v>5000</v>
      </c>
      <c r="K244" s="207">
        <f t="shared" si="25"/>
        <v>100</v>
      </c>
    </row>
    <row r="245" spans="1:11" s="24" customFormat="1" ht="19.5" customHeight="1">
      <c r="A245" s="78"/>
      <c r="B245" s="84"/>
      <c r="C245" s="55">
        <v>4430</v>
      </c>
      <c r="D245" s="12" t="s">
        <v>107</v>
      </c>
      <c r="E245" s="76">
        <v>5000</v>
      </c>
      <c r="F245" s="90"/>
      <c r="G245" s="90"/>
      <c r="H245" s="90">
        <f t="shared" si="24"/>
        <v>5000</v>
      </c>
      <c r="I245" s="202">
        <v>5000</v>
      </c>
      <c r="J245" s="155">
        <v>5000</v>
      </c>
      <c r="K245" s="207">
        <f t="shared" si="25"/>
        <v>100</v>
      </c>
    </row>
    <row r="246" spans="1:11" s="5" customFormat="1" ht="19.5" customHeight="1">
      <c r="A246" s="33" t="s">
        <v>183</v>
      </c>
      <c r="B246" s="4"/>
      <c r="C246" s="3"/>
      <c r="D246" s="19" t="s">
        <v>230</v>
      </c>
      <c r="E246" s="66" t="e">
        <f>SUM(E247,E262,#REF!,E267,E269,E285,E287,)</f>
        <v>#REF!</v>
      </c>
      <c r="F246" s="66" t="e">
        <f>SUM(F247,F262,#REF!,F267,F269,F285,F287,)</f>
        <v>#REF!</v>
      </c>
      <c r="G246" s="66" t="e">
        <f>SUM(G247,G262,#REF!,G267,G269,G285,G287,)</f>
        <v>#REF!</v>
      </c>
      <c r="H246" s="66">
        <f>SUM(H247,H262,H264,H267,H269,H285,H287,)</f>
        <v>9633937</v>
      </c>
      <c r="I246" s="128">
        <f>SUM(I247,I262,I264,I267,I269,I285,I287,)</f>
        <v>10023121</v>
      </c>
      <c r="J246" s="32">
        <f>SUM(J247,J262,J264,J267,J269,J285,J287,)</f>
        <v>9352503</v>
      </c>
      <c r="K246" s="208">
        <f t="shared" si="25"/>
        <v>93.30928959153542</v>
      </c>
    </row>
    <row r="247" spans="1:11" s="24" customFormat="1" ht="42" customHeight="1">
      <c r="A247" s="105"/>
      <c r="B247" s="55">
        <v>85212</v>
      </c>
      <c r="C247" s="85"/>
      <c r="D247" s="83" t="s">
        <v>391</v>
      </c>
      <c r="E247" s="76">
        <f>SUM(E248:E260)</f>
        <v>5605817</v>
      </c>
      <c r="F247" s="76">
        <f>SUM(F248:F260)</f>
        <v>0</v>
      </c>
      <c r="G247" s="76">
        <f>SUM(G248:G260)</f>
        <v>0</v>
      </c>
      <c r="H247" s="76">
        <f>SUM(H248:H261)</f>
        <v>5589800</v>
      </c>
      <c r="I247" s="203">
        <f>SUM(I248:I261)</f>
        <v>5842237</v>
      </c>
      <c r="J247" s="155">
        <f>SUM(J248:J261)</f>
        <v>5188091</v>
      </c>
      <c r="K247" s="207">
        <f t="shared" si="25"/>
        <v>88.80315879003197</v>
      </c>
    </row>
    <row r="248" spans="1:11" s="24" customFormat="1" ht="24.75" customHeight="1">
      <c r="A248" s="105"/>
      <c r="B248" s="55"/>
      <c r="C248" s="85">
        <v>3020</v>
      </c>
      <c r="D248" s="12" t="s">
        <v>240</v>
      </c>
      <c r="E248" s="76">
        <v>1000</v>
      </c>
      <c r="F248" s="90"/>
      <c r="G248" s="90"/>
      <c r="H248" s="90">
        <f t="shared" si="24"/>
        <v>1000</v>
      </c>
      <c r="I248" s="202">
        <v>160</v>
      </c>
      <c r="J248" s="155">
        <v>160</v>
      </c>
      <c r="K248" s="207">
        <f t="shared" si="25"/>
        <v>100</v>
      </c>
    </row>
    <row r="249" spans="1:11" s="24" customFormat="1" ht="19.5" customHeight="1">
      <c r="A249" s="105"/>
      <c r="B249" s="55"/>
      <c r="C249" s="85">
        <v>3110</v>
      </c>
      <c r="D249" s="83" t="s">
        <v>128</v>
      </c>
      <c r="E249" s="76">
        <v>5365883</v>
      </c>
      <c r="F249" s="90"/>
      <c r="G249" s="90"/>
      <c r="H249" s="90">
        <f t="shared" si="24"/>
        <v>5365883</v>
      </c>
      <c r="I249" s="202">
        <v>5601145</v>
      </c>
      <c r="J249" s="155">
        <v>4964577</v>
      </c>
      <c r="K249" s="207">
        <f t="shared" si="25"/>
        <v>88.63503801454881</v>
      </c>
    </row>
    <row r="250" spans="1:11" s="24" customFormat="1" ht="19.5" customHeight="1">
      <c r="A250" s="105"/>
      <c r="B250" s="55"/>
      <c r="C250" s="55">
        <v>4010</v>
      </c>
      <c r="D250" s="12" t="s">
        <v>97</v>
      </c>
      <c r="E250" s="76">
        <f>60213+20900</f>
        <v>81113</v>
      </c>
      <c r="F250" s="90"/>
      <c r="G250" s="90"/>
      <c r="H250" s="90">
        <f t="shared" si="24"/>
        <v>81113</v>
      </c>
      <c r="I250" s="202">
        <v>96849</v>
      </c>
      <c r="J250" s="155">
        <v>95873</v>
      </c>
      <c r="K250" s="207">
        <f t="shared" si="25"/>
        <v>98.99224566077089</v>
      </c>
    </row>
    <row r="251" spans="1:11" s="24" customFormat="1" ht="19.5" customHeight="1">
      <c r="A251" s="105"/>
      <c r="B251" s="55"/>
      <c r="C251" s="55">
        <v>4040</v>
      </c>
      <c r="D251" s="12" t="s">
        <v>98</v>
      </c>
      <c r="E251" s="76">
        <v>3800</v>
      </c>
      <c r="F251" s="90"/>
      <c r="G251" s="90"/>
      <c r="H251" s="90">
        <f t="shared" si="24"/>
        <v>3800</v>
      </c>
      <c r="I251" s="202">
        <v>4456</v>
      </c>
      <c r="J251" s="155">
        <v>4455</v>
      </c>
      <c r="K251" s="207">
        <f t="shared" si="25"/>
        <v>99.97755834829444</v>
      </c>
    </row>
    <row r="252" spans="1:11" s="24" customFormat="1" ht="19.5" customHeight="1">
      <c r="A252" s="105"/>
      <c r="B252" s="55"/>
      <c r="C252" s="55">
        <v>4110</v>
      </c>
      <c r="D252" s="12" t="s">
        <v>99</v>
      </c>
      <c r="E252" s="76">
        <f>90000+11631+3000</f>
        <v>104631</v>
      </c>
      <c r="F252" s="90"/>
      <c r="G252" s="90"/>
      <c r="H252" s="90">
        <f t="shared" si="24"/>
        <v>104631</v>
      </c>
      <c r="I252" s="202">
        <v>107744</v>
      </c>
      <c r="J252" s="155">
        <v>92212</v>
      </c>
      <c r="K252" s="207">
        <f t="shared" si="25"/>
        <v>85.58434808434808</v>
      </c>
    </row>
    <row r="253" spans="1:11" s="24" customFormat="1" ht="19.5" customHeight="1">
      <c r="A253" s="105"/>
      <c r="B253" s="55"/>
      <c r="C253" s="55">
        <v>4120</v>
      </c>
      <c r="D253" s="12" t="s">
        <v>100</v>
      </c>
      <c r="E253" s="76">
        <f>1181+900</f>
        <v>2081</v>
      </c>
      <c r="F253" s="90"/>
      <c r="G253" s="90"/>
      <c r="H253" s="90">
        <f t="shared" si="24"/>
        <v>2081</v>
      </c>
      <c r="I253" s="202">
        <v>2543</v>
      </c>
      <c r="J253" s="155">
        <v>2494</v>
      </c>
      <c r="K253" s="207">
        <f t="shared" si="25"/>
        <v>98.07314195831694</v>
      </c>
    </row>
    <row r="254" spans="1:11" s="24" customFormat="1" ht="19.5" customHeight="1">
      <c r="A254" s="105"/>
      <c r="B254" s="84"/>
      <c r="C254" s="55">
        <v>4170</v>
      </c>
      <c r="D254" s="12" t="s">
        <v>249</v>
      </c>
      <c r="E254" s="76">
        <v>16017</v>
      </c>
      <c r="F254" s="90"/>
      <c r="G254" s="90"/>
      <c r="H254" s="90">
        <v>0</v>
      </c>
      <c r="I254" s="202">
        <v>2003</v>
      </c>
      <c r="J254" s="155">
        <v>2002</v>
      </c>
      <c r="K254" s="207">
        <f t="shared" si="25"/>
        <v>99.95007488766849</v>
      </c>
    </row>
    <row r="255" spans="1:11" s="24" customFormat="1" ht="19.5" customHeight="1">
      <c r="A255" s="105"/>
      <c r="B255" s="84"/>
      <c r="C255" s="55">
        <v>4210</v>
      </c>
      <c r="D255" s="12" t="s">
        <v>105</v>
      </c>
      <c r="E255" s="76">
        <v>16017</v>
      </c>
      <c r="F255" s="90"/>
      <c r="G255" s="90"/>
      <c r="H255" s="90">
        <f t="shared" si="24"/>
        <v>16017</v>
      </c>
      <c r="I255" s="202">
        <v>8076</v>
      </c>
      <c r="J255" s="155">
        <v>7646</v>
      </c>
      <c r="K255" s="207">
        <f t="shared" si="25"/>
        <v>94.6755819712729</v>
      </c>
    </row>
    <row r="256" spans="1:11" s="24" customFormat="1" ht="19.5" customHeight="1">
      <c r="A256" s="105"/>
      <c r="B256" s="84"/>
      <c r="C256" s="55">
        <v>4300</v>
      </c>
      <c r="D256" s="12" t="s">
        <v>92</v>
      </c>
      <c r="E256" s="76">
        <v>12000</v>
      </c>
      <c r="F256" s="90"/>
      <c r="G256" s="90"/>
      <c r="H256" s="90">
        <f t="shared" si="24"/>
        <v>12000</v>
      </c>
      <c r="I256" s="202">
        <v>9763</v>
      </c>
      <c r="J256" s="155">
        <v>9252</v>
      </c>
      <c r="K256" s="207">
        <f t="shared" si="25"/>
        <v>94.7659530881901</v>
      </c>
    </row>
    <row r="257" spans="1:11" s="24" customFormat="1" ht="19.5" customHeight="1">
      <c r="A257" s="105"/>
      <c r="B257" s="84"/>
      <c r="C257" s="55">
        <v>4350</v>
      </c>
      <c r="D257" s="12" t="s">
        <v>307</v>
      </c>
      <c r="E257" s="76"/>
      <c r="F257" s="90"/>
      <c r="G257" s="90"/>
      <c r="H257" s="90">
        <v>0</v>
      </c>
      <c r="I257" s="202">
        <v>650</v>
      </c>
      <c r="J257" s="155">
        <v>648</v>
      </c>
      <c r="K257" s="207">
        <f t="shared" si="25"/>
        <v>99.6923076923077</v>
      </c>
    </row>
    <row r="258" spans="1:11" s="24" customFormat="1" ht="19.5" customHeight="1">
      <c r="A258" s="105"/>
      <c r="B258" s="84"/>
      <c r="C258" s="55">
        <v>4410</v>
      </c>
      <c r="D258" s="12" t="s">
        <v>103</v>
      </c>
      <c r="E258" s="76">
        <v>500</v>
      </c>
      <c r="F258" s="90"/>
      <c r="G258" s="90"/>
      <c r="H258" s="90">
        <f t="shared" si="24"/>
        <v>500</v>
      </c>
      <c r="I258" s="202">
        <v>2000</v>
      </c>
      <c r="J258" s="155">
        <v>1943</v>
      </c>
      <c r="K258" s="207">
        <f t="shared" si="25"/>
        <v>97.15</v>
      </c>
    </row>
    <row r="259" spans="1:11" s="24" customFormat="1" ht="19.5" customHeight="1">
      <c r="A259" s="105"/>
      <c r="B259" s="84"/>
      <c r="C259" s="55">
        <v>4430</v>
      </c>
      <c r="D259" s="12" t="s">
        <v>107</v>
      </c>
      <c r="E259" s="76"/>
      <c r="F259" s="90"/>
      <c r="G259" s="90"/>
      <c r="H259" s="90">
        <v>0</v>
      </c>
      <c r="I259" s="202">
        <v>1285</v>
      </c>
      <c r="J259" s="155">
        <v>1285</v>
      </c>
      <c r="K259" s="207">
        <f t="shared" si="25"/>
        <v>100</v>
      </c>
    </row>
    <row r="260" spans="1:11" s="24" customFormat="1" ht="24.75" customHeight="1">
      <c r="A260" s="105"/>
      <c r="B260" s="84"/>
      <c r="C260" s="55">
        <v>4440</v>
      </c>
      <c r="D260" s="12" t="s">
        <v>101</v>
      </c>
      <c r="E260" s="76">
        <v>2775</v>
      </c>
      <c r="F260" s="90"/>
      <c r="G260" s="90"/>
      <c r="H260" s="90">
        <v>2775</v>
      </c>
      <c r="I260" s="202">
        <v>3863</v>
      </c>
      <c r="J260" s="155">
        <v>3863</v>
      </c>
      <c r="K260" s="207">
        <f t="shared" si="25"/>
        <v>100</v>
      </c>
    </row>
    <row r="261" spans="1:11" s="24" customFormat="1" ht="24.75" customHeight="1">
      <c r="A261" s="105"/>
      <c r="B261" s="84"/>
      <c r="C261" s="55">
        <v>6060</v>
      </c>
      <c r="D261" s="12" t="s">
        <v>109</v>
      </c>
      <c r="E261" s="76"/>
      <c r="F261" s="90"/>
      <c r="G261" s="90"/>
      <c r="H261" s="90">
        <v>0</v>
      </c>
      <c r="I261" s="202">
        <v>1700</v>
      </c>
      <c r="J261" s="155">
        <v>1681</v>
      </c>
      <c r="K261" s="207">
        <f t="shared" si="25"/>
        <v>98.88235294117646</v>
      </c>
    </row>
    <row r="262" spans="1:11" s="24" customFormat="1" ht="48">
      <c r="A262" s="78"/>
      <c r="B262" s="84">
        <v>85213</v>
      </c>
      <c r="C262" s="55"/>
      <c r="D262" s="12" t="s">
        <v>227</v>
      </c>
      <c r="E262" s="76">
        <f aca="true" t="shared" si="29" ref="E262:J262">SUM(E263)</f>
        <v>160900</v>
      </c>
      <c r="F262" s="76">
        <f t="shared" si="29"/>
        <v>0</v>
      </c>
      <c r="G262" s="76">
        <f t="shared" si="29"/>
        <v>0</v>
      </c>
      <c r="H262" s="76">
        <f t="shared" si="29"/>
        <v>160900</v>
      </c>
      <c r="I262" s="202">
        <f t="shared" si="29"/>
        <v>66000</v>
      </c>
      <c r="J262" s="155">
        <f t="shared" si="29"/>
        <v>63591</v>
      </c>
      <c r="K262" s="207">
        <f t="shared" si="25"/>
        <v>96.35000000000001</v>
      </c>
    </row>
    <row r="263" spans="1:11" s="24" customFormat="1" ht="19.5" customHeight="1">
      <c r="A263" s="78"/>
      <c r="B263" s="84"/>
      <c r="C263" s="55">
        <v>4130</v>
      </c>
      <c r="D263" s="12" t="s">
        <v>137</v>
      </c>
      <c r="E263" s="76">
        <v>160900</v>
      </c>
      <c r="F263" s="90"/>
      <c r="G263" s="90"/>
      <c r="H263" s="90">
        <f t="shared" si="24"/>
        <v>160900</v>
      </c>
      <c r="I263" s="202">
        <v>66000</v>
      </c>
      <c r="J263" s="155">
        <v>63591</v>
      </c>
      <c r="K263" s="207">
        <f aca="true" t="shared" si="30" ref="K263:K326">J263/I263*100</f>
        <v>96.35000000000001</v>
      </c>
    </row>
    <row r="264" spans="1:11" s="24" customFormat="1" ht="36">
      <c r="A264" s="78"/>
      <c r="B264" s="77">
        <v>85214</v>
      </c>
      <c r="C264" s="55"/>
      <c r="D264" s="12" t="s">
        <v>306</v>
      </c>
      <c r="E264" s="76"/>
      <c r="F264" s="90"/>
      <c r="G264" s="90"/>
      <c r="H264" s="90">
        <f>SUM(H265:H266)</f>
        <v>1370300</v>
      </c>
      <c r="I264" s="202">
        <f>SUM(I265:I266)</f>
        <v>1418501</v>
      </c>
      <c r="J264" s="155">
        <f>SUM(J265:J266)</f>
        <v>1407818</v>
      </c>
      <c r="K264" s="207">
        <f t="shared" si="30"/>
        <v>99.24688103850472</v>
      </c>
    </row>
    <row r="265" spans="1:11" s="24" customFormat="1" ht="19.5" customHeight="1">
      <c r="A265" s="78"/>
      <c r="B265" s="77"/>
      <c r="C265" s="55">
        <v>3110</v>
      </c>
      <c r="D265" s="12" t="s">
        <v>128</v>
      </c>
      <c r="E265" s="76"/>
      <c r="F265" s="90"/>
      <c r="G265" s="90"/>
      <c r="H265" s="90">
        <v>1360300</v>
      </c>
      <c r="I265" s="202">
        <v>1416200</v>
      </c>
      <c r="J265" s="155">
        <v>1405517</v>
      </c>
      <c r="K265" s="207">
        <f t="shared" si="30"/>
        <v>99.24565739302359</v>
      </c>
    </row>
    <row r="266" spans="1:11" s="24" customFormat="1" ht="19.5" customHeight="1">
      <c r="A266" s="78"/>
      <c r="B266" s="77"/>
      <c r="C266" s="55">
        <v>4110</v>
      </c>
      <c r="D266" s="12" t="s">
        <v>99</v>
      </c>
      <c r="E266" s="76"/>
      <c r="F266" s="90"/>
      <c r="G266" s="90"/>
      <c r="H266" s="90">
        <v>10000</v>
      </c>
      <c r="I266" s="202">
        <v>2301</v>
      </c>
      <c r="J266" s="155">
        <v>2301</v>
      </c>
      <c r="K266" s="207">
        <f t="shared" si="30"/>
        <v>100</v>
      </c>
    </row>
    <row r="267" spans="1:11" s="24" customFormat="1" ht="19.5" customHeight="1">
      <c r="A267" s="78"/>
      <c r="B267" s="77">
        <v>85215</v>
      </c>
      <c r="C267" s="55"/>
      <c r="D267" s="12" t="s">
        <v>69</v>
      </c>
      <c r="E267" s="76">
        <f aca="true" t="shared" si="31" ref="E267:J267">SUM(E268)</f>
        <v>1850000</v>
      </c>
      <c r="F267" s="76">
        <f t="shared" si="31"/>
        <v>0</v>
      </c>
      <c r="G267" s="76">
        <f t="shared" si="31"/>
        <v>300014</v>
      </c>
      <c r="H267" s="76">
        <f t="shared" si="31"/>
        <v>1549986</v>
      </c>
      <c r="I267" s="202">
        <f t="shared" si="31"/>
        <v>1427986</v>
      </c>
      <c r="J267" s="155">
        <f t="shared" si="31"/>
        <v>1424610</v>
      </c>
      <c r="K267" s="207">
        <f t="shared" si="30"/>
        <v>99.76358311636109</v>
      </c>
    </row>
    <row r="268" spans="1:11" s="24" customFormat="1" ht="19.5" customHeight="1">
      <c r="A268" s="78"/>
      <c r="B268" s="77"/>
      <c r="C268" s="55">
        <v>3110</v>
      </c>
      <c r="D268" s="12" t="s">
        <v>128</v>
      </c>
      <c r="E268" s="76">
        <v>1850000</v>
      </c>
      <c r="F268" s="90"/>
      <c r="G268" s="90">
        <v>300014</v>
      </c>
      <c r="H268" s="90">
        <f t="shared" si="24"/>
        <v>1549986</v>
      </c>
      <c r="I268" s="202">
        <v>1427986</v>
      </c>
      <c r="J268" s="155">
        <v>1424610</v>
      </c>
      <c r="K268" s="207">
        <f t="shared" si="30"/>
        <v>99.76358311636109</v>
      </c>
    </row>
    <row r="269" spans="1:11" s="24" customFormat="1" ht="19.5" customHeight="1">
      <c r="A269" s="78"/>
      <c r="B269" s="77">
        <v>85219</v>
      </c>
      <c r="C269" s="55"/>
      <c r="D269" s="12" t="s">
        <v>70</v>
      </c>
      <c r="E269" s="76">
        <f aca="true" t="shared" si="32" ref="E269:J269">SUM(E270:E284)</f>
        <v>823837</v>
      </c>
      <c r="F269" s="76">
        <f t="shared" si="32"/>
        <v>3211</v>
      </c>
      <c r="G269" s="76">
        <f t="shared" si="32"/>
        <v>10225</v>
      </c>
      <c r="H269" s="76">
        <f t="shared" si="32"/>
        <v>817431</v>
      </c>
      <c r="I269" s="202">
        <f t="shared" si="32"/>
        <v>831447</v>
      </c>
      <c r="J269" s="155">
        <f t="shared" si="32"/>
        <v>831445</v>
      </c>
      <c r="K269" s="207">
        <f t="shared" si="30"/>
        <v>99.99975945550348</v>
      </c>
    </row>
    <row r="270" spans="1:11" s="24" customFormat="1" ht="24.75" customHeight="1">
      <c r="A270" s="78"/>
      <c r="B270" s="77"/>
      <c r="C270" s="55">
        <v>3020</v>
      </c>
      <c r="D270" s="12" t="s">
        <v>240</v>
      </c>
      <c r="E270" s="76">
        <v>1400</v>
      </c>
      <c r="F270" s="90"/>
      <c r="G270" s="90"/>
      <c r="H270" s="90">
        <f t="shared" si="24"/>
        <v>1400</v>
      </c>
      <c r="I270" s="202">
        <v>3094</v>
      </c>
      <c r="J270" s="155">
        <v>3093</v>
      </c>
      <c r="K270" s="207">
        <f t="shared" si="30"/>
        <v>99.96767937944409</v>
      </c>
    </row>
    <row r="271" spans="1:11" s="24" customFormat="1" ht="19.5" customHeight="1">
      <c r="A271" s="78"/>
      <c r="B271" s="77"/>
      <c r="C271" s="55">
        <v>4010</v>
      </c>
      <c r="D271" s="12" t="s">
        <v>97</v>
      </c>
      <c r="E271" s="76">
        <f>21284+386670</f>
        <v>407954</v>
      </c>
      <c r="F271" s="90"/>
      <c r="G271" s="90">
        <v>5640</v>
      </c>
      <c r="H271" s="90">
        <f t="shared" si="24"/>
        <v>402314</v>
      </c>
      <c r="I271" s="202">
        <v>404586</v>
      </c>
      <c r="J271" s="155">
        <v>404586</v>
      </c>
      <c r="K271" s="207">
        <f t="shared" si="30"/>
        <v>100</v>
      </c>
    </row>
    <row r="272" spans="1:11" s="24" customFormat="1" ht="19.5" customHeight="1">
      <c r="A272" s="78"/>
      <c r="B272" s="77"/>
      <c r="C272" s="55">
        <v>4040</v>
      </c>
      <c r="D272" s="12" t="s">
        <v>98</v>
      </c>
      <c r="E272" s="76">
        <f>1220+31250</f>
        <v>32470</v>
      </c>
      <c r="F272" s="90">
        <v>11</v>
      </c>
      <c r="G272" s="90"/>
      <c r="H272" s="90">
        <f t="shared" si="24"/>
        <v>32481</v>
      </c>
      <c r="I272" s="202">
        <v>31669</v>
      </c>
      <c r="J272" s="155">
        <v>31668</v>
      </c>
      <c r="K272" s="207">
        <f t="shared" si="30"/>
        <v>99.99684233793299</v>
      </c>
    </row>
    <row r="273" spans="1:11" s="24" customFormat="1" ht="19.5" customHeight="1">
      <c r="A273" s="78"/>
      <c r="B273" s="77"/>
      <c r="C273" s="55">
        <v>4110</v>
      </c>
      <c r="D273" s="12" t="s">
        <v>99</v>
      </c>
      <c r="E273" s="76">
        <f>3990+74100</f>
        <v>78090</v>
      </c>
      <c r="F273" s="90"/>
      <c r="G273" s="90">
        <v>998</v>
      </c>
      <c r="H273" s="90">
        <f t="shared" si="24"/>
        <v>77092</v>
      </c>
      <c r="I273" s="202">
        <v>76973</v>
      </c>
      <c r="J273" s="155">
        <v>76960</v>
      </c>
      <c r="K273" s="207">
        <f t="shared" si="30"/>
        <v>99.98311096098632</v>
      </c>
    </row>
    <row r="274" spans="1:11" s="24" customFormat="1" ht="19.5" customHeight="1">
      <c r="A274" s="78"/>
      <c r="B274" s="77"/>
      <c r="C274" s="55">
        <v>4120</v>
      </c>
      <c r="D274" s="12" t="s">
        <v>100</v>
      </c>
      <c r="E274" s="76">
        <f>552+10243</f>
        <v>10795</v>
      </c>
      <c r="F274" s="90"/>
      <c r="G274" s="90">
        <v>139</v>
      </c>
      <c r="H274" s="90">
        <f t="shared" si="24"/>
        <v>10656</v>
      </c>
      <c r="I274" s="202">
        <v>10621</v>
      </c>
      <c r="J274" s="155">
        <v>10621</v>
      </c>
      <c r="K274" s="207">
        <f t="shared" si="30"/>
        <v>100</v>
      </c>
    </row>
    <row r="275" spans="1:11" s="24" customFormat="1" ht="19.5" customHeight="1">
      <c r="A275" s="78"/>
      <c r="B275" s="77"/>
      <c r="C275" s="55">
        <v>4170</v>
      </c>
      <c r="D275" s="12" t="s">
        <v>249</v>
      </c>
      <c r="E275" s="76">
        <f>17000+8000</f>
        <v>25000</v>
      </c>
      <c r="F275" s="90">
        <v>2000</v>
      </c>
      <c r="G275" s="90"/>
      <c r="H275" s="90">
        <f t="shared" si="24"/>
        <v>27000</v>
      </c>
      <c r="I275" s="202">
        <v>28276</v>
      </c>
      <c r="J275" s="155">
        <v>28276</v>
      </c>
      <c r="K275" s="207">
        <f t="shared" si="30"/>
        <v>100</v>
      </c>
    </row>
    <row r="276" spans="1:11" s="24" customFormat="1" ht="19.5" customHeight="1">
      <c r="A276" s="78"/>
      <c r="B276" s="77"/>
      <c r="C276" s="55">
        <v>4210</v>
      </c>
      <c r="D276" s="12" t="s">
        <v>105</v>
      </c>
      <c r="E276" s="76">
        <f>5943+28000</f>
        <v>33943</v>
      </c>
      <c r="F276" s="90"/>
      <c r="G276" s="90">
        <f>2298+150</f>
        <v>2448</v>
      </c>
      <c r="H276" s="90">
        <f t="shared" si="24"/>
        <v>31495</v>
      </c>
      <c r="I276" s="202">
        <v>35554</v>
      </c>
      <c r="J276" s="155">
        <v>35554</v>
      </c>
      <c r="K276" s="207">
        <f t="shared" si="30"/>
        <v>100</v>
      </c>
    </row>
    <row r="277" spans="1:11" s="24" customFormat="1" ht="19.5" customHeight="1">
      <c r="A277" s="78"/>
      <c r="B277" s="77"/>
      <c r="C277" s="55">
        <v>4220</v>
      </c>
      <c r="D277" s="12" t="s">
        <v>215</v>
      </c>
      <c r="E277" s="76">
        <v>55000</v>
      </c>
      <c r="F277" s="90"/>
      <c r="G277" s="90"/>
      <c r="H277" s="90">
        <f t="shared" si="24"/>
        <v>55000</v>
      </c>
      <c r="I277" s="202">
        <v>67000</v>
      </c>
      <c r="J277" s="155">
        <v>67000</v>
      </c>
      <c r="K277" s="207">
        <f t="shared" si="30"/>
        <v>100</v>
      </c>
    </row>
    <row r="278" spans="1:11" s="24" customFormat="1" ht="19.5" customHeight="1">
      <c r="A278" s="78"/>
      <c r="B278" s="77"/>
      <c r="C278" s="55">
        <v>4260</v>
      </c>
      <c r="D278" s="12" t="s">
        <v>108</v>
      </c>
      <c r="E278" s="76">
        <v>10000</v>
      </c>
      <c r="F278" s="90"/>
      <c r="G278" s="90"/>
      <c r="H278" s="90">
        <f t="shared" si="24"/>
        <v>10000</v>
      </c>
      <c r="I278" s="202">
        <v>8785</v>
      </c>
      <c r="J278" s="155">
        <v>8785</v>
      </c>
      <c r="K278" s="207">
        <f t="shared" si="30"/>
        <v>100</v>
      </c>
    </row>
    <row r="279" spans="1:11" s="24" customFormat="1" ht="19.5" customHeight="1">
      <c r="A279" s="78"/>
      <c r="B279" s="77"/>
      <c r="C279" s="55">
        <v>4280</v>
      </c>
      <c r="D279" s="12" t="s">
        <v>261</v>
      </c>
      <c r="E279" s="76">
        <v>0</v>
      </c>
      <c r="F279" s="90">
        <f>690+150</f>
        <v>840</v>
      </c>
      <c r="G279" s="90"/>
      <c r="H279" s="90">
        <f t="shared" si="24"/>
        <v>840</v>
      </c>
      <c r="I279" s="202">
        <v>835</v>
      </c>
      <c r="J279" s="155">
        <v>835</v>
      </c>
      <c r="K279" s="207">
        <f t="shared" si="30"/>
        <v>100</v>
      </c>
    </row>
    <row r="280" spans="1:11" s="24" customFormat="1" ht="19.5" customHeight="1">
      <c r="A280" s="78"/>
      <c r="B280" s="77"/>
      <c r="C280" s="55">
        <v>4300</v>
      </c>
      <c r="D280" s="12" t="s">
        <v>92</v>
      </c>
      <c r="E280" s="76">
        <f>39325+111000</f>
        <v>150325</v>
      </c>
      <c r="F280" s="90">
        <v>360</v>
      </c>
      <c r="G280" s="90">
        <v>1000</v>
      </c>
      <c r="H280" s="90">
        <f t="shared" si="24"/>
        <v>149685</v>
      </c>
      <c r="I280" s="202">
        <v>142518</v>
      </c>
      <c r="J280" s="155">
        <v>142531</v>
      </c>
      <c r="K280" s="207">
        <f t="shared" si="30"/>
        <v>100.00912165480851</v>
      </c>
    </row>
    <row r="281" spans="1:11" s="24" customFormat="1" ht="19.5" customHeight="1">
      <c r="A281" s="78"/>
      <c r="B281" s="77"/>
      <c r="C281" s="55">
        <v>4350</v>
      </c>
      <c r="D281" s="12" t="s">
        <v>307</v>
      </c>
      <c r="E281" s="76"/>
      <c r="F281" s="90"/>
      <c r="G281" s="90"/>
      <c r="H281" s="90">
        <v>608</v>
      </c>
      <c r="I281" s="202">
        <v>608</v>
      </c>
      <c r="J281" s="155">
        <v>608</v>
      </c>
      <c r="K281" s="207">
        <f t="shared" si="30"/>
        <v>100</v>
      </c>
    </row>
    <row r="282" spans="1:11" s="24" customFormat="1" ht="19.5" customHeight="1">
      <c r="A282" s="78"/>
      <c r="B282" s="77"/>
      <c r="C282" s="55">
        <v>4410</v>
      </c>
      <c r="D282" s="12" t="s">
        <v>103</v>
      </c>
      <c r="E282" s="76">
        <f>500+5000</f>
        <v>5500</v>
      </c>
      <c r="F282" s="90"/>
      <c r="G282" s="90"/>
      <c r="H282" s="90">
        <f t="shared" si="24"/>
        <v>5500</v>
      </c>
      <c r="I282" s="202">
        <v>6281</v>
      </c>
      <c r="J282" s="155">
        <v>6281</v>
      </c>
      <c r="K282" s="207">
        <f t="shared" si="30"/>
        <v>100</v>
      </c>
    </row>
    <row r="283" spans="1:11" s="24" customFormat="1" ht="19.5" customHeight="1">
      <c r="A283" s="78"/>
      <c r="B283" s="77"/>
      <c r="C283" s="55">
        <v>4430</v>
      </c>
      <c r="D283" s="12" t="s">
        <v>107</v>
      </c>
      <c r="E283" s="76">
        <v>700</v>
      </c>
      <c r="F283" s="90"/>
      <c r="G283" s="90"/>
      <c r="H283" s="90">
        <f t="shared" si="24"/>
        <v>700</v>
      </c>
      <c r="I283" s="202">
        <v>819</v>
      </c>
      <c r="J283" s="155">
        <v>819</v>
      </c>
      <c r="K283" s="207">
        <f t="shared" si="30"/>
        <v>100</v>
      </c>
    </row>
    <row r="284" spans="1:11" s="24" customFormat="1" ht="24.75" customHeight="1">
      <c r="A284" s="78"/>
      <c r="B284" s="77"/>
      <c r="C284" s="55">
        <v>4440</v>
      </c>
      <c r="D284" s="12" t="s">
        <v>101</v>
      </c>
      <c r="E284" s="76">
        <f>720+11940</f>
        <v>12660</v>
      </c>
      <c r="F284" s="90"/>
      <c r="G284" s="90"/>
      <c r="H284" s="90">
        <f aca="true" t="shared" si="33" ref="H284:H360">SUM(E284+F284-G284)</f>
        <v>12660</v>
      </c>
      <c r="I284" s="202">
        <v>13828</v>
      </c>
      <c r="J284" s="155">
        <v>13828</v>
      </c>
      <c r="K284" s="207">
        <f t="shared" si="30"/>
        <v>100</v>
      </c>
    </row>
    <row r="285" spans="1:11" s="24" customFormat="1" ht="24.75" customHeight="1">
      <c r="A285" s="78"/>
      <c r="B285" s="77">
        <v>85228</v>
      </c>
      <c r="C285" s="55"/>
      <c r="D285" s="12" t="s">
        <v>138</v>
      </c>
      <c r="E285" s="76">
        <f aca="true" t="shared" si="34" ref="E285:J285">SUM(E286)</f>
        <v>140000</v>
      </c>
      <c r="F285" s="76">
        <f t="shared" si="34"/>
        <v>0</v>
      </c>
      <c r="G285" s="76">
        <f t="shared" si="34"/>
        <v>0</v>
      </c>
      <c r="H285" s="76">
        <f t="shared" si="34"/>
        <v>140000</v>
      </c>
      <c r="I285" s="202">
        <f t="shared" si="34"/>
        <v>140520</v>
      </c>
      <c r="J285" s="155">
        <f t="shared" si="34"/>
        <v>140518</v>
      </c>
      <c r="K285" s="207">
        <f t="shared" si="30"/>
        <v>99.99857671505835</v>
      </c>
    </row>
    <row r="286" spans="1:11" s="24" customFormat="1" ht="19.5" customHeight="1">
      <c r="A286" s="78"/>
      <c r="B286" s="77"/>
      <c r="C286" s="55">
        <v>4300</v>
      </c>
      <c r="D286" s="12" t="s">
        <v>92</v>
      </c>
      <c r="E286" s="76">
        <v>140000</v>
      </c>
      <c r="F286" s="90"/>
      <c r="G286" s="90"/>
      <c r="H286" s="90">
        <f t="shared" si="33"/>
        <v>140000</v>
      </c>
      <c r="I286" s="202">
        <v>140520</v>
      </c>
      <c r="J286" s="155">
        <v>140518</v>
      </c>
      <c r="K286" s="207">
        <f t="shared" si="30"/>
        <v>99.99857671505835</v>
      </c>
    </row>
    <row r="287" spans="1:11" s="24" customFormat="1" ht="19.5" customHeight="1">
      <c r="A287" s="78"/>
      <c r="B287" s="77" t="s">
        <v>186</v>
      </c>
      <c r="C287" s="55"/>
      <c r="D287" s="12" t="s">
        <v>6</v>
      </c>
      <c r="E287" s="76">
        <f>SUM(E289:E289)</f>
        <v>5520</v>
      </c>
      <c r="F287" s="76">
        <f>SUM(F289:F289)</f>
        <v>0</v>
      </c>
      <c r="G287" s="76">
        <f>SUM(G289:G289)</f>
        <v>0</v>
      </c>
      <c r="H287" s="76">
        <f>SUM(H288:H289)</f>
        <v>5520</v>
      </c>
      <c r="I287" s="202">
        <f>SUM(I288:I289)</f>
        <v>296430</v>
      </c>
      <c r="J287" s="155">
        <f>SUM(J288:J289)</f>
        <v>296430</v>
      </c>
      <c r="K287" s="207">
        <f t="shared" si="30"/>
        <v>100</v>
      </c>
    </row>
    <row r="288" spans="1:11" s="24" customFormat="1" ht="19.5" customHeight="1">
      <c r="A288" s="78"/>
      <c r="B288" s="77"/>
      <c r="C288" s="55">
        <v>3110</v>
      </c>
      <c r="D288" s="12" t="s">
        <v>128</v>
      </c>
      <c r="E288" s="76"/>
      <c r="F288" s="76"/>
      <c r="G288" s="76"/>
      <c r="H288" s="76">
        <v>0</v>
      </c>
      <c r="I288" s="202">
        <v>290910</v>
      </c>
      <c r="J288" s="155">
        <v>290910</v>
      </c>
      <c r="K288" s="207">
        <f t="shared" si="30"/>
        <v>100</v>
      </c>
    </row>
    <row r="289" spans="1:11" s="24" customFormat="1" ht="19.5" customHeight="1">
      <c r="A289" s="78"/>
      <c r="B289" s="77"/>
      <c r="C289" s="55">
        <v>4430</v>
      </c>
      <c r="D289" s="12" t="s">
        <v>107</v>
      </c>
      <c r="E289" s="76">
        <v>5520</v>
      </c>
      <c r="F289" s="90"/>
      <c r="G289" s="90"/>
      <c r="H289" s="90">
        <f t="shared" si="33"/>
        <v>5520</v>
      </c>
      <c r="I289" s="202">
        <v>5520</v>
      </c>
      <c r="J289" s="155">
        <v>5520</v>
      </c>
      <c r="K289" s="207">
        <f t="shared" si="30"/>
        <v>100</v>
      </c>
    </row>
    <row r="290" spans="1:11" s="42" customFormat="1" ht="24.75" customHeight="1">
      <c r="A290" s="33">
        <v>853</v>
      </c>
      <c r="B290" s="30"/>
      <c r="C290" s="3"/>
      <c r="D290" s="19" t="s">
        <v>296</v>
      </c>
      <c r="E290" s="66"/>
      <c r="F290" s="18"/>
      <c r="G290" s="18"/>
      <c r="H290" s="18">
        <f aca="true" t="shared" si="35" ref="H290:J291">SUM(H291)</f>
        <v>0</v>
      </c>
      <c r="I290" s="204">
        <f t="shared" si="35"/>
        <v>10000</v>
      </c>
      <c r="J290" s="32">
        <f t="shared" si="35"/>
        <v>10000</v>
      </c>
      <c r="K290" s="208">
        <f t="shared" si="30"/>
        <v>100</v>
      </c>
    </row>
    <row r="291" spans="1:11" s="24" customFormat="1" ht="19.5" customHeight="1">
      <c r="A291" s="78"/>
      <c r="B291" s="77">
        <v>85395</v>
      </c>
      <c r="C291" s="55"/>
      <c r="D291" s="12" t="s">
        <v>6</v>
      </c>
      <c r="E291" s="76"/>
      <c r="F291" s="90"/>
      <c r="G291" s="90"/>
      <c r="H291" s="90">
        <f t="shared" si="35"/>
        <v>0</v>
      </c>
      <c r="I291" s="202">
        <f t="shared" si="35"/>
        <v>10000</v>
      </c>
      <c r="J291" s="155">
        <f t="shared" si="35"/>
        <v>10000</v>
      </c>
      <c r="K291" s="207">
        <f t="shared" si="30"/>
        <v>100</v>
      </c>
    </row>
    <row r="292" spans="1:11" s="24" customFormat="1" ht="48">
      <c r="A292" s="78"/>
      <c r="B292" s="77"/>
      <c r="C292" s="55">
        <v>2710</v>
      </c>
      <c r="D292" s="12" t="s">
        <v>304</v>
      </c>
      <c r="E292" s="76"/>
      <c r="F292" s="90"/>
      <c r="G292" s="90"/>
      <c r="H292" s="90">
        <v>0</v>
      </c>
      <c r="I292" s="202">
        <v>10000</v>
      </c>
      <c r="J292" s="155">
        <v>10000</v>
      </c>
      <c r="K292" s="207">
        <f t="shared" si="30"/>
        <v>100</v>
      </c>
    </row>
    <row r="293" spans="1:11" s="6" customFormat="1" ht="29.25" customHeight="1">
      <c r="A293" s="33" t="s">
        <v>139</v>
      </c>
      <c r="B293" s="4"/>
      <c r="C293" s="3"/>
      <c r="D293" s="19" t="s">
        <v>71</v>
      </c>
      <c r="E293" s="66">
        <f>SUM(E294,E306,E311,E316,E313)</f>
        <v>1009145</v>
      </c>
      <c r="F293" s="66">
        <f>SUM(F294,F306,F311,F316,F313)</f>
        <v>22713</v>
      </c>
      <c r="G293" s="66">
        <f>SUM(G294,G306,G311,G316,G313)</f>
        <v>64441</v>
      </c>
      <c r="H293" s="66">
        <f>SUM(H294,H306,H311,H316,H313)</f>
        <v>967417</v>
      </c>
      <c r="I293" s="204">
        <f>SUM(I294,I306,I311,I313,I316,)</f>
        <v>1239798</v>
      </c>
      <c r="J293" s="32">
        <f>SUM(J294,J306,J311,J313,J316,)</f>
        <v>1223296</v>
      </c>
      <c r="K293" s="208">
        <f t="shared" si="30"/>
        <v>98.66897672040122</v>
      </c>
    </row>
    <row r="294" spans="1:11" s="24" customFormat="1" ht="19.5" customHeight="1">
      <c r="A294" s="78"/>
      <c r="B294" s="77">
        <v>85401</v>
      </c>
      <c r="C294" s="55"/>
      <c r="D294" s="12" t="s">
        <v>72</v>
      </c>
      <c r="E294" s="76">
        <f aca="true" t="shared" si="36" ref="E294:J294">SUM(E295:E305)</f>
        <v>709547</v>
      </c>
      <c r="F294" s="76">
        <f t="shared" si="36"/>
        <v>21000</v>
      </c>
      <c r="G294" s="76">
        <f t="shared" si="36"/>
        <v>63559</v>
      </c>
      <c r="H294" s="76">
        <f t="shared" si="36"/>
        <v>666988</v>
      </c>
      <c r="I294" s="202">
        <f t="shared" si="36"/>
        <v>671474</v>
      </c>
      <c r="J294" s="155">
        <f t="shared" si="36"/>
        <v>660884</v>
      </c>
      <c r="K294" s="207">
        <f t="shared" si="30"/>
        <v>98.42287266521116</v>
      </c>
    </row>
    <row r="295" spans="1:11" s="24" customFormat="1" ht="24.75" customHeight="1">
      <c r="A295" s="78"/>
      <c r="B295" s="77"/>
      <c r="C295" s="55">
        <v>3020</v>
      </c>
      <c r="D295" s="12" t="s">
        <v>240</v>
      </c>
      <c r="E295" s="76">
        <v>10582</v>
      </c>
      <c r="F295" s="90"/>
      <c r="G295" s="90">
        <v>200</v>
      </c>
      <c r="H295" s="90">
        <f t="shared" si="33"/>
        <v>10382</v>
      </c>
      <c r="I295" s="202">
        <v>9264</v>
      </c>
      <c r="J295" s="155">
        <v>9133</v>
      </c>
      <c r="K295" s="207">
        <f t="shared" si="30"/>
        <v>98.58592400690847</v>
      </c>
    </row>
    <row r="296" spans="1:11" s="24" customFormat="1" ht="24.75" customHeight="1">
      <c r="A296" s="78"/>
      <c r="B296" s="77"/>
      <c r="C296" s="55">
        <v>4010</v>
      </c>
      <c r="D296" s="12" t="s">
        <v>97</v>
      </c>
      <c r="E296" s="76">
        <v>425003</v>
      </c>
      <c r="F296" s="90"/>
      <c r="G296" s="90">
        <f>30000+1838+1269</f>
        <v>33107</v>
      </c>
      <c r="H296" s="90">
        <f t="shared" si="33"/>
        <v>391896</v>
      </c>
      <c r="I296" s="202">
        <v>407464</v>
      </c>
      <c r="J296" s="155">
        <v>403893</v>
      </c>
      <c r="K296" s="207">
        <f t="shared" si="30"/>
        <v>99.1236035576149</v>
      </c>
    </row>
    <row r="297" spans="1:11" s="24" customFormat="1" ht="19.5" customHeight="1">
      <c r="A297" s="78"/>
      <c r="B297" s="77"/>
      <c r="C297" s="55">
        <v>4040</v>
      </c>
      <c r="D297" s="12" t="s">
        <v>98</v>
      </c>
      <c r="E297" s="76">
        <v>31856</v>
      </c>
      <c r="F297" s="90"/>
      <c r="G297" s="90">
        <f>1845+1386</f>
        <v>3231</v>
      </c>
      <c r="H297" s="90">
        <f t="shared" si="33"/>
        <v>28625</v>
      </c>
      <c r="I297" s="202">
        <v>28625</v>
      </c>
      <c r="J297" s="155">
        <v>28622</v>
      </c>
      <c r="K297" s="207">
        <f t="shared" si="30"/>
        <v>99.98951965065503</v>
      </c>
    </row>
    <row r="298" spans="1:11" s="24" customFormat="1" ht="19.5" customHeight="1">
      <c r="A298" s="78"/>
      <c r="B298" s="77"/>
      <c r="C298" s="55">
        <v>4110</v>
      </c>
      <c r="D298" s="12" t="s">
        <v>99</v>
      </c>
      <c r="E298" s="76">
        <v>86156</v>
      </c>
      <c r="F298" s="90"/>
      <c r="G298" s="90">
        <f>331+2000</f>
        <v>2331</v>
      </c>
      <c r="H298" s="90">
        <f t="shared" si="33"/>
        <v>83825</v>
      </c>
      <c r="I298" s="202">
        <v>76263</v>
      </c>
      <c r="J298" s="155">
        <v>74125</v>
      </c>
      <c r="K298" s="207">
        <f t="shared" si="30"/>
        <v>97.19654354011776</v>
      </c>
    </row>
    <row r="299" spans="1:11" s="24" customFormat="1" ht="19.5" customHeight="1">
      <c r="A299" s="78"/>
      <c r="B299" s="77"/>
      <c r="C299" s="55">
        <v>4120</v>
      </c>
      <c r="D299" s="12" t="s">
        <v>100</v>
      </c>
      <c r="E299" s="76">
        <v>11739</v>
      </c>
      <c r="F299" s="90"/>
      <c r="G299" s="90">
        <v>45</v>
      </c>
      <c r="H299" s="90">
        <f t="shared" si="33"/>
        <v>11694</v>
      </c>
      <c r="I299" s="202">
        <v>10261</v>
      </c>
      <c r="J299" s="155">
        <v>9953</v>
      </c>
      <c r="K299" s="207">
        <f t="shared" si="30"/>
        <v>96.99834324139948</v>
      </c>
    </row>
    <row r="300" spans="1:11" s="24" customFormat="1" ht="19.5" customHeight="1">
      <c r="A300" s="78"/>
      <c r="B300" s="77"/>
      <c r="C300" s="55">
        <v>4170</v>
      </c>
      <c r="D300" s="12" t="s">
        <v>259</v>
      </c>
      <c r="E300" s="76">
        <v>0</v>
      </c>
      <c r="F300" s="90">
        <v>21000</v>
      </c>
      <c r="G300" s="90"/>
      <c r="H300" s="90">
        <f t="shared" si="33"/>
        <v>21000</v>
      </c>
      <c r="I300" s="202">
        <v>14500</v>
      </c>
      <c r="J300" s="155">
        <v>13863</v>
      </c>
      <c r="K300" s="207">
        <f t="shared" si="30"/>
        <v>95.60689655172413</v>
      </c>
    </row>
    <row r="301" spans="1:11" s="24" customFormat="1" ht="19.5" customHeight="1">
      <c r="A301" s="78"/>
      <c r="B301" s="77"/>
      <c r="C301" s="55">
        <v>4210</v>
      </c>
      <c r="D301" s="12" t="s">
        <v>105</v>
      </c>
      <c r="E301" s="76">
        <v>9655</v>
      </c>
      <c r="F301" s="90"/>
      <c r="G301" s="90">
        <f>445+400</f>
        <v>845</v>
      </c>
      <c r="H301" s="90">
        <f t="shared" si="33"/>
        <v>8810</v>
      </c>
      <c r="I301" s="202">
        <v>8810</v>
      </c>
      <c r="J301" s="155">
        <v>8409</v>
      </c>
      <c r="K301" s="207">
        <f t="shared" si="30"/>
        <v>95.4483541430193</v>
      </c>
    </row>
    <row r="302" spans="1:11" s="24" customFormat="1" ht="19.5" customHeight="1">
      <c r="A302" s="78"/>
      <c r="B302" s="77"/>
      <c r="C302" s="55">
        <v>4220</v>
      </c>
      <c r="D302" s="12" t="s">
        <v>215</v>
      </c>
      <c r="E302" s="76">
        <v>86200</v>
      </c>
      <c r="F302" s="90"/>
      <c r="G302" s="90">
        <v>2800</v>
      </c>
      <c r="H302" s="90">
        <f t="shared" si="33"/>
        <v>83400</v>
      </c>
      <c r="I302" s="202">
        <v>87800</v>
      </c>
      <c r="J302" s="155">
        <v>85886</v>
      </c>
      <c r="K302" s="207">
        <f t="shared" si="30"/>
        <v>97.82004555808656</v>
      </c>
    </row>
    <row r="303" spans="1:11" s="24" customFormat="1" ht="19.5" customHeight="1">
      <c r="A303" s="78"/>
      <c r="B303" s="77"/>
      <c r="C303" s="55">
        <v>4230</v>
      </c>
      <c r="D303" s="12" t="s">
        <v>129</v>
      </c>
      <c r="E303" s="76">
        <v>100</v>
      </c>
      <c r="F303" s="90"/>
      <c r="G303" s="90"/>
      <c r="H303" s="90">
        <f t="shared" si="33"/>
        <v>100</v>
      </c>
      <c r="I303" s="202">
        <v>100</v>
      </c>
      <c r="J303" s="155">
        <v>50</v>
      </c>
      <c r="K303" s="207">
        <f t="shared" si="30"/>
        <v>50</v>
      </c>
    </row>
    <row r="304" spans="1:11" s="24" customFormat="1" ht="19.5" customHeight="1">
      <c r="A304" s="78"/>
      <c r="B304" s="77"/>
      <c r="C304" s="55">
        <v>4300</v>
      </c>
      <c r="D304" s="12" t="s">
        <v>92</v>
      </c>
      <c r="E304" s="76">
        <v>22600</v>
      </c>
      <c r="F304" s="90"/>
      <c r="G304" s="90">
        <v>21000</v>
      </c>
      <c r="H304" s="90">
        <f t="shared" si="33"/>
        <v>1600</v>
      </c>
      <c r="I304" s="202">
        <v>1600</v>
      </c>
      <c r="J304" s="155">
        <v>163</v>
      </c>
      <c r="K304" s="207">
        <f t="shared" si="30"/>
        <v>10.1875</v>
      </c>
    </row>
    <row r="305" spans="1:11" s="24" customFormat="1" ht="24.75" customHeight="1">
      <c r="A305" s="78"/>
      <c r="B305" s="77"/>
      <c r="C305" s="55">
        <v>4440</v>
      </c>
      <c r="D305" s="12" t="s">
        <v>101</v>
      </c>
      <c r="E305" s="76">
        <v>25656</v>
      </c>
      <c r="F305" s="90"/>
      <c r="G305" s="90"/>
      <c r="H305" s="90">
        <f t="shared" si="33"/>
        <v>25656</v>
      </c>
      <c r="I305" s="202">
        <v>26787</v>
      </c>
      <c r="J305" s="155">
        <v>26787</v>
      </c>
      <c r="K305" s="207">
        <f t="shared" si="30"/>
        <v>100</v>
      </c>
    </row>
    <row r="306" spans="1:11" s="24" customFormat="1" ht="39.75" customHeight="1">
      <c r="A306" s="78"/>
      <c r="B306" s="77" t="s">
        <v>143</v>
      </c>
      <c r="C306" s="55"/>
      <c r="D306" s="12" t="s">
        <v>187</v>
      </c>
      <c r="E306" s="76">
        <f>SUM(E309:E310)</f>
        <v>46000</v>
      </c>
      <c r="F306" s="76">
        <f>SUM(F309:F310)</f>
        <v>0</v>
      </c>
      <c r="G306" s="76">
        <f>SUM(G309:G310)</f>
        <v>0</v>
      </c>
      <c r="H306" s="76">
        <f>SUM(H307:H310)</f>
        <v>46000</v>
      </c>
      <c r="I306" s="202">
        <f>SUM(I307:I310)</f>
        <v>92500</v>
      </c>
      <c r="J306" s="155">
        <f>SUM(J307:J310)</f>
        <v>87481</v>
      </c>
      <c r="K306" s="207">
        <f t="shared" si="30"/>
        <v>94.57405405405406</v>
      </c>
    </row>
    <row r="307" spans="1:11" s="24" customFormat="1" ht="36">
      <c r="A307" s="78"/>
      <c r="B307" s="77"/>
      <c r="C307" s="55">
        <v>2630</v>
      </c>
      <c r="D307" s="12" t="s">
        <v>274</v>
      </c>
      <c r="E307" s="76"/>
      <c r="F307" s="76"/>
      <c r="G307" s="76"/>
      <c r="H307" s="76">
        <v>0</v>
      </c>
      <c r="I307" s="202">
        <v>33929</v>
      </c>
      <c r="J307" s="155">
        <v>33062</v>
      </c>
      <c r="K307" s="207">
        <f t="shared" si="30"/>
        <v>97.4446638568776</v>
      </c>
    </row>
    <row r="308" spans="1:11" s="24" customFormat="1" ht="19.5" customHeight="1">
      <c r="A308" s="78"/>
      <c r="B308" s="77"/>
      <c r="C308" s="55">
        <v>4170</v>
      </c>
      <c r="D308" s="12" t="s">
        <v>249</v>
      </c>
      <c r="E308" s="76"/>
      <c r="F308" s="76"/>
      <c r="G308" s="76"/>
      <c r="H308" s="76">
        <v>0</v>
      </c>
      <c r="I308" s="202">
        <v>6000</v>
      </c>
      <c r="J308" s="155">
        <v>3220</v>
      </c>
      <c r="K308" s="207">
        <f t="shared" si="30"/>
        <v>53.666666666666664</v>
      </c>
    </row>
    <row r="309" spans="1:11" s="24" customFormat="1" ht="19.5" customHeight="1">
      <c r="A309" s="78"/>
      <c r="B309" s="77"/>
      <c r="C309" s="55">
        <v>4210</v>
      </c>
      <c r="D309" s="12" t="s">
        <v>105</v>
      </c>
      <c r="E309" s="76">
        <v>11000</v>
      </c>
      <c r="F309" s="90"/>
      <c r="G309" s="90"/>
      <c r="H309" s="90">
        <f t="shared" si="33"/>
        <v>11000</v>
      </c>
      <c r="I309" s="202">
        <v>5000</v>
      </c>
      <c r="J309" s="155">
        <v>4399</v>
      </c>
      <c r="K309" s="207">
        <f t="shared" si="30"/>
        <v>87.98</v>
      </c>
    </row>
    <row r="310" spans="1:11" s="24" customFormat="1" ht="19.5" customHeight="1">
      <c r="A310" s="55"/>
      <c r="B310" s="84"/>
      <c r="C310" s="55">
        <v>4300</v>
      </c>
      <c r="D310" s="12" t="s">
        <v>92</v>
      </c>
      <c r="E310" s="76">
        <f>1000+34000</f>
        <v>35000</v>
      </c>
      <c r="F310" s="90"/>
      <c r="G310" s="90"/>
      <c r="H310" s="90">
        <f t="shared" si="33"/>
        <v>35000</v>
      </c>
      <c r="I310" s="202">
        <v>47571</v>
      </c>
      <c r="J310" s="155">
        <v>46800</v>
      </c>
      <c r="K310" s="207">
        <f t="shared" si="30"/>
        <v>98.37926467806017</v>
      </c>
    </row>
    <row r="311" spans="1:11" s="24" customFormat="1" ht="19.5" customHeight="1">
      <c r="A311" s="55"/>
      <c r="B311" s="84">
        <v>85415</v>
      </c>
      <c r="C311" s="55"/>
      <c r="D311" s="12" t="s">
        <v>188</v>
      </c>
      <c r="E311" s="76">
        <f aca="true" t="shared" si="37" ref="E311:J311">SUM(E312)</f>
        <v>22870</v>
      </c>
      <c r="F311" s="76">
        <f t="shared" si="37"/>
        <v>0</v>
      </c>
      <c r="G311" s="76">
        <f t="shared" si="37"/>
        <v>0</v>
      </c>
      <c r="H311" s="76">
        <f t="shared" si="37"/>
        <v>22870</v>
      </c>
      <c r="I311" s="202">
        <f t="shared" si="37"/>
        <v>244265</v>
      </c>
      <c r="J311" s="155">
        <f t="shared" si="37"/>
        <v>244245</v>
      </c>
      <c r="K311" s="207">
        <f t="shared" si="30"/>
        <v>99.9918121712075</v>
      </c>
    </row>
    <row r="312" spans="1:11" s="24" customFormat="1" ht="19.5" customHeight="1">
      <c r="A312" s="55"/>
      <c r="B312" s="84"/>
      <c r="C312" s="55">
        <v>3240</v>
      </c>
      <c r="D312" s="12" t="s">
        <v>241</v>
      </c>
      <c r="E312" s="76">
        <v>22870</v>
      </c>
      <c r="F312" s="90"/>
      <c r="G312" s="90"/>
      <c r="H312" s="90">
        <f t="shared" si="33"/>
        <v>22870</v>
      </c>
      <c r="I312" s="202">
        <v>244265</v>
      </c>
      <c r="J312" s="155">
        <v>244245</v>
      </c>
      <c r="K312" s="207">
        <f t="shared" si="30"/>
        <v>99.9918121712075</v>
      </c>
    </row>
    <row r="313" spans="1:11" s="24" customFormat="1" ht="19.5" customHeight="1">
      <c r="A313" s="55"/>
      <c r="B313" s="84">
        <v>85446</v>
      </c>
      <c r="C313" s="55"/>
      <c r="D313" s="12" t="s">
        <v>173</v>
      </c>
      <c r="E313" s="76">
        <f aca="true" t="shared" si="38" ref="E313:J313">SUM(E314:E315)</f>
        <v>3338</v>
      </c>
      <c r="F313" s="76">
        <f t="shared" si="38"/>
        <v>882</v>
      </c>
      <c r="G313" s="76">
        <f t="shared" si="38"/>
        <v>882</v>
      </c>
      <c r="H313" s="76">
        <f t="shared" si="38"/>
        <v>3338</v>
      </c>
      <c r="I313" s="202">
        <f t="shared" si="38"/>
        <v>3338</v>
      </c>
      <c r="J313" s="155">
        <f t="shared" si="38"/>
        <v>2465</v>
      </c>
      <c r="K313" s="207">
        <f t="shared" si="30"/>
        <v>73.8466147393649</v>
      </c>
    </row>
    <row r="314" spans="1:11" s="24" customFormat="1" ht="19.5" customHeight="1">
      <c r="A314" s="55"/>
      <c r="B314" s="84"/>
      <c r="C314" s="55">
        <v>4300</v>
      </c>
      <c r="D314" s="12" t="s">
        <v>92</v>
      </c>
      <c r="E314" s="76">
        <v>3338</v>
      </c>
      <c r="F314" s="90"/>
      <c r="G314" s="90">
        <v>882</v>
      </c>
      <c r="H314" s="90">
        <f t="shared" si="33"/>
        <v>2456</v>
      </c>
      <c r="I314" s="202">
        <v>2456</v>
      </c>
      <c r="J314" s="155">
        <v>1933</v>
      </c>
      <c r="K314" s="207">
        <f t="shared" si="30"/>
        <v>78.70521172638436</v>
      </c>
    </row>
    <row r="315" spans="1:11" s="24" customFormat="1" ht="19.5" customHeight="1">
      <c r="A315" s="55"/>
      <c r="B315" s="84"/>
      <c r="C315" s="55">
        <v>4410</v>
      </c>
      <c r="D315" s="12" t="s">
        <v>103</v>
      </c>
      <c r="E315" s="76">
        <v>0</v>
      </c>
      <c r="F315" s="90">
        <v>882</v>
      </c>
      <c r="G315" s="90"/>
      <c r="H315" s="90">
        <f t="shared" si="33"/>
        <v>882</v>
      </c>
      <c r="I315" s="202">
        <v>882</v>
      </c>
      <c r="J315" s="155">
        <v>532</v>
      </c>
      <c r="K315" s="207">
        <f t="shared" si="30"/>
        <v>60.317460317460316</v>
      </c>
    </row>
    <row r="316" spans="1:11" s="24" customFormat="1" ht="19.5" customHeight="1">
      <c r="A316" s="55"/>
      <c r="B316" s="84">
        <v>85495</v>
      </c>
      <c r="C316" s="55"/>
      <c r="D316" s="12" t="s">
        <v>6</v>
      </c>
      <c r="E316" s="76">
        <f aca="true" t="shared" si="39" ref="E316:J316">SUM(E317:E318)</f>
        <v>227390</v>
      </c>
      <c r="F316" s="76">
        <f t="shared" si="39"/>
        <v>831</v>
      </c>
      <c r="G316" s="76">
        <f t="shared" si="39"/>
        <v>0</v>
      </c>
      <c r="H316" s="76">
        <f t="shared" si="39"/>
        <v>228221</v>
      </c>
      <c r="I316" s="202">
        <f t="shared" si="39"/>
        <v>228221</v>
      </c>
      <c r="J316" s="155">
        <f t="shared" si="39"/>
        <v>228221</v>
      </c>
      <c r="K316" s="207">
        <f t="shared" si="30"/>
        <v>100</v>
      </c>
    </row>
    <row r="317" spans="1:11" s="24" customFormat="1" ht="48">
      <c r="A317" s="55"/>
      <c r="B317" s="84"/>
      <c r="C317" s="55">
        <v>2320</v>
      </c>
      <c r="D317" s="12" t="s">
        <v>176</v>
      </c>
      <c r="E317" s="76">
        <v>200000</v>
      </c>
      <c r="F317" s="90"/>
      <c r="G317" s="90"/>
      <c r="H317" s="90">
        <f t="shared" si="33"/>
        <v>200000</v>
      </c>
      <c r="I317" s="202">
        <v>200000</v>
      </c>
      <c r="J317" s="155">
        <v>200000</v>
      </c>
      <c r="K317" s="207">
        <f t="shared" si="30"/>
        <v>100</v>
      </c>
    </row>
    <row r="318" spans="1:11" s="24" customFormat="1" ht="48">
      <c r="A318" s="55"/>
      <c r="B318" s="84"/>
      <c r="C318" s="78">
        <v>2320</v>
      </c>
      <c r="D318" s="12" t="s">
        <v>179</v>
      </c>
      <c r="E318" s="76">
        <v>27390</v>
      </c>
      <c r="F318" s="90">
        <v>831</v>
      </c>
      <c r="G318" s="90"/>
      <c r="H318" s="90">
        <f t="shared" si="33"/>
        <v>28221</v>
      </c>
      <c r="I318" s="202">
        <v>28221</v>
      </c>
      <c r="J318" s="155">
        <v>28221</v>
      </c>
      <c r="K318" s="207">
        <f t="shared" si="30"/>
        <v>100</v>
      </c>
    </row>
    <row r="319" spans="1:11" s="5" customFormat="1" ht="24.75" customHeight="1">
      <c r="A319" s="33" t="s">
        <v>145</v>
      </c>
      <c r="B319" s="4"/>
      <c r="C319" s="3"/>
      <c r="D319" s="19" t="s">
        <v>73</v>
      </c>
      <c r="E319" s="153">
        <f aca="true" t="shared" si="40" ref="E319:J319">SUM(E320,E326,E329,E333,E335,E337,E343,)</f>
        <v>1457645</v>
      </c>
      <c r="F319" s="153">
        <f t="shared" si="40"/>
        <v>18407102</v>
      </c>
      <c r="G319" s="153">
        <f t="shared" si="40"/>
        <v>0</v>
      </c>
      <c r="H319" s="66">
        <f t="shared" si="40"/>
        <v>19864747</v>
      </c>
      <c r="I319" s="204">
        <f t="shared" si="40"/>
        <v>15243622</v>
      </c>
      <c r="J319" s="32">
        <f t="shared" si="40"/>
        <v>15119551</v>
      </c>
      <c r="K319" s="208">
        <f t="shared" si="30"/>
        <v>99.18607926646304</v>
      </c>
    </row>
    <row r="320" spans="1:11" s="24" customFormat="1" ht="19.5" customHeight="1">
      <c r="A320" s="78"/>
      <c r="B320" s="77" t="s">
        <v>146</v>
      </c>
      <c r="C320" s="55"/>
      <c r="D320" s="12" t="s">
        <v>74</v>
      </c>
      <c r="E320" s="76">
        <f aca="true" t="shared" si="41" ref="E320:J320">SUM(E321:E325)</f>
        <v>40000</v>
      </c>
      <c r="F320" s="76">
        <f t="shared" si="41"/>
        <v>18394702</v>
      </c>
      <c r="G320" s="76">
        <f t="shared" si="41"/>
        <v>0</v>
      </c>
      <c r="H320" s="76">
        <f t="shared" si="41"/>
        <v>18434702</v>
      </c>
      <c r="I320" s="202">
        <f t="shared" si="41"/>
        <v>13762744</v>
      </c>
      <c r="J320" s="155">
        <f t="shared" si="41"/>
        <v>13655403</v>
      </c>
      <c r="K320" s="207">
        <f t="shared" si="30"/>
        <v>99.22006105759142</v>
      </c>
    </row>
    <row r="321" spans="1:11" s="24" customFormat="1" ht="19.5" customHeight="1">
      <c r="A321" s="78"/>
      <c r="B321" s="77"/>
      <c r="C321" s="78">
        <v>4300</v>
      </c>
      <c r="D321" s="12" t="s">
        <v>92</v>
      </c>
      <c r="E321" s="76">
        <v>40000</v>
      </c>
      <c r="F321" s="90">
        <v>50000</v>
      </c>
      <c r="G321" s="90"/>
      <c r="H321" s="90">
        <f t="shared" si="33"/>
        <v>90000</v>
      </c>
      <c r="I321" s="202">
        <v>90000</v>
      </c>
      <c r="J321" s="155">
        <v>59965</v>
      </c>
      <c r="K321" s="207">
        <f t="shared" si="30"/>
        <v>66.62777777777778</v>
      </c>
    </row>
    <row r="322" spans="1:11" s="24" customFormat="1" ht="35.25" customHeight="1">
      <c r="A322" s="78"/>
      <c r="B322" s="77"/>
      <c r="C322" s="78">
        <v>6010</v>
      </c>
      <c r="D322" s="12" t="s">
        <v>358</v>
      </c>
      <c r="E322" s="76"/>
      <c r="F322" s="90"/>
      <c r="G322" s="90"/>
      <c r="H322" s="90">
        <v>0</v>
      </c>
      <c r="I322" s="202">
        <v>667</v>
      </c>
      <c r="J322" s="155">
        <v>667</v>
      </c>
      <c r="K322" s="207">
        <f t="shared" si="30"/>
        <v>100</v>
      </c>
    </row>
    <row r="323" spans="1:11" s="24" customFormat="1" ht="24.75" customHeight="1">
      <c r="A323" s="78"/>
      <c r="B323" s="77"/>
      <c r="C323" s="78">
        <v>6050</v>
      </c>
      <c r="D323" s="12" t="s">
        <v>86</v>
      </c>
      <c r="E323" s="76"/>
      <c r="F323" s="90"/>
      <c r="G323" s="90"/>
      <c r="H323" s="90">
        <v>0</v>
      </c>
      <c r="I323" s="202">
        <v>70000</v>
      </c>
      <c r="J323" s="155">
        <v>69097</v>
      </c>
      <c r="K323" s="207">
        <f t="shared" si="30"/>
        <v>98.71</v>
      </c>
    </row>
    <row r="324" spans="1:11" s="24" customFormat="1" ht="24.75" customHeight="1">
      <c r="A324" s="78"/>
      <c r="B324" s="77"/>
      <c r="C324" s="78">
        <v>6059</v>
      </c>
      <c r="D324" s="12" t="s">
        <v>86</v>
      </c>
      <c r="E324" s="76">
        <v>0</v>
      </c>
      <c r="F324" s="90">
        <v>1200014</v>
      </c>
      <c r="G324" s="90"/>
      <c r="H324" s="90">
        <f t="shared" si="33"/>
        <v>1200014</v>
      </c>
      <c r="I324" s="202">
        <v>3771939</v>
      </c>
      <c r="J324" s="155">
        <v>3695537</v>
      </c>
      <c r="K324" s="207">
        <f t="shared" si="30"/>
        <v>97.97446353188639</v>
      </c>
    </row>
    <row r="325" spans="1:11" s="24" customFormat="1" ht="24.75" customHeight="1">
      <c r="A325" s="78"/>
      <c r="B325" s="77"/>
      <c r="C325" s="78">
        <v>6058</v>
      </c>
      <c r="D325" s="12" t="s">
        <v>86</v>
      </c>
      <c r="E325" s="76">
        <v>0</v>
      </c>
      <c r="F325" s="90">
        <f>13344688+3800000</f>
        <v>17144688</v>
      </c>
      <c r="G325" s="90"/>
      <c r="H325" s="90">
        <f t="shared" si="33"/>
        <v>17144688</v>
      </c>
      <c r="I325" s="202">
        <v>9830138</v>
      </c>
      <c r="J325" s="155">
        <v>9830137</v>
      </c>
      <c r="K325" s="207">
        <f t="shared" si="30"/>
        <v>99.99998982720282</v>
      </c>
    </row>
    <row r="326" spans="1:11" s="24" customFormat="1" ht="19.5" customHeight="1">
      <c r="A326" s="78"/>
      <c r="B326" s="77" t="s">
        <v>147</v>
      </c>
      <c r="C326" s="55"/>
      <c r="D326" s="12" t="s">
        <v>148</v>
      </c>
      <c r="E326" s="76">
        <f aca="true" t="shared" si="42" ref="E326:J326">SUM(E327:E328)</f>
        <v>602673</v>
      </c>
      <c r="F326" s="76">
        <f t="shared" si="42"/>
        <v>0</v>
      </c>
      <c r="G326" s="76">
        <f t="shared" si="42"/>
        <v>0</v>
      </c>
      <c r="H326" s="76">
        <f t="shared" si="42"/>
        <v>602673</v>
      </c>
      <c r="I326" s="202">
        <f t="shared" si="42"/>
        <v>598745</v>
      </c>
      <c r="J326" s="155">
        <f t="shared" si="42"/>
        <v>598580</v>
      </c>
      <c r="K326" s="207">
        <f t="shared" si="30"/>
        <v>99.97244235860006</v>
      </c>
    </row>
    <row r="327" spans="1:11" s="24" customFormat="1" ht="19.5" customHeight="1">
      <c r="A327" s="78"/>
      <c r="B327" s="77"/>
      <c r="C327" s="55">
        <v>4210</v>
      </c>
      <c r="D327" s="12" t="s">
        <v>105</v>
      </c>
      <c r="E327" s="76">
        <v>750</v>
      </c>
      <c r="F327" s="90"/>
      <c r="G327" s="90"/>
      <c r="H327" s="90">
        <f t="shared" si="33"/>
        <v>750</v>
      </c>
      <c r="I327" s="202">
        <v>950</v>
      </c>
      <c r="J327" s="155">
        <v>937</v>
      </c>
      <c r="K327" s="207">
        <f aca="true" t="shared" si="43" ref="K327:K371">J327/I327*100</f>
        <v>98.63157894736842</v>
      </c>
    </row>
    <row r="328" spans="1:11" s="24" customFormat="1" ht="19.5" customHeight="1">
      <c r="A328" s="78"/>
      <c r="B328" s="77"/>
      <c r="C328" s="55">
        <v>4300</v>
      </c>
      <c r="D328" s="177" t="s">
        <v>92</v>
      </c>
      <c r="E328" s="76">
        <f>10750+591173+54438-54438</f>
        <v>601923</v>
      </c>
      <c r="F328" s="90"/>
      <c r="G328" s="90"/>
      <c r="H328" s="90">
        <f t="shared" si="33"/>
        <v>601923</v>
      </c>
      <c r="I328" s="202">
        <v>597795</v>
      </c>
      <c r="J328" s="155">
        <v>597643</v>
      </c>
      <c r="K328" s="207">
        <f t="shared" si="43"/>
        <v>99.97457322326215</v>
      </c>
    </row>
    <row r="329" spans="1:11" s="24" customFormat="1" ht="24" customHeight="1">
      <c r="A329" s="78"/>
      <c r="B329" s="77" t="s">
        <v>149</v>
      </c>
      <c r="C329" s="55"/>
      <c r="D329" s="12" t="s">
        <v>178</v>
      </c>
      <c r="E329" s="76">
        <f aca="true" t="shared" si="44" ref="E329:J329">SUM(E330:E332)</f>
        <v>137126</v>
      </c>
      <c r="F329" s="76">
        <f t="shared" si="44"/>
        <v>0</v>
      </c>
      <c r="G329" s="76">
        <f t="shared" si="44"/>
        <v>0</v>
      </c>
      <c r="H329" s="76">
        <f t="shared" si="44"/>
        <v>137126</v>
      </c>
      <c r="I329" s="202">
        <f t="shared" si="44"/>
        <v>140124</v>
      </c>
      <c r="J329" s="155">
        <f t="shared" si="44"/>
        <v>136015</v>
      </c>
      <c r="K329" s="207">
        <f t="shared" si="43"/>
        <v>97.06759727098854</v>
      </c>
    </row>
    <row r="330" spans="1:11" s="24" customFormat="1" ht="19.5" customHeight="1">
      <c r="A330" s="78"/>
      <c r="B330" s="77"/>
      <c r="C330" s="78">
        <v>4210</v>
      </c>
      <c r="D330" s="12" t="s">
        <v>105</v>
      </c>
      <c r="E330" s="76">
        <f>26496+16000-2000-7000</f>
        <v>33496</v>
      </c>
      <c r="F330" s="90"/>
      <c r="G330" s="90"/>
      <c r="H330" s="90">
        <f t="shared" si="33"/>
        <v>33496</v>
      </c>
      <c r="I330" s="202">
        <v>29594</v>
      </c>
      <c r="J330" s="155">
        <v>29418</v>
      </c>
      <c r="K330" s="207">
        <f t="shared" si="43"/>
        <v>99.40528485503818</v>
      </c>
    </row>
    <row r="331" spans="1:11" s="24" customFormat="1" ht="19.5" customHeight="1">
      <c r="A331" s="78"/>
      <c r="B331" s="77"/>
      <c r="C331" s="78">
        <v>4270</v>
      </c>
      <c r="D331" s="12" t="s">
        <v>91</v>
      </c>
      <c r="E331" s="76">
        <v>3000</v>
      </c>
      <c r="F331" s="90"/>
      <c r="G331" s="90"/>
      <c r="H331" s="90">
        <f t="shared" si="33"/>
        <v>3000</v>
      </c>
      <c r="I331" s="202">
        <v>3000</v>
      </c>
      <c r="J331" s="155">
        <v>2300</v>
      </c>
      <c r="K331" s="207">
        <f t="shared" si="43"/>
        <v>76.66666666666667</v>
      </c>
    </row>
    <row r="332" spans="1:11" s="24" customFormat="1" ht="19.5" customHeight="1">
      <c r="A332" s="78"/>
      <c r="B332" s="77"/>
      <c r="C332" s="78">
        <v>4300</v>
      </c>
      <c r="D332" s="12" t="s">
        <v>92</v>
      </c>
      <c r="E332" s="76">
        <f>5100+118530-3000+4143-20000-4143</f>
        <v>100630</v>
      </c>
      <c r="F332" s="90"/>
      <c r="G332" s="90"/>
      <c r="H332" s="90">
        <f t="shared" si="33"/>
        <v>100630</v>
      </c>
      <c r="I332" s="202">
        <v>107530</v>
      </c>
      <c r="J332" s="155">
        <v>104297</v>
      </c>
      <c r="K332" s="207">
        <f t="shared" si="43"/>
        <v>96.99339719148145</v>
      </c>
    </row>
    <row r="333" spans="1:11" s="24" customFormat="1" ht="24" customHeight="1">
      <c r="A333" s="78"/>
      <c r="B333" s="77" t="s">
        <v>150</v>
      </c>
      <c r="C333" s="55"/>
      <c r="D333" s="12" t="s">
        <v>151</v>
      </c>
      <c r="E333" s="76">
        <f>SUM(E334:E334)</f>
        <v>7000</v>
      </c>
      <c r="F333" s="76">
        <f>SUM(F334:F334)</f>
        <v>0</v>
      </c>
      <c r="G333" s="76">
        <f>SUM(G334:G334)</f>
        <v>0</v>
      </c>
      <c r="H333" s="76">
        <f>SUM(H334:H334)</f>
        <v>7000</v>
      </c>
      <c r="I333" s="202">
        <f>SUM(I334)</f>
        <v>4420</v>
      </c>
      <c r="J333" s="155">
        <f>SUM(J334)</f>
        <v>4411</v>
      </c>
      <c r="K333" s="207">
        <f t="shared" si="43"/>
        <v>99.79638009049773</v>
      </c>
    </row>
    <row r="334" spans="1:11" s="24" customFormat="1" ht="27" customHeight="1">
      <c r="A334" s="78"/>
      <c r="B334" s="77"/>
      <c r="C334" s="55">
        <v>4520</v>
      </c>
      <c r="D334" s="12" t="s">
        <v>152</v>
      </c>
      <c r="E334" s="76">
        <v>7000</v>
      </c>
      <c r="F334" s="90"/>
      <c r="G334" s="90"/>
      <c r="H334" s="90">
        <f t="shared" si="33"/>
        <v>7000</v>
      </c>
      <c r="I334" s="202">
        <v>4420</v>
      </c>
      <c r="J334" s="155">
        <v>4411</v>
      </c>
      <c r="K334" s="207">
        <f t="shared" si="43"/>
        <v>99.79638009049773</v>
      </c>
    </row>
    <row r="335" spans="1:11" s="24" customFormat="1" ht="19.5" customHeight="1">
      <c r="A335" s="78"/>
      <c r="B335" s="77" t="s">
        <v>153</v>
      </c>
      <c r="C335" s="55"/>
      <c r="D335" s="12" t="s">
        <v>154</v>
      </c>
      <c r="E335" s="76">
        <f aca="true" t="shared" si="45" ref="E335:J335">SUM(E336)</f>
        <v>71000</v>
      </c>
      <c r="F335" s="76">
        <f t="shared" si="45"/>
        <v>0</v>
      </c>
      <c r="G335" s="76">
        <f t="shared" si="45"/>
        <v>0</v>
      </c>
      <c r="H335" s="76">
        <f t="shared" si="45"/>
        <v>71000</v>
      </c>
      <c r="I335" s="202">
        <f t="shared" si="45"/>
        <v>71000</v>
      </c>
      <c r="J335" s="155">
        <f t="shared" si="45"/>
        <v>67683</v>
      </c>
      <c r="K335" s="207">
        <f t="shared" si="43"/>
        <v>95.32816901408451</v>
      </c>
    </row>
    <row r="336" spans="1:11" s="24" customFormat="1" ht="19.5" customHeight="1">
      <c r="A336" s="78"/>
      <c r="B336" s="77"/>
      <c r="C336" s="55">
        <v>4300</v>
      </c>
      <c r="D336" s="177" t="s">
        <v>92</v>
      </c>
      <c r="E336" s="76">
        <f>71000</f>
        <v>71000</v>
      </c>
      <c r="F336" s="90"/>
      <c r="G336" s="90"/>
      <c r="H336" s="90">
        <f t="shared" si="33"/>
        <v>71000</v>
      </c>
      <c r="I336" s="202">
        <v>71000</v>
      </c>
      <c r="J336" s="155">
        <v>67683</v>
      </c>
      <c r="K336" s="207">
        <f t="shared" si="43"/>
        <v>95.32816901408451</v>
      </c>
    </row>
    <row r="337" spans="1:11" s="24" customFormat="1" ht="19.5" customHeight="1">
      <c r="A337" s="78"/>
      <c r="B337" s="77" t="s">
        <v>155</v>
      </c>
      <c r="C337" s="55"/>
      <c r="D337" s="12" t="s">
        <v>156</v>
      </c>
      <c r="E337" s="76">
        <f aca="true" t="shared" si="46" ref="E337:J337">SUM(E338:E342)</f>
        <v>555846</v>
      </c>
      <c r="F337" s="76">
        <f t="shared" si="46"/>
        <v>12400</v>
      </c>
      <c r="G337" s="76">
        <f t="shared" si="46"/>
        <v>0</v>
      </c>
      <c r="H337" s="76">
        <f t="shared" si="46"/>
        <v>568246</v>
      </c>
      <c r="I337" s="202">
        <f t="shared" si="46"/>
        <v>616865</v>
      </c>
      <c r="J337" s="155">
        <f t="shared" si="46"/>
        <v>611329</v>
      </c>
      <c r="K337" s="207">
        <f t="shared" si="43"/>
        <v>99.10255890673</v>
      </c>
    </row>
    <row r="338" spans="1:11" s="24" customFormat="1" ht="19.5" customHeight="1">
      <c r="A338" s="78"/>
      <c r="B338" s="77"/>
      <c r="C338" s="55">
        <v>4210</v>
      </c>
      <c r="D338" s="12" t="s">
        <v>105</v>
      </c>
      <c r="E338" s="76">
        <v>20000</v>
      </c>
      <c r="F338" s="90"/>
      <c r="G338" s="90"/>
      <c r="H338" s="90">
        <f t="shared" si="33"/>
        <v>20000</v>
      </c>
      <c r="I338" s="202">
        <v>5000</v>
      </c>
      <c r="J338" s="155">
        <v>5000</v>
      </c>
      <c r="K338" s="207">
        <f t="shared" si="43"/>
        <v>100</v>
      </c>
    </row>
    <row r="339" spans="1:11" s="24" customFormat="1" ht="19.5" customHeight="1">
      <c r="A339" s="78"/>
      <c r="B339" s="84"/>
      <c r="C339" s="78">
        <v>4260</v>
      </c>
      <c r="D339" s="12" t="s">
        <v>108</v>
      </c>
      <c r="E339" s="76">
        <v>400000</v>
      </c>
      <c r="F339" s="90"/>
      <c r="G339" s="90"/>
      <c r="H339" s="90">
        <f t="shared" si="33"/>
        <v>400000</v>
      </c>
      <c r="I339" s="202">
        <v>450000</v>
      </c>
      <c r="J339" s="155">
        <v>445054</v>
      </c>
      <c r="K339" s="207">
        <f t="shared" si="43"/>
        <v>98.9008888888889</v>
      </c>
    </row>
    <row r="340" spans="1:11" s="24" customFormat="1" ht="19.5" customHeight="1">
      <c r="A340" s="78"/>
      <c r="B340" s="84"/>
      <c r="C340" s="78">
        <v>4270</v>
      </c>
      <c r="D340" s="12" t="s">
        <v>91</v>
      </c>
      <c r="E340" s="76">
        <v>120000</v>
      </c>
      <c r="F340" s="90"/>
      <c r="G340" s="90"/>
      <c r="H340" s="90">
        <f t="shared" si="33"/>
        <v>120000</v>
      </c>
      <c r="I340" s="202">
        <v>115000</v>
      </c>
      <c r="J340" s="155">
        <v>114580</v>
      </c>
      <c r="K340" s="207">
        <f t="shared" si="43"/>
        <v>99.63478260869564</v>
      </c>
    </row>
    <row r="341" spans="1:11" s="24" customFormat="1" ht="19.5" customHeight="1">
      <c r="A341" s="78"/>
      <c r="B341" s="84"/>
      <c r="C341" s="55">
        <v>4300</v>
      </c>
      <c r="D341" s="177" t="s">
        <v>92</v>
      </c>
      <c r="E341" s="76"/>
      <c r="F341" s="90"/>
      <c r="G341" s="90"/>
      <c r="H341" s="90">
        <v>0</v>
      </c>
      <c r="I341" s="202">
        <v>15000</v>
      </c>
      <c r="J341" s="155">
        <v>14853</v>
      </c>
      <c r="K341" s="207">
        <f t="shared" si="43"/>
        <v>99.02</v>
      </c>
    </row>
    <row r="342" spans="1:11" s="24" customFormat="1" ht="24.75" customHeight="1">
      <c r="A342" s="78"/>
      <c r="B342" s="84"/>
      <c r="C342" s="78">
        <v>6050</v>
      </c>
      <c r="D342" s="12" t="s">
        <v>86</v>
      </c>
      <c r="E342" s="76">
        <v>15846</v>
      </c>
      <c r="F342" s="90">
        <v>12400</v>
      </c>
      <c r="G342" s="90"/>
      <c r="H342" s="90">
        <f t="shared" si="33"/>
        <v>28246</v>
      </c>
      <c r="I342" s="202">
        <v>31865</v>
      </c>
      <c r="J342" s="155">
        <v>31842</v>
      </c>
      <c r="K342" s="207">
        <f t="shared" si="43"/>
        <v>99.92782049270359</v>
      </c>
    </row>
    <row r="343" spans="1:11" s="24" customFormat="1" ht="19.5" customHeight="1">
      <c r="A343" s="78"/>
      <c r="B343" s="77" t="s">
        <v>157</v>
      </c>
      <c r="C343" s="55"/>
      <c r="D343" s="12" t="s">
        <v>6</v>
      </c>
      <c r="E343" s="76">
        <f aca="true" t="shared" si="47" ref="E343:J343">SUM(E344:E347)</f>
        <v>44000</v>
      </c>
      <c r="F343" s="76">
        <f t="shared" si="47"/>
        <v>0</v>
      </c>
      <c r="G343" s="76">
        <f t="shared" si="47"/>
        <v>0</v>
      </c>
      <c r="H343" s="76">
        <f t="shared" si="47"/>
        <v>44000</v>
      </c>
      <c r="I343" s="202">
        <f t="shared" si="47"/>
        <v>49724</v>
      </c>
      <c r="J343" s="155">
        <f t="shared" si="47"/>
        <v>46130</v>
      </c>
      <c r="K343" s="207">
        <f t="shared" si="43"/>
        <v>92.77210200305687</v>
      </c>
    </row>
    <row r="344" spans="1:11" s="24" customFormat="1" ht="19.5" customHeight="1">
      <c r="A344" s="78"/>
      <c r="B344" s="84"/>
      <c r="C344" s="55">
        <v>4210</v>
      </c>
      <c r="D344" s="12" t="s">
        <v>105</v>
      </c>
      <c r="E344" s="76">
        <f>2100+1000+6000+5000-5000-6000</f>
        <v>3100</v>
      </c>
      <c r="F344" s="90"/>
      <c r="G344" s="90"/>
      <c r="H344" s="90">
        <f t="shared" si="33"/>
        <v>3100</v>
      </c>
      <c r="I344" s="202">
        <v>8524</v>
      </c>
      <c r="J344" s="155">
        <v>7426</v>
      </c>
      <c r="K344" s="207">
        <f t="shared" si="43"/>
        <v>87.11872360394182</v>
      </c>
    </row>
    <row r="345" spans="1:11" s="24" customFormat="1" ht="19.5" customHeight="1">
      <c r="A345" s="78"/>
      <c r="B345" s="84"/>
      <c r="C345" s="78">
        <v>4260</v>
      </c>
      <c r="D345" s="12" t="s">
        <v>108</v>
      </c>
      <c r="E345" s="76">
        <f>1000+2000</f>
        <v>3000</v>
      </c>
      <c r="F345" s="90"/>
      <c r="G345" s="90"/>
      <c r="H345" s="90">
        <f t="shared" si="33"/>
        <v>3000</v>
      </c>
      <c r="I345" s="202">
        <v>4000</v>
      </c>
      <c r="J345" s="155">
        <v>3883</v>
      </c>
      <c r="K345" s="207">
        <f t="shared" si="43"/>
        <v>97.075</v>
      </c>
    </row>
    <row r="346" spans="1:11" s="24" customFormat="1" ht="19.5" customHeight="1">
      <c r="A346" s="78"/>
      <c r="B346" s="84"/>
      <c r="C346" s="78">
        <v>4270</v>
      </c>
      <c r="D346" s="12" t="s">
        <v>91</v>
      </c>
      <c r="E346" s="76">
        <f>5000</f>
        <v>5000</v>
      </c>
      <c r="F346" s="90"/>
      <c r="G346" s="90"/>
      <c r="H346" s="90">
        <f t="shared" si="33"/>
        <v>5000</v>
      </c>
      <c r="I346" s="202">
        <v>4000</v>
      </c>
      <c r="J346" s="155">
        <v>1699</v>
      </c>
      <c r="K346" s="207">
        <f t="shared" si="43"/>
        <v>42.475</v>
      </c>
    </row>
    <row r="347" spans="1:11" s="24" customFormat="1" ht="19.5" customHeight="1">
      <c r="A347" s="78"/>
      <c r="B347" s="84"/>
      <c r="C347" s="55">
        <v>4300</v>
      </c>
      <c r="D347" s="177" t="s">
        <v>92</v>
      </c>
      <c r="E347" s="76">
        <f>2400+20000+30500-20000</f>
        <v>32900</v>
      </c>
      <c r="F347" s="90"/>
      <c r="G347" s="90"/>
      <c r="H347" s="90">
        <f t="shared" si="33"/>
        <v>32900</v>
      </c>
      <c r="I347" s="202">
        <v>33200</v>
      </c>
      <c r="J347" s="155">
        <v>33122</v>
      </c>
      <c r="K347" s="207">
        <f t="shared" si="43"/>
        <v>99.76506024096385</v>
      </c>
    </row>
    <row r="348" spans="1:11" s="5" customFormat="1" ht="24.75" customHeight="1">
      <c r="A348" s="33" t="s">
        <v>76</v>
      </c>
      <c r="B348" s="4"/>
      <c r="C348" s="3"/>
      <c r="D348" s="19" t="s">
        <v>158</v>
      </c>
      <c r="E348" s="66">
        <f aca="true" t="shared" si="48" ref="E348:J348">SUM(E349,E357,E359,)</f>
        <v>1590503</v>
      </c>
      <c r="F348" s="66">
        <f t="shared" si="48"/>
        <v>45000</v>
      </c>
      <c r="G348" s="66">
        <f t="shared" si="48"/>
        <v>0</v>
      </c>
      <c r="H348" s="66">
        <f t="shared" si="48"/>
        <v>1635503</v>
      </c>
      <c r="I348" s="204">
        <f t="shared" si="48"/>
        <v>1641809</v>
      </c>
      <c r="J348" s="32">
        <f t="shared" si="48"/>
        <v>1631801</v>
      </c>
      <c r="K348" s="208">
        <f t="shared" si="43"/>
        <v>99.39042848467757</v>
      </c>
    </row>
    <row r="349" spans="1:11" s="24" customFormat="1" ht="19.5" customHeight="1">
      <c r="A349" s="78"/>
      <c r="B349" s="77" t="s">
        <v>159</v>
      </c>
      <c r="C349" s="55"/>
      <c r="D349" s="12" t="s">
        <v>177</v>
      </c>
      <c r="E349" s="76">
        <f>SUM(E350:E355)</f>
        <v>446273</v>
      </c>
      <c r="F349" s="76">
        <f>SUM(F350:F355)</f>
        <v>0</v>
      </c>
      <c r="G349" s="76">
        <f>SUM(G350:G355)</f>
        <v>0</v>
      </c>
      <c r="H349" s="76">
        <f>SUM(H350:H356)</f>
        <v>446273</v>
      </c>
      <c r="I349" s="202">
        <f>SUM(I350:I356)</f>
        <v>438619</v>
      </c>
      <c r="J349" s="155">
        <f>SUM(J350:J356)</f>
        <v>428611</v>
      </c>
      <c r="K349" s="207">
        <f t="shared" si="43"/>
        <v>97.71829309719826</v>
      </c>
    </row>
    <row r="350" spans="1:11" s="24" customFormat="1" ht="24.75" customHeight="1">
      <c r="A350" s="78"/>
      <c r="B350" s="77"/>
      <c r="C350" s="55">
        <v>2480</v>
      </c>
      <c r="D350" s="12" t="s">
        <v>239</v>
      </c>
      <c r="E350" s="76">
        <v>382200</v>
      </c>
      <c r="F350" s="90"/>
      <c r="G350" s="90"/>
      <c r="H350" s="90">
        <f t="shared" si="33"/>
        <v>382200</v>
      </c>
      <c r="I350" s="202">
        <v>385700</v>
      </c>
      <c r="J350" s="155">
        <v>385700</v>
      </c>
      <c r="K350" s="207">
        <f t="shared" si="43"/>
        <v>100</v>
      </c>
    </row>
    <row r="351" spans="1:11" s="24" customFormat="1" ht="19.5" customHeight="1">
      <c r="A351" s="78"/>
      <c r="B351" s="77"/>
      <c r="C351" s="78">
        <v>4210</v>
      </c>
      <c r="D351" s="12" t="s">
        <v>105</v>
      </c>
      <c r="E351" s="76">
        <v>31358</v>
      </c>
      <c r="F351" s="90"/>
      <c r="G351" s="90"/>
      <c r="H351" s="90">
        <f t="shared" si="33"/>
        <v>31358</v>
      </c>
      <c r="I351" s="202">
        <v>25868</v>
      </c>
      <c r="J351" s="155">
        <v>20671</v>
      </c>
      <c r="K351" s="207">
        <f t="shared" si="43"/>
        <v>79.9095407453224</v>
      </c>
    </row>
    <row r="352" spans="1:11" s="24" customFormat="1" ht="19.5" customHeight="1">
      <c r="A352" s="78"/>
      <c r="B352" s="77"/>
      <c r="C352" s="78">
        <v>4260</v>
      </c>
      <c r="D352" s="12" t="s">
        <v>108</v>
      </c>
      <c r="E352" s="76">
        <v>10300</v>
      </c>
      <c r="F352" s="90"/>
      <c r="G352" s="90"/>
      <c r="H352" s="90">
        <f t="shared" si="33"/>
        <v>10300</v>
      </c>
      <c r="I352" s="202">
        <v>11161</v>
      </c>
      <c r="J352" s="155">
        <v>7735</v>
      </c>
      <c r="K352" s="207">
        <f t="shared" si="43"/>
        <v>69.30382582205895</v>
      </c>
    </row>
    <row r="353" spans="1:11" s="24" customFormat="1" ht="19.5" customHeight="1">
      <c r="A353" s="78"/>
      <c r="B353" s="77"/>
      <c r="C353" s="78">
        <v>4270</v>
      </c>
      <c r="D353" s="12" t="s">
        <v>91</v>
      </c>
      <c r="E353" s="76"/>
      <c r="F353" s="90"/>
      <c r="G353" s="90"/>
      <c r="H353" s="90">
        <v>0</v>
      </c>
      <c r="I353" s="202">
        <v>8474</v>
      </c>
      <c r="J353" s="155">
        <v>8471</v>
      </c>
      <c r="K353" s="207">
        <f t="shared" si="43"/>
        <v>99.9645975926363</v>
      </c>
    </row>
    <row r="354" spans="1:11" s="24" customFormat="1" ht="19.5" customHeight="1">
      <c r="A354" s="78"/>
      <c r="B354" s="77"/>
      <c r="C354" s="55">
        <v>4300</v>
      </c>
      <c r="D354" s="177" t="s">
        <v>92</v>
      </c>
      <c r="E354" s="76">
        <v>21360</v>
      </c>
      <c r="F354" s="90"/>
      <c r="G354" s="90"/>
      <c r="H354" s="90">
        <f t="shared" si="33"/>
        <v>21360</v>
      </c>
      <c r="I354" s="202">
        <v>1734</v>
      </c>
      <c r="J354" s="155">
        <v>668</v>
      </c>
      <c r="K354" s="207">
        <f t="shared" si="43"/>
        <v>38.523644752018456</v>
      </c>
    </row>
    <row r="355" spans="1:11" s="24" customFormat="1" ht="19.5" customHeight="1">
      <c r="A355" s="78"/>
      <c r="B355" s="77"/>
      <c r="C355" s="55">
        <v>4430</v>
      </c>
      <c r="D355" s="177" t="s">
        <v>107</v>
      </c>
      <c r="E355" s="76">
        <v>1055</v>
      </c>
      <c r="F355" s="90"/>
      <c r="G355" s="90"/>
      <c r="H355" s="90">
        <f t="shared" si="33"/>
        <v>1055</v>
      </c>
      <c r="I355" s="202">
        <v>682</v>
      </c>
      <c r="J355" s="155">
        <v>366</v>
      </c>
      <c r="K355" s="207">
        <f t="shared" si="43"/>
        <v>53.665689149560116</v>
      </c>
    </row>
    <row r="356" spans="1:11" s="24" customFormat="1" ht="24" customHeight="1">
      <c r="A356" s="78"/>
      <c r="B356" s="77"/>
      <c r="C356" s="55">
        <v>6060</v>
      </c>
      <c r="D356" s="12" t="s">
        <v>109</v>
      </c>
      <c r="E356" s="76"/>
      <c r="F356" s="90"/>
      <c r="G356" s="90"/>
      <c r="H356" s="90">
        <v>0</v>
      </c>
      <c r="I356" s="202">
        <v>5000</v>
      </c>
      <c r="J356" s="155">
        <v>5000</v>
      </c>
      <c r="K356" s="207">
        <f t="shared" si="43"/>
        <v>100</v>
      </c>
    </row>
    <row r="357" spans="1:11" s="24" customFormat="1" ht="19.5" customHeight="1">
      <c r="A357" s="78"/>
      <c r="B357" s="77" t="s">
        <v>77</v>
      </c>
      <c r="C357" s="55"/>
      <c r="D357" s="12" t="s">
        <v>78</v>
      </c>
      <c r="E357" s="76">
        <f aca="true" t="shared" si="49" ref="E357:J357">SUM(E358)</f>
        <v>798500</v>
      </c>
      <c r="F357" s="76">
        <f t="shared" si="49"/>
        <v>45000</v>
      </c>
      <c r="G357" s="76">
        <f t="shared" si="49"/>
        <v>0</v>
      </c>
      <c r="H357" s="76">
        <f t="shared" si="49"/>
        <v>843500</v>
      </c>
      <c r="I357" s="202">
        <f t="shared" si="49"/>
        <v>855460</v>
      </c>
      <c r="J357" s="155">
        <f t="shared" si="49"/>
        <v>855460</v>
      </c>
      <c r="K357" s="207">
        <f t="shared" si="43"/>
        <v>100</v>
      </c>
    </row>
    <row r="358" spans="1:11" s="24" customFormat="1" ht="24.75" customHeight="1">
      <c r="A358" s="78"/>
      <c r="B358" s="77"/>
      <c r="C358" s="55">
        <v>2480</v>
      </c>
      <c r="D358" s="12" t="s">
        <v>239</v>
      </c>
      <c r="E358" s="76">
        <f>798500</f>
        <v>798500</v>
      </c>
      <c r="F358" s="90">
        <v>45000</v>
      </c>
      <c r="G358" s="90"/>
      <c r="H358" s="90">
        <f t="shared" si="33"/>
        <v>843500</v>
      </c>
      <c r="I358" s="202">
        <v>855460</v>
      </c>
      <c r="J358" s="155">
        <v>855460</v>
      </c>
      <c r="K358" s="207">
        <f t="shared" si="43"/>
        <v>100</v>
      </c>
    </row>
    <row r="359" spans="1:11" s="24" customFormat="1" ht="19.5" customHeight="1">
      <c r="A359" s="78"/>
      <c r="B359" s="77" t="s">
        <v>160</v>
      </c>
      <c r="C359" s="55"/>
      <c r="D359" s="12" t="s">
        <v>161</v>
      </c>
      <c r="E359" s="76">
        <f aca="true" t="shared" si="50" ref="E359:J359">SUM(E360)</f>
        <v>345730</v>
      </c>
      <c r="F359" s="76">
        <f t="shared" si="50"/>
        <v>0</v>
      </c>
      <c r="G359" s="76">
        <f t="shared" si="50"/>
        <v>0</v>
      </c>
      <c r="H359" s="76">
        <f t="shared" si="50"/>
        <v>345730</v>
      </c>
      <c r="I359" s="202">
        <f t="shared" si="50"/>
        <v>347730</v>
      </c>
      <c r="J359" s="155">
        <f t="shared" si="50"/>
        <v>347730</v>
      </c>
      <c r="K359" s="207">
        <f t="shared" si="43"/>
        <v>100</v>
      </c>
    </row>
    <row r="360" spans="1:11" s="24" customFormat="1" ht="24.75" customHeight="1">
      <c r="A360" s="78"/>
      <c r="B360" s="77"/>
      <c r="C360" s="55">
        <v>2480</v>
      </c>
      <c r="D360" s="12" t="s">
        <v>239</v>
      </c>
      <c r="E360" s="76">
        <f>343230+2500</f>
        <v>345730</v>
      </c>
      <c r="F360" s="90"/>
      <c r="G360" s="90"/>
      <c r="H360" s="90">
        <f t="shared" si="33"/>
        <v>345730</v>
      </c>
      <c r="I360" s="202">
        <v>347730</v>
      </c>
      <c r="J360" s="155">
        <v>347730</v>
      </c>
      <c r="K360" s="207">
        <f t="shared" si="43"/>
        <v>100</v>
      </c>
    </row>
    <row r="361" spans="1:11" s="5" customFormat="1" ht="19.5" customHeight="1">
      <c r="A361" s="33" t="s">
        <v>162</v>
      </c>
      <c r="B361" s="4"/>
      <c r="C361" s="3"/>
      <c r="D361" s="19" t="s">
        <v>79</v>
      </c>
      <c r="E361" s="66">
        <f>SUM(E364,E362)</f>
        <v>122640</v>
      </c>
      <c r="F361" s="66">
        <f>SUM(F364,F362)</f>
        <v>109000</v>
      </c>
      <c r="G361" s="66">
        <f>SUM(G364,G362)</f>
        <v>0</v>
      </c>
      <c r="H361" s="66">
        <f>SUM(H364,H362)</f>
        <v>231640</v>
      </c>
      <c r="I361" s="204">
        <f>SUM(I362,I364,)</f>
        <v>279616</v>
      </c>
      <c r="J361" s="32">
        <f>SUM(J362,J364,)</f>
        <v>260924</v>
      </c>
      <c r="K361" s="208">
        <f t="shared" si="43"/>
        <v>93.31511787594415</v>
      </c>
    </row>
    <row r="362" spans="1:11" s="24" customFormat="1" ht="19.5" customHeight="1">
      <c r="A362" s="78"/>
      <c r="B362" s="84">
        <v>92604</v>
      </c>
      <c r="C362" s="55"/>
      <c r="D362" s="12" t="s">
        <v>258</v>
      </c>
      <c r="E362" s="76">
        <f aca="true" t="shared" si="51" ref="E362:J362">SUM(E363)</f>
        <v>0</v>
      </c>
      <c r="F362" s="76">
        <f t="shared" si="51"/>
        <v>85000</v>
      </c>
      <c r="G362" s="76">
        <f t="shared" si="51"/>
        <v>0</v>
      </c>
      <c r="H362" s="76">
        <f t="shared" si="51"/>
        <v>85000</v>
      </c>
      <c r="I362" s="202">
        <f t="shared" si="51"/>
        <v>73615</v>
      </c>
      <c r="J362" s="155">
        <f t="shared" si="51"/>
        <v>72310</v>
      </c>
      <c r="K362" s="207">
        <f t="shared" si="43"/>
        <v>98.22726346532636</v>
      </c>
    </row>
    <row r="363" spans="1:11" s="24" customFormat="1" ht="19.5" customHeight="1">
      <c r="A363" s="78"/>
      <c r="B363" s="84"/>
      <c r="C363" s="55">
        <v>4300</v>
      </c>
      <c r="D363" s="177" t="s">
        <v>92</v>
      </c>
      <c r="E363" s="76">
        <v>0</v>
      </c>
      <c r="F363" s="76">
        <v>85000</v>
      </c>
      <c r="G363" s="76"/>
      <c r="H363" s="76">
        <f>SUM(E363+F363-G363)</f>
        <v>85000</v>
      </c>
      <c r="I363" s="202">
        <v>73615</v>
      </c>
      <c r="J363" s="155">
        <v>72310</v>
      </c>
      <c r="K363" s="207">
        <f t="shared" si="43"/>
        <v>98.22726346532636</v>
      </c>
    </row>
    <row r="364" spans="1:11" s="24" customFormat="1" ht="24">
      <c r="A364" s="55"/>
      <c r="B364" s="178">
        <v>92605</v>
      </c>
      <c r="C364" s="55"/>
      <c r="D364" s="12" t="s">
        <v>80</v>
      </c>
      <c r="E364" s="76">
        <f>SUM(E367:E370)</f>
        <v>122640</v>
      </c>
      <c r="F364" s="76">
        <f>SUM(F367:F370)</f>
        <v>24000</v>
      </c>
      <c r="G364" s="76">
        <f>SUM(G367:G370)</f>
        <v>0</v>
      </c>
      <c r="H364" s="76">
        <f>SUM(H365:H370)</f>
        <v>146640</v>
      </c>
      <c r="I364" s="202">
        <f>SUM(I365:I370)</f>
        <v>206001</v>
      </c>
      <c r="J364" s="155">
        <f>SUM(J365:J370)</f>
        <v>188614</v>
      </c>
      <c r="K364" s="207">
        <f t="shared" si="43"/>
        <v>91.55974970995287</v>
      </c>
    </row>
    <row r="365" spans="1:11" s="24" customFormat="1" ht="36">
      <c r="A365" s="55"/>
      <c r="B365" s="178"/>
      <c r="C365" s="55">
        <v>2630</v>
      </c>
      <c r="D365" s="12" t="s">
        <v>274</v>
      </c>
      <c r="E365" s="76"/>
      <c r="F365" s="76"/>
      <c r="G365" s="76"/>
      <c r="H365" s="76">
        <v>0</v>
      </c>
      <c r="I365" s="202">
        <v>125500</v>
      </c>
      <c r="J365" s="155">
        <v>125472</v>
      </c>
      <c r="K365" s="207">
        <f t="shared" si="43"/>
        <v>99.9776892430279</v>
      </c>
    </row>
    <row r="366" spans="1:11" s="24" customFormat="1" ht="48">
      <c r="A366" s="55"/>
      <c r="B366" s="178"/>
      <c r="C366" s="55">
        <v>2710</v>
      </c>
      <c r="D366" s="12" t="s">
        <v>304</v>
      </c>
      <c r="E366" s="76"/>
      <c r="F366" s="76"/>
      <c r="G366" s="76"/>
      <c r="H366" s="76">
        <v>0</v>
      </c>
      <c r="I366" s="202">
        <v>1000</v>
      </c>
      <c r="J366" s="155">
        <v>1000</v>
      </c>
      <c r="K366" s="207">
        <f t="shared" si="43"/>
        <v>100</v>
      </c>
    </row>
    <row r="367" spans="1:11" s="24" customFormat="1" ht="19.5" customHeight="1">
      <c r="A367" s="55"/>
      <c r="B367" s="178"/>
      <c r="C367" s="55">
        <v>4170</v>
      </c>
      <c r="D367" s="12" t="s">
        <v>253</v>
      </c>
      <c r="E367" s="76">
        <v>4500</v>
      </c>
      <c r="F367" s="90"/>
      <c r="G367" s="90"/>
      <c r="H367" s="90">
        <f>SUM(E367+F367-G367)</f>
        <v>4500</v>
      </c>
      <c r="I367" s="202">
        <v>25865</v>
      </c>
      <c r="J367" s="155">
        <v>22831</v>
      </c>
      <c r="K367" s="207">
        <f t="shared" si="43"/>
        <v>88.26986274888846</v>
      </c>
    </row>
    <row r="368" spans="1:11" s="24" customFormat="1" ht="19.5" customHeight="1">
      <c r="A368" s="55"/>
      <c r="B368" s="77"/>
      <c r="C368" s="78">
        <v>4210</v>
      </c>
      <c r="D368" s="12" t="s">
        <v>105</v>
      </c>
      <c r="E368" s="76">
        <f>11440+500</f>
        <v>11940</v>
      </c>
      <c r="F368" s="90"/>
      <c r="G368" s="90"/>
      <c r="H368" s="90">
        <f>SUM(E368+F368-G368)</f>
        <v>11940</v>
      </c>
      <c r="I368" s="202">
        <v>19136</v>
      </c>
      <c r="J368" s="155">
        <v>15201</v>
      </c>
      <c r="K368" s="207">
        <f t="shared" si="43"/>
        <v>79.43666387959865</v>
      </c>
    </row>
    <row r="369" spans="1:11" s="24" customFormat="1" ht="19.5" customHeight="1">
      <c r="A369" s="55"/>
      <c r="B369" s="77"/>
      <c r="C369" s="78">
        <v>4260</v>
      </c>
      <c r="D369" s="12" t="s">
        <v>108</v>
      </c>
      <c r="E369" s="76">
        <v>700</v>
      </c>
      <c r="F369" s="90"/>
      <c r="G369" s="90"/>
      <c r="H369" s="90">
        <f>SUM(E369+F369-G369)</f>
        <v>700</v>
      </c>
      <c r="I369" s="202">
        <v>280</v>
      </c>
      <c r="J369" s="155">
        <v>233</v>
      </c>
      <c r="K369" s="207">
        <f t="shared" si="43"/>
        <v>83.21428571428572</v>
      </c>
    </row>
    <row r="370" spans="1:11" s="24" customFormat="1" ht="19.5" customHeight="1">
      <c r="A370" s="55"/>
      <c r="B370" s="77"/>
      <c r="C370" s="55">
        <v>4300</v>
      </c>
      <c r="D370" s="177" t="s">
        <v>92</v>
      </c>
      <c r="E370" s="76">
        <f>1500+4000+100000</f>
        <v>105500</v>
      </c>
      <c r="F370" s="90">
        <v>24000</v>
      </c>
      <c r="G370" s="90"/>
      <c r="H370" s="90">
        <f>SUM(E370+F370-G370)</f>
        <v>129500</v>
      </c>
      <c r="I370" s="202">
        <v>34220</v>
      </c>
      <c r="J370" s="155">
        <v>23877</v>
      </c>
      <c r="K370" s="207">
        <f t="shared" si="43"/>
        <v>69.7749853886616</v>
      </c>
    </row>
    <row r="371" spans="1:11" s="6" customFormat="1" ht="21" customHeight="1">
      <c r="A371" s="8"/>
      <c r="B371" s="8"/>
      <c r="C371" s="8"/>
      <c r="D371" s="3" t="s">
        <v>81</v>
      </c>
      <c r="E371" s="153" t="e">
        <f>SUM(E361,E348,E319,E293,E246,E233,E153,E150,E146,E138,E109,E89,E48,E40,E23,E12,E9,)</f>
        <v>#REF!</v>
      </c>
      <c r="F371" s="153" t="e">
        <f>SUM(F361,F348,F319,F293,F246,F233,F153,F150,F146,F138,F109,F89,F48,F40,F23,F12,F9,)</f>
        <v>#REF!</v>
      </c>
      <c r="G371" s="153" t="e">
        <f>SUM(G361,G348,G319,G293,G246,G233,G153,G150,G146,G138,G109,G89,G48,G40,G23,G12,G9,)</f>
        <v>#REF!</v>
      </c>
      <c r="H371" s="66">
        <f>SUM(H361,H348,H319,H293,H290,H246,H233,H153,H150,H146,H138,H109,H89,H48,H40,H23,H12,H9,)</f>
        <v>56248386</v>
      </c>
      <c r="I371" s="204">
        <f>SUM(I361,I348,I319,I293,I290,I246,I233,I153,I150,I146,I138,I109,I89,I48,I40,I23,I12,I7:I9,)</f>
        <v>52169709</v>
      </c>
      <c r="J371" s="204">
        <f>SUM(J361,J348,J319,J293,J290,J246,J233,J153,J150,J146,J138,J109,J89,J48,J40,J23,J12,J7:J9,)</f>
        <v>50829020</v>
      </c>
      <c r="K371" s="208">
        <f t="shared" si="43"/>
        <v>97.43013901035944</v>
      </c>
    </row>
    <row r="372" spans="1:7" ht="12.75">
      <c r="A372" s="64"/>
      <c r="B372" s="64"/>
      <c r="C372" s="64"/>
      <c r="E372" s="60"/>
      <c r="F372" s="124"/>
      <c r="G372" s="125"/>
    </row>
    <row r="373" spans="1:7" ht="12.75">
      <c r="A373" s="64"/>
      <c r="B373" s="64"/>
      <c r="C373" s="64"/>
      <c r="E373" s="60"/>
      <c r="F373" s="124"/>
      <c r="G373" s="125"/>
    </row>
    <row r="374" spans="1:7" ht="12.75">
      <c r="A374" s="64"/>
      <c r="B374" s="64"/>
      <c r="C374" s="64"/>
      <c r="E374" s="60"/>
      <c r="F374" s="124"/>
      <c r="G374" s="125"/>
    </row>
    <row r="375" spans="1:7" ht="12.75">
      <c r="A375" s="64"/>
      <c r="B375" s="64"/>
      <c r="C375" s="64"/>
      <c r="E375" s="60"/>
      <c r="F375" s="124"/>
      <c r="G375" s="125"/>
    </row>
    <row r="376" spans="1:7" ht="12.75">
      <c r="A376" s="64"/>
      <c r="B376" s="64"/>
      <c r="C376" s="64"/>
      <c r="E376" s="60"/>
      <c r="F376" s="124"/>
      <c r="G376" s="125"/>
    </row>
    <row r="377" spans="1:7" ht="12.75">
      <c r="A377" s="64"/>
      <c r="B377" s="64"/>
      <c r="C377" s="64"/>
      <c r="E377" s="60"/>
      <c r="F377" s="124"/>
      <c r="G377" s="125"/>
    </row>
    <row r="378" spans="1:7" ht="12.75">
      <c r="A378" s="64"/>
      <c r="B378" s="64"/>
      <c r="C378" s="64"/>
      <c r="E378" s="60"/>
      <c r="F378" s="124"/>
      <c r="G378" s="125"/>
    </row>
    <row r="379" spans="1:7" ht="12.75">
      <c r="A379" s="64"/>
      <c r="B379" s="64"/>
      <c r="C379" s="64"/>
      <c r="E379" s="60"/>
      <c r="F379" s="124"/>
      <c r="G379" s="125"/>
    </row>
    <row r="380" spans="1:7" ht="12.75">
      <c r="A380" s="64"/>
      <c r="B380" s="64"/>
      <c r="C380" s="64"/>
      <c r="E380" s="60"/>
      <c r="F380" s="124"/>
      <c r="G380" s="125"/>
    </row>
    <row r="381" spans="1:7" ht="12.75">
      <c r="A381" s="64"/>
      <c r="B381" s="64"/>
      <c r="C381" s="64"/>
      <c r="E381" s="60"/>
      <c r="F381" s="124"/>
      <c r="G381" s="125"/>
    </row>
    <row r="382" spans="1:7" ht="12.75">
      <c r="A382" s="64"/>
      <c r="B382" s="64"/>
      <c r="C382" s="64"/>
      <c r="E382" s="60"/>
      <c r="F382" s="124"/>
      <c r="G382" s="125"/>
    </row>
    <row r="383" spans="1:7" ht="12.75">
      <c r="A383" s="64"/>
      <c r="B383" s="64"/>
      <c r="C383" s="64"/>
      <c r="E383" s="60"/>
      <c r="F383" s="124"/>
      <c r="G383" s="125"/>
    </row>
    <row r="384" spans="1:7" ht="12.75">
      <c r="A384" s="64"/>
      <c r="B384" s="64"/>
      <c r="C384" s="64"/>
      <c r="E384" s="60"/>
      <c r="F384" s="124"/>
      <c r="G384" s="125"/>
    </row>
    <row r="385" spans="1:7" ht="12.75">
      <c r="A385" s="64"/>
      <c r="B385" s="64"/>
      <c r="C385" s="64"/>
      <c r="E385" s="60"/>
      <c r="F385" s="124"/>
      <c r="G385" s="125"/>
    </row>
    <row r="386" spans="1:7" ht="12.75">
      <c r="A386" s="64"/>
      <c r="B386" s="64"/>
      <c r="C386" s="64"/>
      <c r="E386" s="60"/>
      <c r="F386" s="124"/>
      <c r="G386" s="125"/>
    </row>
    <row r="387" spans="1:7" ht="12.75">
      <c r="A387" s="64"/>
      <c r="B387" s="64"/>
      <c r="C387" s="64"/>
      <c r="E387" s="60"/>
      <c r="F387" s="124"/>
      <c r="G387" s="125"/>
    </row>
    <row r="388" spans="1:7" ht="12.75">
      <c r="A388" s="64"/>
      <c r="B388" s="64"/>
      <c r="C388" s="64"/>
      <c r="E388" s="60"/>
      <c r="F388" s="124"/>
      <c r="G388" s="125"/>
    </row>
    <row r="389" spans="1:7" ht="12.75">
      <c r="A389" s="64"/>
      <c r="B389" s="64"/>
      <c r="C389" s="64"/>
      <c r="E389" s="60"/>
      <c r="F389" s="124"/>
      <c r="G389" s="125"/>
    </row>
    <row r="390" spans="1:7" ht="12.75">
      <c r="A390" s="64"/>
      <c r="B390" s="64"/>
      <c r="C390" s="64"/>
      <c r="E390" s="60"/>
      <c r="F390" s="124"/>
      <c r="G390" s="125"/>
    </row>
    <row r="391" spans="5:6" ht="12.75">
      <c r="E391" s="60"/>
      <c r="F391" s="124"/>
    </row>
    <row r="392" spans="5:6" ht="12.75">
      <c r="E392" s="60"/>
      <c r="F392" s="124"/>
    </row>
    <row r="393" spans="5:6" ht="12.75">
      <c r="E393" s="60"/>
      <c r="F393" s="124"/>
    </row>
    <row r="394" spans="1:11" s="21" customFormat="1" ht="12.75">
      <c r="A394" s="23"/>
      <c r="B394" s="23"/>
      <c r="C394" s="23"/>
      <c r="D394" s="23"/>
      <c r="E394" s="22"/>
      <c r="F394" s="115"/>
      <c r="G394" s="125" t="e">
        <f>SUM(F371-G371)</f>
        <v>#REF!</v>
      </c>
      <c r="H394" s="120"/>
      <c r="I394" s="181"/>
      <c r="J394" s="181"/>
      <c r="K394" s="200"/>
    </row>
    <row r="395" spans="1:11" s="21" customFormat="1" ht="12.75">
      <c r="A395" s="23"/>
      <c r="B395" s="23"/>
      <c r="C395" s="23"/>
      <c r="D395" s="23"/>
      <c r="E395" s="22"/>
      <c r="F395" s="115"/>
      <c r="G395" s="116"/>
      <c r="H395" s="120"/>
      <c r="I395" s="181"/>
      <c r="J395" s="181"/>
      <c r="K395" s="200"/>
    </row>
    <row r="396" spans="1:11" s="21" customFormat="1" ht="12.75">
      <c r="A396" s="23"/>
      <c r="B396" s="23"/>
      <c r="C396" s="23"/>
      <c r="D396" s="23"/>
      <c r="E396" s="22"/>
      <c r="F396" s="115"/>
      <c r="G396" s="116"/>
      <c r="H396" s="120"/>
      <c r="I396" s="181"/>
      <c r="J396" s="181"/>
      <c r="K396" s="200"/>
    </row>
    <row r="397" spans="1:11" s="21" customFormat="1" ht="12.75">
      <c r="A397" s="23"/>
      <c r="B397" s="23"/>
      <c r="C397" s="23"/>
      <c r="D397" s="23"/>
      <c r="E397" s="22"/>
      <c r="F397" s="115"/>
      <c r="G397" s="116"/>
      <c r="H397" s="120"/>
      <c r="I397" s="181"/>
      <c r="J397" s="181"/>
      <c r="K397" s="200"/>
    </row>
    <row r="398" spans="1:11" s="21" customFormat="1" ht="12.75">
      <c r="A398" s="23"/>
      <c r="B398" s="23"/>
      <c r="C398" s="23"/>
      <c r="D398" s="23"/>
      <c r="E398" s="22"/>
      <c r="F398" s="115"/>
      <c r="G398" s="116"/>
      <c r="H398" s="120"/>
      <c r="I398" s="181"/>
      <c r="J398" s="181"/>
      <c r="K398" s="200"/>
    </row>
    <row r="399" spans="1:11" s="21" customFormat="1" ht="12.75">
      <c r="A399" s="23"/>
      <c r="B399" s="23"/>
      <c r="C399" s="23"/>
      <c r="D399" s="23"/>
      <c r="E399" s="22"/>
      <c r="F399" s="115"/>
      <c r="G399" s="116"/>
      <c r="H399" s="120"/>
      <c r="I399" s="181"/>
      <c r="J399" s="181"/>
      <c r="K399" s="200"/>
    </row>
    <row r="400" spans="1:11" s="21" customFormat="1" ht="12.75">
      <c r="A400" s="23"/>
      <c r="B400" s="23"/>
      <c r="C400" s="23"/>
      <c r="D400" s="23"/>
      <c r="E400" s="22"/>
      <c r="F400" s="115"/>
      <c r="G400" s="116"/>
      <c r="H400" s="120"/>
      <c r="I400" s="181"/>
      <c r="J400" s="181"/>
      <c r="K400" s="200"/>
    </row>
    <row r="401" spans="1:11" s="21" customFormat="1" ht="12.75">
      <c r="A401" s="23"/>
      <c r="B401" s="23"/>
      <c r="C401" s="23"/>
      <c r="D401" s="23"/>
      <c r="E401" s="22"/>
      <c r="F401" s="115"/>
      <c r="G401" s="116"/>
      <c r="H401" s="120"/>
      <c r="I401" s="181"/>
      <c r="J401" s="181"/>
      <c r="K401" s="200"/>
    </row>
    <row r="402" spans="1:11" s="21" customFormat="1" ht="12.75">
      <c r="A402" s="23"/>
      <c r="B402" s="23"/>
      <c r="C402" s="23"/>
      <c r="D402" s="23"/>
      <c r="E402" s="22"/>
      <c r="F402" s="115"/>
      <c r="G402" s="116"/>
      <c r="H402" s="120"/>
      <c r="I402" s="181"/>
      <c r="J402" s="181"/>
      <c r="K402" s="200"/>
    </row>
    <row r="403" spans="1:11" s="21" customFormat="1" ht="12.75">
      <c r="A403" s="23"/>
      <c r="B403" s="23"/>
      <c r="C403" s="23"/>
      <c r="D403" s="23"/>
      <c r="E403" s="22"/>
      <c r="F403" s="115"/>
      <c r="G403" s="116"/>
      <c r="H403" s="120"/>
      <c r="I403" s="181"/>
      <c r="J403" s="181"/>
      <c r="K403" s="200"/>
    </row>
    <row r="404" spans="1:11" s="21" customFormat="1" ht="12.75">
      <c r="A404" s="23"/>
      <c r="B404" s="23"/>
      <c r="C404" s="23"/>
      <c r="D404" s="23"/>
      <c r="E404" s="22"/>
      <c r="F404" s="115"/>
      <c r="G404" s="116"/>
      <c r="H404" s="120"/>
      <c r="I404" s="181"/>
      <c r="J404" s="181"/>
      <c r="K404" s="200"/>
    </row>
    <row r="405" spans="1:11" s="21" customFormat="1" ht="12.75">
      <c r="A405" s="23"/>
      <c r="B405" s="23"/>
      <c r="C405" s="23"/>
      <c r="D405" s="23"/>
      <c r="E405" s="22"/>
      <c r="F405" s="115"/>
      <c r="G405" s="116"/>
      <c r="H405" s="120"/>
      <c r="I405" s="181"/>
      <c r="J405" s="181"/>
      <c r="K405" s="200"/>
    </row>
    <row r="406" spans="1:11" s="21" customFormat="1" ht="12.75">
      <c r="A406" s="23"/>
      <c r="B406" s="23"/>
      <c r="C406" s="23"/>
      <c r="D406" s="23"/>
      <c r="E406" s="22"/>
      <c r="F406" s="115"/>
      <c r="G406" s="116"/>
      <c r="H406" s="120"/>
      <c r="I406" s="181"/>
      <c r="J406" s="181"/>
      <c r="K406" s="200"/>
    </row>
    <row r="407" spans="1:11" s="21" customFormat="1" ht="12.75">
      <c r="A407" s="23"/>
      <c r="B407" s="23"/>
      <c r="C407" s="23"/>
      <c r="D407" s="23"/>
      <c r="E407" s="22"/>
      <c r="F407" s="115"/>
      <c r="G407" s="116"/>
      <c r="H407" s="120"/>
      <c r="I407" s="181"/>
      <c r="J407" s="181"/>
      <c r="K407" s="200"/>
    </row>
    <row r="408" spans="1:11" s="21" customFormat="1" ht="12.75">
      <c r="A408" s="23"/>
      <c r="B408" s="23"/>
      <c r="C408" s="23"/>
      <c r="D408" s="23"/>
      <c r="E408" s="22"/>
      <c r="F408" s="115"/>
      <c r="G408" s="116"/>
      <c r="H408" s="120"/>
      <c r="I408" s="181"/>
      <c r="J408" s="181"/>
      <c r="K408" s="200"/>
    </row>
    <row r="409" spans="1:11" s="21" customFormat="1" ht="12.75">
      <c r="A409" s="23"/>
      <c r="B409" s="23"/>
      <c r="C409" s="23"/>
      <c r="D409" s="23"/>
      <c r="E409" s="22"/>
      <c r="F409" s="115"/>
      <c r="G409" s="116"/>
      <c r="H409" s="120"/>
      <c r="I409" s="181"/>
      <c r="J409" s="181"/>
      <c r="K409" s="200"/>
    </row>
    <row r="410" spans="1:11" s="21" customFormat="1" ht="12.75">
      <c r="A410" s="23"/>
      <c r="B410" s="23"/>
      <c r="C410" s="23"/>
      <c r="D410" s="23"/>
      <c r="E410" s="22"/>
      <c r="F410" s="115"/>
      <c r="G410" s="116"/>
      <c r="H410" s="120"/>
      <c r="I410" s="181"/>
      <c r="J410" s="181"/>
      <c r="K410" s="200"/>
    </row>
    <row r="411" spans="1:11" s="21" customFormat="1" ht="12.75">
      <c r="A411" s="23"/>
      <c r="B411" s="23"/>
      <c r="C411" s="23"/>
      <c r="D411" s="23"/>
      <c r="E411" s="22"/>
      <c r="F411" s="115"/>
      <c r="G411" s="116"/>
      <c r="H411" s="120"/>
      <c r="I411" s="181"/>
      <c r="J411" s="181"/>
      <c r="K411" s="200"/>
    </row>
    <row r="412" spans="1:11" s="21" customFormat="1" ht="12.75">
      <c r="A412" s="23"/>
      <c r="B412" s="23"/>
      <c r="C412" s="23"/>
      <c r="D412" s="23"/>
      <c r="E412" s="22"/>
      <c r="F412" s="115"/>
      <c r="G412" s="116"/>
      <c r="H412" s="120"/>
      <c r="I412" s="181"/>
      <c r="J412" s="181"/>
      <c r="K412" s="200"/>
    </row>
    <row r="413" spans="1:11" s="21" customFormat="1" ht="12.75">
      <c r="A413" s="23"/>
      <c r="B413" s="23"/>
      <c r="C413" s="23"/>
      <c r="D413" s="23"/>
      <c r="E413" s="22"/>
      <c r="F413" s="115"/>
      <c r="G413" s="116"/>
      <c r="H413" s="120"/>
      <c r="I413" s="181"/>
      <c r="J413" s="181"/>
      <c r="K413" s="200"/>
    </row>
    <row r="414" spans="1:11" s="21" customFormat="1" ht="12.75">
      <c r="A414" s="23"/>
      <c r="B414" s="23"/>
      <c r="C414" s="23"/>
      <c r="D414" s="23"/>
      <c r="E414" s="22"/>
      <c r="F414" s="115"/>
      <c r="G414" s="116"/>
      <c r="H414" s="120"/>
      <c r="I414" s="181"/>
      <c r="J414" s="181"/>
      <c r="K414" s="200"/>
    </row>
    <row r="415" spans="1:11" s="21" customFormat="1" ht="12.75">
      <c r="A415" s="23"/>
      <c r="B415" s="23"/>
      <c r="C415" s="23"/>
      <c r="D415" s="23"/>
      <c r="E415" s="22"/>
      <c r="F415" s="115"/>
      <c r="G415" s="116"/>
      <c r="H415" s="120"/>
      <c r="I415" s="181"/>
      <c r="J415" s="181"/>
      <c r="K415" s="200"/>
    </row>
    <row r="416" spans="1:11" s="21" customFormat="1" ht="12.75">
      <c r="A416" s="23"/>
      <c r="B416" s="23"/>
      <c r="C416" s="23"/>
      <c r="D416" s="23"/>
      <c r="E416" s="22"/>
      <c r="F416" s="115"/>
      <c r="G416" s="116"/>
      <c r="H416" s="120"/>
      <c r="I416" s="181"/>
      <c r="J416" s="181"/>
      <c r="K416" s="200"/>
    </row>
    <row r="417" spans="1:11" s="21" customFormat="1" ht="12.75">
      <c r="A417" s="23"/>
      <c r="B417" s="23"/>
      <c r="C417" s="23"/>
      <c r="D417" s="23"/>
      <c r="E417" s="22"/>
      <c r="F417" s="115"/>
      <c r="G417" s="116"/>
      <c r="H417" s="120"/>
      <c r="I417" s="181"/>
      <c r="J417" s="181"/>
      <c r="K417" s="200"/>
    </row>
    <row r="418" spans="1:11" s="21" customFormat="1" ht="12.75">
      <c r="A418" s="23"/>
      <c r="B418" s="23"/>
      <c r="C418" s="23"/>
      <c r="D418" s="23"/>
      <c r="E418" s="22"/>
      <c r="F418" s="115"/>
      <c r="G418" s="116"/>
      <c r="H418" s="120"/>
      <c r="I418" s="181"/>
      <c r="J418" s="181"/>
      <c r="K418" s="200"/>
    </row>
    <row r="419" spans="1:11" s="21" customFormat="1" ht="12.75">
      <c r="A419" s="23"/>
      <c r="B419" s="23"/>
      <c r="C419" s="23"/>
      <c r="D419" s="23"/>
      <c r="E419" s="22"/>
      <c r="F419" s="115"/>
      <c r="G419" s="116"/>
      <c r="H419" s="120"/>
      <c r="I419" s="181"/>
      <c r="J419" s="181"/>
      <c r="K419" s="200"/>
    </row>
    <row r="420" spans="1:11" s="21" customFormat="1" ht="12.75">
      <c r="A420" s="23"/>
      <c r="B420" s="23"/>
      <c r="C420" s="23"/>
      <c r="D420" s="23"/>
      <c r="E420" s="22"/>
      <c r="F420" s="115"/>
      <c r="G420" s="116"/>
      <c r="H420" s="120"/>
      <c r="I420" s="181"/>
      <c r="J420" s="181"/>
      <c r="K420" s="200"/>
    </row>
    <row r="421" spans="1:11" s="21" customFormat="1" ht="12.75">
      <c r="A421" s="23"/>
      <c r="B421" s="23"/>
      <c r="C421" s="23"/>
      <c r="D421" s="23"/>
      <c r="E421" s="22"/>
      <c r="F421" s="115"/>
      <c r="G421" s="116"/>
      <c r="H421" s="120"/>
      <c r="I421" s="181"/>
      <c r="J421" s="181"/>
      <c r="K421" s="200"/>
    </row>
    <row r="422" spans="1:11" s="21" customFormat="1" ht="12.75">
      <c r="A422" s="23"/>
      <c r="B422" s="23"/>
      <c r="C422" s="23"/>
      <c r="D422" s="23"/>
      <c r="E422" s="22"/>
      <c r="F422" s="115"/>
      <c r="G422" s="116"/>
      <c r="H422" s="120"/>
      <c r="I422" s="181"/>
      <c r="J422" s="181"/>
      <c r="K422" s="200"/>
    </row>
    <row r="423" spans="1:11" s="21" customFormat="1" ht="12.75">
      <c r="A423" s="23"/>
      <c r="B423" s="23"/>
      <c r="C423" s="23"/>
      <c r="D423" s="23"/>
      <c r="E423" s="22"/>
      <c r="F423" s="115"/>
      <c r="G423" s="116"/>
      <c r="H423" s="120"/>
      <c r="I423" s="181"/>
      <c r="J423" s="181"/>
      <c r="K423" s="200"/>
    </row>
    <row r="424" spans="1:11" s="21" customFormat="1" ht="12.75">
      <c r="A424" s="23"/>
      <c r="B424" s="23"/>
      <c r="C424" s="23"/>
      <c r="D424" s="23"/>
      <c r="E424" s="22"/>
      <c r="F424" s="115"/>
      <c r="G424" s="116"/>
      <c r="H424" s="120"/>
      <c r="I424" s="181"/>
      <c r="J424" s="181"/>
      <c r="K424" s="200"/>
    </row>
    <row r="425" spans="1:11" s="21" customFormat="1" ht="12.75">
      <c r="A425" s="23"/>
      <c r="B425" s="23"/>
      <c r="C425" s="23"/>
      <c r="D425" s="23"/>
      <c r="E425" s="22"/>
      <c r="F425" s="115"/>
      <c r="G425" s="116"/>
      <c r="H425" s="120"/>
      <c r="I425" s="181"/>
      <c r="J425" s="181"/>
      <c r="K425" s="200"/>
    </row>
    <row r="426" spans="1:11" s="21" customFormat="1" ht="12.75">
      <c r="A426" s="23"/>
      <c r="B426" s="23"/>
      <c r="C426" s="23"/>
      <c r="D426" s="23"/>
      <c r="E426" s="22"/>
      <c r="F426" s="115"/>
      <c r="G426" s="116"/>
      <c r="H426" s="120"/>
      <c r="I426" s="181"/>
      <c r="J426" s="181"/>
      <c r="K426" s="200"/>
    </row>
    <row r="427" spans="1:11" s="21" customFormat="1" ht="12.75">
      <c r="A427" s="23"/>
      <c r="B427" s="23"/>
      <c r="C427" s="23"/>
      <c r="D427" s="23"/>
      <c r="E427" s="22"/>
      <c r="F427" s="115"/>
      <c r="G427" s="116"/>
      <c r="H427" s="120"/>
      <c r="I427" s="181"/>
      <c r="J427" s="181"/>
      <c r="K427" s="200"/>
    </row>
    <row r="428" spans="1:11" s="21" customFormat="1" ht="12.75">
      <c r="A428" s="23"/>
      <c r="B428" s="23"/>
      <c r="C428" s="23"/>
      <c r="D428" s="23"/>
      <c r="E428" s="22"/>
      <c r="F428" s="115"/>
      <c r="G428" s="116"/>
      <c r="H428" s="120"/>
      <c r="I428" s="181"/>
      <c r="J428" s="181"/>
      <c r="K428" s="200"/>
    </row>
    <row r="429" spans="1:11" s="21" customFormat="1" ht="12.75">
      <c r="A429" s="23"/>
      <c r="B429" s="23"/>
      <c r="C429" s="23"/>
      <c r="D429" s="23"/>
      <c r="E429" s="22"/>
      <c r="F429" s="115"/>
      <c r="G429" s="116"/>
      <c r="H429" s="120"/>
      <c r="I429" s="181"/>
      <c r="J429" s="181"/>
      <c r="K429" s="200"/>
    </row>
    <row r="430" spans="1:11" s="21" customFormat="1" ht="12.75">
      <c r="A430" s="23"/>
      <c r="B430" s="23"/>
      <c r="C430" s="23"/>
      <c r="D430" s="23"/>
      <c r="E430" s="22"/>
      <c r="F430" s="115"/>
      <c r="G430" s="116"/>
      <c r="H430" s="120"/>
      <c r="I430" s="181"/>
      <c r="J430" s="181"/>
      <c r="K430" s="200"/>
    </row>
    <row r="431" spans="1:11" s="21" customFormat="1" ht="12.75">
      <c r="A431" s="23"/>
      <c r="B431" s="23"/>
      <c r="C431" s="23"/>
      <c r="D431" s="23"/>
      <c r="E431" s="22"/>
      <c r="F431" s="115"/>
      <c r="G431" s="116"/>
      <c r="H431" s="120"/>
      <c r="I431" s="181"/>
      <c r="J431" s="181"/>
      <c r="K431" s="200"/>
    </row>
    <row r="432" spans="1:11" s="21" customFormat="1" ht="12.75">
      <c r="A432" s="23"/>
      <c r="B432" s="23"/>
      <c r="C432" s="23"/>
      <c r="D432" s="23"/>
      <c r="E432" s="22"/>
      <c r="F432" s="115"/>
      <c r="G432" s="116"/>
      <c r="H432" s="120"/>
      <c r="I432" s="181"/>
      <c r="J432" s="181"/>
      <c r="K432" s="200"/>
    </row>
    <row r="433" spans="1:11" s="21" customFormat="1" ht="12.75">
      <c r="A433" s="23"/>
      <c r="B433" s="23"/>
      <c r="C433" s="23"/>
      <c r="D433" s="23"/>
      <c r="E433" s="22"/>
      <c r="F433" s="115"/>
      <c r="G433" s="116"/>
      <c r="H433" s="120"/>
      <c r="I433" s="181"/>
      <c r="J433" s="181"/>
      <c r="K433" s="200"/>
    </row>
    <row r="434" spans="1:11" s="21" customFormat="1" ht="12.75">
      <c r="A434" s="23"/>
      <c r="B434" s="23"/>
      <c r="C434" s="23"/>
      <c r="D434" s="23"/>
      <c r="E434" s="22"/>
      <c r="F434" s="115"/>
      <c r="G434" s="116"/>
      <c r="H434" s="120"/>
      <c r="I434" s="181"/>
      <c r="J434" s="181"/>
      <c r="K434" s="200"/>
    </row>
    <row r="435" spans="1:11" s="21" customFormat="1" ht="12.75">
      <c r="A435" s="23"/>
      <c r="B435" s="23"/>
      <c r="C435" s="23"/>
      <c r="D435" s="23"/>
      <c r="E435" s="22"/>
      <c r="F435" s="115"/>
      <c r="G435" s="116"/>
      <c r="H435" s="120"/>
      <c r="I435" s="181"/>
      <c r="J435" s="181"/>
      <c r="K435" s="200"/>
    </row>
    <row r="436" spans="1:11" s="21" customFormat="1" ht="12.75">
      <c r="A436" s="23"/>
      <c r="B436" s="23"/>
      <c r="C436" s="23"/>
      <c r="D436" s="23"/>
      <c r="E436" s="22"/>
      <c r="F436" s="115"/>
      <c r="G436" s="116"/>
      <c r="H436" s="120"/>
      <c r="I436" s="181"/>
      <c r="J436" s="181"/>
      <c r="K436" s="200"/>
    </row>
    <row r="437" spans="1:11" s="21" customFormat="1" ht="12.75">
      <c r="A437" s="23"/>
      <c r="B437" s="23"/>
      <c r="C437" s="23"/>
      <c r="D437" s="23"/>
      <c r="E437" s="22"/>
      <c r="F437" s="115"/>
      <c r="G437" s="116"/>
      <c r="H437" s="120"/>
      <c r="I437" s="181"/>
      <c r="J437" s="181"/>
      <c r="K437" s="200"/>
    </row>
    <row r="438" spans="1:11" s="21" customFormat="1" ht="12.75">
      <c r="A438" s="23"/>
      <c r="B438" s="23"/>
      <c r="C438" s="23"/>
      <c r="D438" s="23"/>
      <c r="E438" s="22"/>
      <c r="F438" s="115"/>
      <c r="G438" s="116"/>
      <c r="H438" s="120"/>
      <c r="I438" s="181"/>
      <c r="J438" s="181"/>
      <c r="K438" s="200"/>
    </row>
    <row r="439" spans="1:11" s="21" customFormat="1" ht="12.75">
      <c r="A439" s="23"/>
      <c r="B439" s="23"/>
      <c r="C439" s="23"/>
      <c r="D439" s="23"/>
      <c r="E439" s="22"/>
      <c r="F439" s="115"/>
      <c r="G439" s="116"/>
      <c r="H439" s="120"/>
      <c r="I439" s="181"/>
      <c r="J439" s="181"/>
      <c r="K439" s="200"/>
    </row>
    <row r="440" spans="1:11" s="21" customFormat="1" ht="12.75">
      <c r="A440" s="23"/>
      <c r="B440" s="23"/>
      <c r="C440" s="23"/>
      <c r="D440" s="23"/>
      <c r="E440" s="22"/>
      <c r="F440" s="115"/>
      <c r="G440" s="116"/>
      <c r="H440" s="120"/>
      <c r="I440" s="181"/>
      <c r="J440" s="181"/>
      <c r="K440" s="200"/>
    </row>
    <row r="441" spans="1:11" s="21" customFormat="1" ht="12.75">
      <c r="A441" s="23"/>
      <c r="B441" s="23"/>
      <c r="C441" s="23"/>
      <c r="D441" s="23"/>
      <c r="E441" s="22"/>
      <c r="F441" s="115"/>
      <c r="G441" s="116"/>
      <c r="H441" s="120"/>
      <c r="I441" s="181"/>
      <c r="J441" s="181"/>
      <c r="K441" s="200"/>
    </row>
    <row r="442" spans="1:11" s="21" customFormat="1" ht="12.75">
      <c r="A442" s="23"/>
      <c r="B442" s="23"/>
      <c r="C442" s="23"/>
      <c r="D442" s="23"/>
      <c r="E442" s="22"/>
      <c r="F442" s="115"/>
      <c r="G442" s="116"/>
      <c r="H442" s="120"/>
      <c r="I442" s="181"/>
      <c r="J442" s="181"/>
      <c r="K442" s="200"/>
    </row>
    <row r="443" spans="1:11" s="21" customFormat="1" ht="12.75">
      <c r="A443" s="23"/>
      <c r="B443" s="23"/>
      <c r="C443" s="23"/>
      <c r="D443" s="23"/>
      <c r="E443" s="22"/>
      <c r="F443" s="115"/>
      <c r="G443" s="116"/>
      <c r="H443" s="120"/>
      <c r="I443" s="181"/>
      <c r="J443" s="181"/>
      <c r="K443" s="200"/>
    </row>
    <row r="444" spans="1:11" s="21" customFormat="1" ht="12.75">
      <c r="A444" s="23"/>
      <c r="B444" s="23"/>
      <c r="C444" s="23"/>
      <c r="D444" s="23"/>
      <c r="E444" s="22"/>
      <c r="F444" s="115"/>
      <c r="G444" s="116"/>
      <c r="H444" s="120"/>
      <c r="I444" s="181"/>
      <c r="J444" s="181"/>
      <c r="K444" s="200"/>
    </row>
    <row r="445" spans="1:11" s="21" customFormat="1" ht="12.75">
      <c r="A445" s="23"/>
      <c r="B445" s="23"/>
      <c r="C445" s="23"/>
      <c r="D445" s="23"/>
      <c r="E445" s="22"/>
      <c r="F445" s="115"/>
      <c r="G445" s="116"/>
      <c r="H445" s="120"/>
      <c r="I445" s="181"/>
      <c r="J445" s="181"/>
      <c r="K445" s="200"/>
    </row>
    <row r="446" spans="1:11" s="21" customFormat="1" ht="12.75">
      <c r="A446" s="23"/>
      <c r="B446" s="23"/>
      <c r="C446" s="23"/>
      <c r="D446" s="23"/>
      <c r="E446" s="22"/>
      <c r="F446" s="115"/>
      <c r="G446" s="116"/>
      <c r="H446" s="120"/>
      <c r="I446" s="181"/>
      <c r="J446" s="181"/>
      <c r="K446" s="200"/>
    </row>
    <row r="447" spans="1:11" s="21" customFormat="1" ht="12.75">
      <c r="A447" s="23"/>
      <c r="B447" s="23"/>
      <c r="C447" s="23"/>
      <c r="D447" s="23"/>
      <c r="E447" s="22"/>
      <c r="F447" s="115"/>
      <c r="G447" s="116"/>
      <c r="H447" s="120"/>
      <c r="I447" s="181"/>
      <c r="J447" s="181"/>
      <c r="K447" s="200"/>
    </row>
    <row r="448" spans="1:11" s="21" customFormat="1" ht="12.75">
      <c r="A448" s="23"/>
      <c r="B448" s="23"/>
      <c r="C448" s="23"/>
      <c r="D448" s="23"/>
      <c r="E448" s="22"/>
      <c r="F448" s="115"/>
      <c r="G448" s="116"/>
      <c r="H448" s="120"/>
      <c r="I448" s="181"/>
      <c r="J448" s="181"/>
      <c r="K448" s="200"/>
    </row>
    <row r="449" spans="1:11" s="21" customFormat="1" ht="12.75">
      <c r="A449" s="23"/>
      <c r="B449" s="23"/>
      <c r="C449" s="23"/>
      <c r="D449" s="23"/>
      <c r="E449" s="22"/>
      <c r="F449" s="115"/>
      <c r="G449" s="116"/>
      <c r="H449" s="120"/>
      <c r="I449" s="181"/>
      <c r="J449" s="181"/>
      <c r="K449" s="200"/>
    </row>
    <row r="450" spans="1:11" s="21" customFormat="1" ht="12.75">
      <c r="A450" s="23"/>
      <c r="B450" s="23"/>
      <c r="C450" s="23"/>
      <c r="D450" s="23"/>
      <c r="E450" s="22"/>
      <c r="F450" s="115"/>
      <c r="G450" s="116"/>
      <c r="H450" s="120"/>
      <c r="I450" s="181"/>
      <c r="J450" s="181"/>
      <c r="K450" s="200"/>
    </row>
    <row r="451" spans="1:11" s="21" customFormat="1" ht="12.75">
      <c r="A451" s="23"/>
      <c r="B451" s="23"/>
      <c r="C451" s="23"/>
      <c r="D451" s="23"/>
      <c r="E451" s="22"/>
      <c r="F451" s="115"/>
      <c r="G451" s="116"/>
      <c r="H451" s="120"/>
      <c r="I451" s="181"/>
      <c r="J451" s="181"/>
      <c r="K451" s="200"/>
    </row>
    <row r="452" spans="1:11" s="21" customFormat="1" ht="12.75">
      <c r="A452" s="23"/>
      <c r="B452" s="23"/>
      <c r="C452" s="23"/>
      <c r="D452" s="23"/>
      <c r="E452" s="22"/>
      <c r="F452" s="115"/>
      <c r="G452" s="116"/>
      <c r="H452" s="120"/>
      <c r="I452" s="181"/>
      <c r="J452" s="181"/>
      <c r="K452" s="200"/>
    </row>
    <row r="453" spans="1:11" s="21" customFormat="1" ht="12.75">
      <c r="A453" s="23"/>
      <c r="B453" s="23"/>
      <c r="C453" s="23"/>
      <c r="D453" s="23"/>
      <c r="E453" s="22"/>
      <c r="F453" s="115"/>
      <c r="G453" s="116"/>
      <c r="H453" s="120"/>
      <c r="I453" s="181"/>
      <c r="J453" s="181"/>
      <c r="K453" s="200"/>
    </row>
    <row r="454" spans="1:11" s="21" customFormat="1" ht="12.75">
      <c r="A454" s="23"/>
      <c r="B454" s="23"/>
      <c r="C454" s="23"/>
      <c r="D454" s="23"/>
      <c r="E454" s="22"/>
      <c r="F454" s="115"/>
      <c r="G454" s="116"/>
      <c r="H454" s="120"/>
      <c r="I454" s="181"/>
      <c r="J454" s="181"/>
      <c r="K454" s="200"/>
    </row>
    <row r="455" spans="1:11" s="21" customFormat="1" ht="12.75">
      <c r="A455" s="23"/>
      <c r="B455" s="23"/>
      <c r="C455" s="23"/>
      <c r="D455" s="23"/>
      <c r="E455" s="22"/>
      <c r="F455" s="115"/>
      <c r="G455" s="116"/>
      <c r="H455" s="120"/>
      <c r="I455" s="181"/>
      <c r="J455" s="181"/>
      <c r="K455" s="200"/>
    </row>
    <row r="456" spans="1:11" s="21" customFormat="1" ht="12.75">
      <c r="A456" s="23"/>
      <c r="B456" s="23"/>
      <c r="C456" s="23"/>
      <c r="D456" s="23"/>
      <c r="E456" s="22"/>
      <c r="F456" s="115"/>
      <c r="G456" s="116"/>
      <c r="H456" s="120"/>
      <c r="I456" s="181"/>
      <c r="J456" s="181"/>
      <c r="K456" s="200"/>
    </row>
    <row r="457" spans="1:11" s="21" customFormat="1" ht="12.75">
      <c r="A457" s="23"/>
      <c r="B457" s="23"/>
      <c r="C457" s="23"/>
      <c r="D457" s="23"/>
      <c r="E457" s="22"/>
      <c r="F457" s="115"/>
      <c r="G457" s="116"/>
      <c r="H457" s="120"/>
      <c r="I457" s="181"/>
      <c r="J457" s="181"/>
      <c r="K457" s="200"/>
    </row>
    <row r="458" spans="1:11" s="21" customFormat="1" ht="12.75">
      <c r="A458" s="23"/>
      <c r="B458" s="23"/>
      <c r="C458" s="23"/>
      <c r="D458" s="23"/>
      <c r="E458" s="22"/>
      <c r="F458" s="115"/>
      <c r="G458" s="116"/>
      <c r="H458" s="120"/>
      <c r="I458" s="181"/>
      <c r="J458" s="181"/>
      <c r="K458" s="200"/>
    </row>
    <row r="459" spans="1:11" s="21" customFormat="1" ht="12.75">
      <c r="A459" s="23"/>
      <c r="B459" s="23"/>
      <c r="C459" s="23"/>
      <c r="D459" s="23"/>
      <c r="E459" s="22"/>
      <c r="F459" s="115"/>
      <c r="G459" s="116"/>
      <c r="H459" s="120"/>
      <c r="I459" s="181"/>
      <c r="J459" s="181"/>
      <c r="K459" s="200"/>
    </row>
    <row r="460" spans="1:11" s="21" customFormat="1" ht="12.75">
      <c r="A460" s="23"/>
      <c r="B460" s="23"/>
      <c r="C460" s="23"/>
      <c r="D460" s="23"/>
      <c r="E460" s="22"/>
      <c r="F460" s="115"/>
      <c r="G460" s="116"/>
      <c r="H460" s="120"/>
      <c r="I460" s="181"/>
      <c r="J460" s="181"/>
      <c r="K460" s="200"/>
    </row>
    <row r="461" spans="1:11" s="21" customFormat="1" ht="12.75">
      <c r="A461" s="23"/>
      <c r="B461" s="23"/>
      <c r="C461" s="23"/>
      <c r="D461" s="23"/>
      <c r="E461" s="22"/>
      <c r="F461" s="115"/>
      <c r="G461" s="116"/>
      <c r="H461" s="120"/>
      <c r="I461" s="181"/>
      <c r="J461" s="181"/>
      <c r="K461" s="200"/>
    </row>
    <row r="462" spans="1:11" s="21" customFormat="1" ht="12.75">
      <c r="A462" s="23"/>
      <c r="B462" s="23"/>
      <c r="C462" s="23"/>
      <c r="D462" s="23"/>
      <c r="E462" s="22"/>
      <c r="F462" s="115"/>
      <c r="G462" s="116"/>
      <c r="H462" s="120"/>
      <c r="I462" s="181"/>
      <c r="J462" s="181"/>
      <c r="K462" s="200"/>
    </row>
    <row r="463" spans="1:11" s="21" customFormat="1" ht="12.75">
      <c r="A463" s="23"/>
      <c r="B463" s="23"/>
      <c r="C463" s="23"/>
      <c r="D463" s="23"/>
      <c r="E463" s="22"/>
      <c r="F463" s="115"/>
      <c r="G463" s="116"/>
      <c r="H463" s="120"/>
      <c r="I463" s="181"/>
      <c r="J463" s="181"/>
      <c r="K463" s="200"/>
    </row>
    <row r="464" spans="1:11" s="21" customFormat="1" ht="12.75">
      <c r="A464" s="23"/>
      <c r="B464" s="23"/>
      <c r="C464" s="23"/>
      <c r="D464" s="23"/>
      <c r="E464" s="22"/>
      <c r="F464" s="115"/>
      <c r="G464" s="116"/>
      <c r="H464" s="120"/>
      <c r="I464" s="181"/>
      <c r="J464" s="181"/>
      <c r="K464" s="200"/>
    </row>
    <row r="465" spans="1:11" s="21" customFormat="1" ht="12.75">
      <c r="A465" s="23"/>
      <c r="B465" s="23"/>
      <c r="C465" s="23"/>
      <c r="D465" s="23"/>
      <c r="E465" s="22"/>
      <c r="F465" s="115"/>
      <c r="G465" s="116"/>
      <c r="H465" s="120"/>
      <c r="I465" s="181"/>
      <c r="J465" s="181"/>
      <c r="K465" s="200"/>
    </row>
    <row r="466" spans="1:11" s="21" customFormat="1" ht="12.75">
      <c r="A466" s="23"/>
      <c r="B466" s="23"/>
      <c r="C466" s="23"/>
      <c r="D466" s="23"/>
      <c r="E466" s="22"/>
      <c r="F466" s="115"/>
      <c r="G466" s="116"/>
      <c r="H466" s="120"/>
      <c r="I466" s="181"/>
      <c r="J466" s="181"/>
      <c r="K466" s="200"/>
    </row>
    <row r="467" spans="1:11" s="21" customFormat="1" ht="12.75">
      <c r="A467" s="23"/>
      <c r="B467" s="23"/>
      <c r="C467" s="23"/>
      <c r="D467" s="23"/>
      <c r="E467" s="22"/>
      <c r="F467" s="115"/>
      <c r="G467" s="116"/>
      <c r="H467" s="120"/>
      <c r="I467" s="181"/>
      <c r="J467" s="181"/>
      <c r="K467" s="200"/>
    </row>
    <row r="468" spans="1:11" s="21" customFormat="1" ht="12.75">
      <c r="A468" s="23"/>
      <c r="B468" s="23"/>
      <c r="C468" s="23"/>
      <c r="D468" s="23"/>
      <c r="E468" s="22"/>
      <c r="F468" s="115"/>
      <c r="G468" s="116"/>
      <c r="H468" s="120"/>
      <c r="I468" s="181"/>
      <c r="J468" s="181"/>
      <c r="K468" s="200"/>
    </row>
    <row r="469" spans="1:11" s="21" customFormat="1" ht="12.75">
      <c r="A469" s="23"/>
      <c r="B469" s="23"/>
      <c r="C469" s="23"/>
      <c r="D469" s="23"/>
      <c r="E469" s="22"/>
      <c r="F469" s="115"/>
      <c r="G469" s="116"/>
      <c r="H469" s="120"/>
      <c r="I469" s="181"/>
      <c r="J469" s="181"/>
      <c r="K469" s="200"/>
    </row>
    <row r="470" spans="1:11" s="21" customFormat="1" ht="12.75">
      <c r="A470" s="23"/>
      <c r="B470" s="23"/>
      <c r="C470" s="23"/>
      <c r="D470" s="23"/>
      <c r="E470" s="22"/>
      <c r="F470" s="115"/>
      <c r="G470" s="116"/>
      <c r="H470" s="120"/>
      <c r="I470" s="181"/>
      <c r="J470" s="181"/>
      <c r="K470" s="200"/>
    </row>
    <row r="471" spans="1:11" s="21" customFormat="1" ht="12.75">
      <c r="A471" s="23"/>
      <c r="B471" s="23"/>
      <c r="C471" s="23"/>
      <c r="D471" s="23"/>
      <c r="E471" s="22"/>
      <c r="F471" s="115"/>
      <c r="G471" s="116"/>
      <c r="H471" s="120"/>
      <c r="I471" s="181"/>
      <c r="J471" s="181"/>
      <c r="K471" s="200"/>
    </row>
    <row r="472" spans="1:11" s="21" customFormat="1" ht="12.75">
      <c r="A472" s="23"/>
      <c r="B472" s="23"/>
      <c r="C472" s="23"/>
      <c r="D472" s="23"/>
      <c r="E472" s="22"/>
      <c r="F472" s="115"/>
      <c r="G472" s="116"/>
      <c r="H472" s="120"/>
      <c r="I472" s="181"/>
      <c r="J472" s="181"/>
      <c r="K472" s="200"/>
    </row>
    <row r="473" spans="1:11" s="21" customFormat="1" ht="12.75">
      <c r="A473" s="23"/>
      <c r="B473" s="23"/>
      <c r="C473" s="23"/>
      <c r="D473" s="23"/>
      <c r="E473" s="22"/>
      <c r="F473" s="115"/>
      <c r="G473" s="116"/>
      <c r="H473" s="120"/>
      <c r="I473" s="181"/>
      <c r="J473" s="181"/>
      <c r="K473" s="200"/>
    </row>
    <row r="474" spans="1:11" s="21" customFormat="1" ht="12.75">
      <c r="A474" s="23"/>
      <c r="B474" s="23"/>
      <c r="C474" s="23"/>
      <c r="D474" s="23"/>
      <c r="E474" s="22"/>
      <c r="F474" s="115"/>
      <c r="G474" s="116"/>
      <c r="H474" s="120"/>
      <c r="I474" s="181"/>
      <c r="J474" s="181"/>
      <c r="K474" s="200"/>
    </row>
    <row r="475" spans="1:11" s="21" customFormat="1" ht="12.75">
      <c r="A475" s="23"/>
      <c r="B475" s="23"/>
      <c r="C475" s="23"/>
      <c r="D475" s="23"/>
      <c r="E475" s="22"/>
      <c r="F475" s="115"/>
      <c r="G475" s="116"/>
      <c r="H475" s="120"/>
      <c r="I475" s="181"/>
      <c r="J475" s="181"/>
      <c r="K475" s="200"/>
    </row>
    <row r="476" spans="1:11" s="21" customFormat="1" ht="12.75">
      <c r="A476" s="23"/>
      <c r="B476" s="23"/>
      <c r="C476" s="23"/>
      <c r="D476" s="23"/>
      <c r="E476" s="22"/>
      <c r="F476" s="115"/>
      <c r="G476" s="116"/>
      <c r="H476" s="120"/>
      <c r="I476" s="181"/>
      <c r="J476" s="181"/>
      <c r="K476" s="200"/>
    </row>
    <row r="477" spans="1:11" s="21" customFormat="1" ht="12.75">
      <c r="A477" s="23"/>
      <c r="B477" s="23"/>
      <c r="C477" s="23"/>
      <c r="D477" s="23"/>
      <c r="E477" s="22"/>
      <c r="F477" s="115"/>
      <c r="G477" s="116"/>
      <c r="H477" s="120"/>
      <c r="I477" s="181"/>
      <c r="J477" s="181"/>
      <c r="K477" s="200"/>
    </row>
    <row r="478" spans="1:11" s="21" customFormat="1" ht="12.75">
      <c r="A478" s="23"/>
      <c r="B478" s="23"/>
      <c r="C478" s="23"/>
      <c r="D478" s="23"/>
      <c r="E478" s="22"/>
      <c r="F478" s="115"/>
      <c r="G478" s="116"/>
      <c r="H478" s="120"/>
      <c r="I478" s="181"/>
      <c r="J478" s="181"/>
      <c r="K478" s="200"/>
    </row>
    <row r="479" spans="1:11" s="21" customFormat="1" ht="12.75">
      <c r="A479" s="23"/>
      <c r="B479" s="23"/>
      <c r="C479" s="23"/>
      <c r="D479" s="23"/>
      <c r="E479" s="22"/>
      <c r="F479" s="115"/>
      <c r="G479" s="116"/>
      <c r="H479" s="120"/>
      <c r="I479" s="181"/>
      <c r="J479" s="181"/>
      <c r="K479" s="200"/>
    </row>
    <row r="480" spans="1:11" s="21" customFormat="1" ht="12.75">
      <c r="A480" s="23"/>
      <c r="B480" s="23"/>
      <c r="C480" s="23"/>
      <c r="D480" s="23"/>
      <c r="E480" s="22"/>
      <c r="F480" s="115"/>
      <c r="G480" s="116"/>
      <c r="H480" s="120"/>
      <c r="I480" s="181"/>
      <c r="J480" s="181"/>
      <c r="K480" s="200"/>
    </row>
    <row r="481" spans="1:11" s="21" customFormat="1" ht="12.75">
      <c r="A481" s="23"/>
      <c r="B481" s="23"/>
      <c r="C481" s="23"/>
      <c r="D481" s="23"/>
      <c r="E481" s="22"/>
      <c r="F481" s="115"/>
      <c r="G481" s="116"/>
      <c r="H481" s="120"/>
      <c r="I481" s="181"/>
      <c r="J481" s="181"/>
      <c r="K481" s="200"/>
    </row>
    <row r="482" spans="1:11" s="21" customFormat="1" ht="12.75">
      <c r="A482" s="23"/>
      <c r="B482" s="23"/>
      <c r="C482" s="23"/>
      <c r="D482" s="23"/>
      <c r="E482" s="22"/>
      <c r="F482" s="115"/>
      <c r="G482" s="116"/>
      <c r="H482" s="120"/>
      <c r="I482" s="181"/>
      <c r="J482" s="181"/>
      <c r="K482" s="200"/>
    </row>
    <row r="483" spans="1:11" s="21" customFormat="1" ht="12.75">
      <c r="A483" s="23"/>
      <c r="B483" s="23"/>
      <c r="C483" s="23"/>
      <c r="D483" s="23"/>
      <c r="E483" s="22"/>
      <c r="F483" s="115"/>
      <c r="G483" s="116"/>
      <c r="H483" s="120"/>
      <c r="I483" s="181"/>
      <c r="J483" s="181"/>
      <c r="K483" s="200"/>
    </row>
    <row r="484" spans="1:11" s="21" customFormat="1" ht="12.75">
      <c r="A484" s="23"/>
      <c r="B484" s="23"/>
      <c r="C484" s="23"/>
      <c r="D484" s="23"/>
      <c r="E484" s="22"/>
      <c r="F484" s="115"/>
      <c r="G484" s="116"/>
      <c r="H484" s="120"/>
      <c r="I484" s="181"/>
      <c r="J484" s="181"/>
      <c r="K484" s="200"/>
    </row>
    <row r="485" spans="1:11" s="21" customFormat="1" ht="12.75">
      <c r="A485" s="23"/>
      <c r="B485" s="23"/>
      <c r="C485" s="23"/>
      <c r="D485" s="23"/>
      <c r="E485" s="22"/>
      <c r="F485" s="115"/>
      <c r="G485" s="116"/>
      <c r="H485" s="120"/>
      <c r="I485" s="181"/>
      <c r="J485" s="181"/>
      <c r="K485" s="200"/>
    </row>
    <row r="486" spans="1:11" s="21" customFormat="1" ht="12.75">
      <c r="A486" s="23"/>
      <c r="B486" s="23"/>
      <c r="C486" s="23"/>
      <c r="D486" s="23"/>
      <c r="E486" s="22"/>
      <c r="F486" s="115"/>
      <c r="G486" s="116"/>
      <c r="H486" s="120"/>
      <c r="I486" s="181"/>
      <c r="J486" s="181"/>
      <c r="K486" s="200"/>
    </row>
    <row r="487" spans="1:11" s="21" customFormat="1" ht="12.75">
      <c r="A487" s="23"/>
      <c r="B487" s="23"/>
      <c r="C487" s="23"/>
      <c r="D487" s="23"/>
      <c r="E487" s="22"/>
      <c r="F487" s="115"/>
      <c r="G487" s="116"/>
      <c r="H487" s="120"/>
      <c r="I487" s="181"/>
      <c r="J487" s="181"/>
      <c r="K487" s="200"/>
    </row>
    <row r="488" spans="1:11" s="21" customFormat="1" ht="12.75">
      <c r="A488" s="23"/>
      <c r="B488" s="23"/>
      <c r="C488" s="23"/>
      <c r="D488" s="23"/>
      <c r="E488" s="22"/>
      <c r="F488" s="115"/>
      <c r="G488" s="116"/>
      <c r="H488" s="120"/>
      <c r="I488" s="181"/>
      <c r="J488" s="181"/>
      <c r="K488" s="200"/>
    </row>
    <row r="489" spans="1:11" s="21" customFormat="1" ht="12.75">
      <c r="A489" s="23"/>
      <c r="B489" s="23"/>
      <c r="C489" s="23"/>
      <c r="D489" s="23"/>
      <c r="E489" s="22"/>
      <c r="F489" s="115"/>
      <c r="G489" s="116"/>
      <c r="H489" s="120"/>
      <c r="I489" s="181"/>
      <c r="J489" s="181"/>
      <c r="K489" s="200"/>
    </row>
    <row r="490" spans="1:11" s="21" customFormat="1" ht="12.75">
      <c r="A490" s="23"/>
      <c r="B490" s="23"/>
      <c r="C490" s="23"/>
      <c r="D490" s="23"/>
      <c r="E490" s="22"/>
      <c r="F490" s="115"/>
      <c r="G490" s="116"/>
      <c r="H490" s="120"/>
      <c r="I490" s="181"/>
      <c r="J490" s="181"/>
      <c r="K490" s="200"/>
    </row>
    <row r="491" spans="1:11" s="21" customFormat="1" ht="12.75">
      <c r="A491" s="23"/>
      <c r="B491" s="23"/>
      <c r="C491" s="23"/>
      <c r="D491" s="23"/>
      <c r="E491" s="22"/>
      <c r="F491" s="115"/>
      <c r="G491" s="116"/>
      <c r="H491" s="120"/>
      <c r="I491" s="181"/>
      <c r="J491" s="181"/>
      <c r="K491" s="200"/>
    </row>
    <row r="492" spans="1:11" s="21" customFormat="1" ht="12.75">
      <c r="A492" s="23"/>
      <c r="B492" s="23"/>
      <c r="C492" s="23"/>
      <c r="D492" s="23"/>
      <c r="E492" s="22"/>
      <c r="F492" s="115"/>
      <c r="G492" s="116"/>
      <c r="H492" s="120"/>
      <c r="I492" s="181"/>
      <c r="J492" s="181"/>
      <c r="K492" s="200"/>
    </row>
    <row r="493" spans="1:11" s="21" customFormat="1" ht="12.75">
      <c r="A493" s="23"/>
      <c r="B493" s="23"/>
      <c r="C493" s="23"/>
      <c r="D493" s="23"/>
      <c r="E493" s="22"/>
      <c r="F493" s="115"/>
      <c r="G493" s="116"/>
      <c r="H493" s="120"/>
      <c r="I493" s="181"/>
      <c r="J493" s="181"/>
      <c r="K493" s="200"/>
    </row>
    <row r="494" spans="1:11" s="21" customFormat="1" ht="12.75">
      <c r="A494" s="23"/>
      <c r="B494" s="23"/>
      <c r="C494" s="23"/>
      <c r="D494" s="23"/>
      <c r="E494" s="22"/>
      <c r="F494" s="115"/>
      <c r="G494" s="116"/>
      <c r="H494" s="120"/>
      <c r="I494" s="181"/>
      <c r="J494" s="181"/>
      <c r="K494" s="200"/>
    </row>
    <row r="495" spans="1:11" s="21" customFormat="1" ht="12.75">
      <c r="A495" s="23"/>
      <c r="B495" s="23"/>
      <c r="C495" s="23"/>
      <c r="D495" s="23"/>
      <c r="E495" s="22"/>
      <c r="F495" s="115"/>
      <c r="G495" s="116"/>
      <c r="H495" s="120"/>
      <c r="I495" s="181"/>
      <c r="J495" s="181"/>
      <c r="K495" s="200"/>
    </row>
    <row r="496" spans="1:11" s="21" customFormat="1" ht="12.75">
      <c r="A496" s="23"/>
      <c r="B496" s="23"/>
      <c r="C496" s="23"/>
      <c r="D496" s="23"/>
      <c r="E496" s="22"/>
      <c r="F496" s="115"/>
      <c r="G496" s="116"/>
      <c r="H496" s="120"/>
      <c r="I496" s="181"/>
      <c r="J496" s="181"/>
      <c r="K496" s="200"/>
    </row>
    <row r="497" spans="1:11" s="21" customFormat="1" ht="12.75">
      <c r="A497" s="23"/>
      <c r="B497" s="23"/>
      <c r="C497" s="23"/>
      <c r="D497" s="23"/>
      <c r="E497" s="22"/>
      <c r="F497" s="115"/>
      <c r="G497" s="116"/>
      <c r="H497" s="120"/>
      <c r="I497" s="181"/>
      <c r="J497" s="181"/>
      <c r="K497" s="200"/>
    </row>
    <row r="498" spans="1:11" s="21" customFormat="1" ht="12.75">
      <c r="A498" s="23"/>
      <c r="B498" s="23"/>
      <c r="C498" s="23"/>
      <c r="D498" s="23"/>
      <c r="E498" s="22"/>
      <c r="F498" s="115"/>
      <c r="G498" s="116"/>
      <c r="H498" s="120"/>
      <c r="I498" s="181"/>
      <c r="J498" s="181"/>
      <c r="K498" s="200"/>
    </row>
    <row r="499" spans="1:11" s="21" customFormat="1" ht="12.75">
      <c r="A499" s="23"/>
      <c r="B499" s="23"/>
      <c r="C499" s="23"/>
      <c r="D499" s="23"/>
      <c r="E499" s="22"/>
      <c r="F499" s="115"/>
      <c r="G499" s="116"/>
      <c r="H499" s="120"/>
      <c r="I499" s="181"/>
      <c r="J499" s="181"/>
      <c r="K499" s="200"/>
    </row>
    <row r="500" spans="1:11" s="21" customFormat="1" ht="12.75">
      <c r="A500" s="23"/>
      <c r="B500" s="23"/>
      <c r="C500" s="23"/>
      <c r="D500" s="23"/>
      <c r="E500" s="22"/>
      <c r="F500" s="115"/>
      <c r="G500" s="116"/>
      <c r="H500" s="120"/>
      <c r="I500" s="181"/>
      <c r="J500" s="181"/>
      <c r="K500" s="200"/>
    </row>
    <row r="501" spans="1:11" s="21" customFormat="1" ht="12.75">
      <c r="A501" s="23"/>
      <c r="B501" s="23"/>
      <c r="C501" s="23"/>
      <c r="D501" s="23"/>
      <c r="E501" s="22"/>
      <c r="F501" s="115"/>
      <c r="G501" s="116"/>
      <c r="H501" s="120"/>
      <c r="I501" s="181"/>
      <c r="J501" s="181"/>
      <c r="K501" s="200"/>
    </row>
    <row r="502" spans="1:11" s="21" customFormat="1" ht="12.75">
      <c r="A502" s="23"/>
      <c r="B502" s="23"/>
      <c r="C502" s="23"/>
      <c r="D502" s="23"/>
      <c r="E502" s="22"/>
      <c r="F502" s="115"/>
      <c r="G502" s="116"/>
      <c r="H502" s="120"/>
      <c r="I502" s="181"/>
      <c r="J502" s="181"/>
      <c r="K502" s="200"/>
    </row>
    <row r="503" spans="1:11" s="21" customFormat="1" ht="12.75">
      <c r="A503" s="23"/>
      <c r="B503" s="23"/>
      <c r="C503" s="23"/>
      <c r="D503" s="23"/>
      <c r="E503" s="22"/>
      <c r="F503" s="115"/>
      <c r="G503" s="116"/>
      <c r="H503" s="120"/>
      <c r="I503" s="181"/>
      <c r="J503" s="181"/>
      <c r="K503" s="200"/>
    </row>
    <row r="504" spans="1:11" s="21" customFormat="1" ht="12.75">
      <c r="A504" s="23"/>
      <c r="B504" s="23"/>
      <c r="C504" s="23"/>
      <c r="D504" s="23"/>
      <c r="E504" s="22"/>
      <c r="F504" s="115"/>
      <c r="G504" s="116"/>
      <c r="H504" s="120"/>
      <c r="I504" s="181"/>
      <c r="J504" s="181"/>
      <c r="K504" s="200"/>
    </row>
    <row r="505" spans="1:11" s="21" customFormat="1" ht="12.75">
      <c r="A505" s="23"/>
      <c r="B505" s="23"/>
      <c r="C505" s="23"/>
      <c r="D505" s="23"/>
      <c r="E505" s="22"/>
      <c r="F505" s="115"/>
      <c r="G505" s="116"/>
      <c r="H505" s="120"/>
      <c r="I505" s="181"/>
      <c r="J505" s="181"/>
      <c r="K505" s="200"/>
    </row>
    <row r="506" spans="1:11" s="21" customFormat="1" ht="12.75">
      <c r="A506" s="23"/>
      <c r="B506" s="23"/>
      <c r="C506" s="23"/>
      <c r="D506" s="23"/>
      <c r="E506" s="22"/>
      <c r="F506" s="115"/>
      <c r="G506" s="116"/>
      <c r="H506" s="120"/>
      <c r="I506" s="181"/>
      <c r="J506" s="181"/>
      <c r="K506" s="200"/>
    </row>
    <row r="507" spans="1:11" s="21" customFormat="1" ht="12.75">
      <c r="A507" s="23"/>
      <c r="B507" s="23"/>
      <c r="C507" s="23"/>
      <c r="D507" s="23"/>
      <c r="E507" s="22"/>
      <c r="F507" s="115"/>
      <c r="G507" s="116"/>
      <c r="H507" s="120"/>
      <c r="I507" s="181"/>
      <c r="J507" s="181"/>
      <c r="K507" s="200"/>
    </row>
    <row r="508" spans="1:11" s="21" customFormat="1" ht="12.75">
      <c r="A508" s="23"/>
      <c r="B508" s="23"/>
      <c r="C508" s="23"/>
      <c r="D508" s="23"/>
      <c r="E508" s="22"/>
      <c r="F508" s="115"/>
      <c r="G508" s="116"/>
      <c r="H508" s="120"/>
      <c r="I508" s="181"/>
      <c r="J508" s="181"/>
      <c r="K508" s="200"/>
    </row>
    <row r="509" spans="1:11" s="21" customFormat="1" ht="12.75">
      <c r="A509" s="23"/>
      <c r="B509" s="23"/>
      <c r="C509" s="23"/>
      <c r="D509" s="23"/>
      <c r="E509" s="22"/>
      <c r="F509" s="115"/>
      <c r="G509" s="116"/>
      <c r="H509" s="120"/>
      <c r="I509" s="181"/>
      <c r="J509" s="181"/>
      <c r="K509" s="200"/>
    </row>
    <row r="510" spans="1:11" s="21" customFormat="1" ht="12.75">
      <c r="A510" s="23"/>
      <c r="B510" s="23"/>
      <c r="C510" s="23"/>
      <c r="D510" s="23"/>
      <c r="E510" s="22"/>
      <c r="F510" s="115"/>
      <c r="G510" s="116"/>
      <c r="H510" s="120"/>
      <c r="I510" s="181"/>
      <c r="J510" s="181"/>
      <c r="K510" s="200"/>
    </row>
    <row r="511" spans="1:11" s="21" customFormat="1" ht="12.75">
      <c r="A511" s="23"/>
      <c r="B511" s="23"/>
      <c r="C511" s="23"/>
      <c r="D511" s="23"/>
      <c r="E511" s="22"/>
      <c r="F511" s="115"/>
      <c r="G511" s="116"/>
      <c r="H511" s="120"/>
      <c r="I511" s="181"/>
      <c r="J511" s="181"/>
      <c r="K511" s="200"/>
    </row>
    <row r="512" spans="1:11" s="21" customFormat="1" ht="12.75">
      <c r="A512" s="23"/>
      <c r="B512" s="23"/>
      <c r="C512" s="23"/>
      <c r="D512" s="23"/>
      <c r="E512" s="22"/>
      <c r="F512" s="115"/>
      <c r="G512" s="116"/>
      <c r="H512" s="120"/>
      <c r="I512" s="181"/>
      <c r="J512" s="181"/>
      <c r="K512" s="200"/>
    </row>
    <row r="513" spans="1:11" s="21" customFormat="1" ht="12.75">
      <c r="A513" s="23"/>
      <c r="B513" s="23"/>
      <c r="C513" s="23"/>
      <c r="D513" s="23"/>
      <c r="E513" s="22"/>
      <c r="F513" s="115"/>
      <c r="G513" s="116"/>
      <c r="H513" s="120"/>
      <c r="I513" s="181"/>
      <c r="J513" s="181"/>
      <c r="K513" s="200"/>
    </row>
    <row r="514" spans="1:11" s="21" customFormat="1" ht="12.75">
      <c r="A514" s="23"/>
      <c r="B514" s="23"/>
      <c r="C514" s="23"/>
      <c r="D514" s="23"/>
      <c r="E514" s="22"/>
      <c r="F514" s="115"/>
      <c r="G514" s="116"/>
      <c r="H514" s="120"/>
      <c r="I514" s="181"/>
      <c r="J514" s="181"/>
      <c r="K514" s="200"/>
    </row>
    <row r="515" spans="1:11" s="21" customFormat="1" ht="12.75">
      <c r="A515" s="23"/>
      <c r="B515" s="23"/>
      <c r="C515" s="23"/>
      <c r="D515" s="23"/>
      <c r="E515" s="22"/>
      <c r="F515" s="115"/>
      <c r="G515" s="116"/>
      <c r="H515" s="120"/>
      <c r="I515" s="181"/>
      <c r="J515" s="181"/>
      <c r="K515" s="200"/>
    </row>
    <row r="516" spans="1:11" s="21" customFormat="1" ht="12.75">
      <c r="A516" s="23"/>
      <c r="B516" s="23"/>
      <c r="C516" s="23"/>
      <c r="D516" s="23"/>
      <c r="E516" s="22"/>
      <c r="F516" s="115"/>
      <c r="G516" s="116"/>
      <c r="H516" s="120"/>
      <c r="I516" s="181"/>
      <c r="J516" s="181"/>
      <c r="K516" s="200"/>
    </row>
    <row r="517" spans="1:11" s="21" customFormat="1" ht="12.75">
      <c r="A517" s="23"/>
      <c r="B517" s="23"/>
      <c r="C517" s="23"/>
      <c r="D517" s="23"/>
      <c r="E517" s="22"/>
      <c r="F517" s="115"/>
      <c r="G517" s="116"/>
      <c r="H517" s="120"/>
      <c r="I517" s="181"/>
      <c r="J517" s="181"/>
      <c r="K517" s="200"/>
    </row>
    <row r="518" spans="1:11" s="21" customFormat="1" ht="12.75">
      <c r="A518" s="23"/>
      <c r="B518" s="23"/>
      <c r="C518" s="23"/>
      <c r="D518" s="23"/>
      <c r="E518" s="22"/>
      <c r="F518" s="115"/>
      <c r="G518" s="116"/>
      <c r="H518" s="120"/>
      <c r="I518" s="181"/>
      <c r="J518" s="181"/>
      <c r="K518" s="200"/>
    </row>
    <row r="519" spans="1:11" s="21" customFormat="1" ht="12.75">
      <c r="A519" s="23"/>
      <c r="B519" s="23"/>
      <c r="C519" s="23"/>
      <c r="D519" s="23"/>
      <c r="E519" s="22"/>
      <c r="F519" s="115"/>
      <c r="G519" s="116"/>
      <c r="H519" s="120"/>
      <c r="I519" s="181"/>
      <c r="J519" s="181"/>
      <c r="K519" s="200"/>
    </row>
    <row r="520" spans="1:11" s="21" customFormat="1" ht="12.75">
      <c r="A520" s="23"/>
      <c r="B520" s="23"/>
      <c r="C520" s="23"/>
      <c r="D520" s="23"/>
      <c r="E520" s="22"/>
      <c r="F520" s="115"/>
      <c r="G520" s="116"/>
      <c r="H520" s="120"/>
      <c r="I520" s="181"/>
      <c r="J520" s="181"/>
      <c r="K520" s="200"/>
    </row>
    <row r="521" spans="1:11" s="21" customFormat="1" ht="12.75">
      <c r="A521" s="23"/>
      <c r="B521" s="23"/>
      <c r="C521" s="23"/>
      <c r="D521" s="23"/>
      <c r="E521" s="22"/>
      <c r="F521" s="115"/>
      <c r="G521" s="116"/>
      <c r="H521" s="120"/>
      <c r="I521" s="181"/>
      <c r="J521" s="181"/>
      <c r="K521" s="200"/>
    </row>
    <row r="522" spans="1:11" s="21" customFormat="1" ht="12.75">
      <c r="A522" s="23"/>
      <c r="B522" s="23"/>
      <c r="C522" s="23"/>
      <c r="D522" s="23"/>
      <c r="E522" s="22"/>
      <c r="F522" s="115"/>
      <c r="G522" s="116"/>
      <c r="H522" s="120"/>
      <c r="I522" s="181"/>
      <c r="J522" s="181"/>
      <c r="K522" s="200"/>
    </row>
    <row r="523" spans="1:11" s="21" customFormat="1" ht="12.75">
      <c r="A523" s="23"/>
      <c r="B523" s="23"/>
      <c r="C523" s="23"/>
      <c r="D523" s="23"/>
      <c r="E523" s="22"/>
      <c r="F523" s="115"/>
      <c r="G523" s="116"/>
      <c r="H523" s="120"/>
      <c r="I523" s="181"/>
      <c r="J523" s="181"/>
      <c r="K523" s="200"/>
    </row>
    <row r="524" spans="1:11" s="21" customFormat="1" ht="12.75">
      <c r="A524" s="23"/>
      <c r="B524" s="23"/>
      <c r="C524" s="23"/>
      <c r="D524" s="23"/>
      <c r="E524" s="22"/>
      <c r="F524" s="115"/>
      <c r="G524" s="116"/>
      <c r="H524" s="120"/>
      <c r="I524" s="181"/>
      <c r="J524" s="181"/>
      <c r="K524" s="200"/>
    </row>
    <row r="525" spans="1:11" s="21" customFormat="1" ht="12.75">
      <c r="A525" s="23"/>
      <c r="B525" s="23"/>
      <c r="C525" s="23"/>
      <c r="D525" s="23"/>
      <c r="E525" s="22"/>
      <c r="F525" s="115"/>
      <c r="G525" s="116"/>
      <c r="H525" s="120"/>
      <c r="I525" s="181"/>
      <c r="J525" s="181"/>
      <c r="K525" s="200"/>
    </row>
    <row r="526" spans="1:11" s="21" customFormat="1" ht="12.75">
      <c r="A526" s="23"/>
      <c r="B526" s="23"/>
      <c r="C526" s="23"/>
      <c r="D526" s="23"/>
      <c r="E526" s="22"/>
      <c r="F526" s="115"/>
      <c r="G526" s="116"/>
      <c r="H526" s="120"/>
      <c r="I526" s="181"/>
      <c r="J526" s="181"/>
      <c r="K526" s="200"/>
    </row>
    <row r="527" spans="1:11" s="21" customFormat="1" ht="12.75">
      <c r="A527" s="23"/>
      <c r="B527" s="23"/>
      <c r="C527" s="23"/>
      <c r="D527" s="23"/>
      <c r="E527" s="22"/>
      <c r="F527" s="115"/>
      <c r="G527" s="116"/>
      <c r="H527" s="120"/>
      <c r="I527" s="181"/>
      <c r="J527" s="181"/>
      <c r="K527" s="200"/>
    </row>
    <row r="528" spans="1:11" s="21" customFormat="1" ht="12.75">
      <c r="A528" s="23"/>
      <c r="B528" s="23"/>
      <c r="C528" s="23"/>
      <c r="D528" s="23"/>
      <c r="E528" s="22"/>
      <c r="F528" s="115"/>
      <c r="G528" s="116"/>
      <c r="H528" s="120"/>
      <c r="I528" s="181"/>
      <c r="J528" s="181"/>
      <c r="K528" s="200"/>
    </row>
    <row r="529" spans="1:11" s="21" customFormat="1" ht="12.75">
      <c r="A529" s="23"/>
      <c r="B529" s="23"/>
      <c r="C529" s="23"/>
      <c r="D529" s="23"/>
      <c r="E529" s="22"/>
      <c r="F529" s="115"/>
      <c r="G529" s="116"/>
      <c r="H529" s="120"/>
      <c r="I529" s="181"/>
      <c r="J529" s="181"/>
      <c r="K529" s="200"/>
    </row>
    <row r="530" spans="1:11" s="21" customFormat="1" ht="12.75">
      <c r="A530" s="23"/>
      <c r="B530" s="23"/>
      <c r="C530" s="23"/>
      <c r="D530" s="23"/>
      <c r="E530" s="22"/>
      <c r="F530" s="115"/>
      <c r="G530" s="116"/>
      <c r="H530" s="120"/>
      <c r="I530" s="181"/>
      <c r="J530" s="181"/>
      <c r="K530" s="200"/>
    </row>
    <row r="531" spans="1:11" s="21" customFormat="1" ht="12.75">
      <c r="A531" s="23"/>
      <c r="B531" s="23"/>
      <c r="C531" s="23"/>
      <c r="D531" s="23"/>
      <c r="E531" s="22"/>
      <c r="F531" s="115"/>
      <c r="G531" s="116"/>
      <c r="H531" s="120"/>
      <c r="I531" s="181"/>
      <c r="J531" s="181"/>
      <c r="K531" s="200"/>
    </row>
    <row r="532" spans="1:11" s="21" customFormat="1" ht="12.75">
      <c r="A532" s="23"/>
      <c r="B532" s="23"/>
      <c r="C532" s="23"/>
      <c r="D532" s="23"/>
      <c r="E532" s="22"/>
      <c r="F532" s="115"/>
      <c r="G532" s="116"/>
      <c r="H532" s="120"/>
      <c r="I532" s="181"/>
      <c r="J532" s="181"/>
      <c r="K532" s="200"/>
    </row>
    <row r="533" spans="1:11" s="21" customFormat="1" ht="12.75">
      <c r="A533" s="23"/>
      <c r="B533" s="23"/>
      <c r="C533" s="23"/>
      <c r="D533" s="23"/>
      <c r="E533" s="22"/>
      <c r="F533" s="115"/>
      <c r="G533" s="116"/>
      <c r="H533" s="120"/>
      <c r="I533" s="181"/>
      <c r="J533" s="181"/>
      <c r="K533" s="200"/>
    </row>
    <row r="534" spans="1:11" s="21" customFormat="1" ht="12.75">
      <c r="A534" s="23"/>
      <c r="B534" s="23"/>
      <c r="C534" s="23"/>
      <c r="D534" s="23"/>
      <c r="E534" s="22"/>
      <c r="F534" s="115"/>
      <c r="G534" s="116"/>
      <c r="H534" s="120"/>
      <c r="I534" s="181"/>
      <c r="J534" s="181"/>
      <c r="K534" s="200"/>
    </row>
    <row r="535" spans="1:11" s="21" customFormat="1" ht="12.75">
      <c r="A535" s="23"/>
      <c r="B535" s="23"/>
      <c r="C535" s="23"/>
      <c r="D535" s="23"/>
      <c r="E535" s="22"/>
      <c r="F535" s="115"/>
      <c r="G535" s="116"/>
      <c r="H535" s="120"/>
      <c r="I535" s="181"/>
      <c r="J535" s="181"/>
      <c r="K535" s="200"/>
    </row>
    <row r="536" spans="1:11" s="21" customFormat="1" ht="12.75">
      <c r="A536" s="23"/>
      <c r="B536" s="23"/>
      <c r="C536" s="23"/>
      <c r="D536" s="23"/>
      <c r="E536" s="22"/>
      <c r="F536" s="115"/>
      <c r="G536" s="116"/>
      <c r="H536" s="120"/>
      <c r="I536" s="181"/>
      <c r="J536" s="181"/>
      <c r="K536" s="200"/>
    </row>
    <row r="537" spans="1:11" s="21" customFormat="1" ht="12.75">
      <c r="A537" s="23"/>
      <c r="B537" s="23"/>
      <c r="C537" s="23"/>
      <c r="D537" s="23"/>
      <c r="E537" s="22"/>
      <c r="F537" s="115"/>
      <c r="G537" s="116"/>
      <c r="H537" s="120"/>
      <c r="I537" s="181"/>
      <c r="J537" s="181"/>
      <c r="K537" s="200"/>
    </row>
    <row r="538" spans="1:11" s="21" customFormat="1" ht="12.75">
      <c r="A538" s="23"/>
      <c r="B538" s="23"/>
      <c r="C538" s="23"/>
      <c r="D538" s="23"/>
      <c r="E538" s="22"/>
      <c r="F538" s="115"/>
      <c r="G538" s="116"/>
      <c r="H538" s="120"/>
      <c r="I538" s="181"/>
      <c r="J538" s="181"/>
      <c r="K538" s="200"/>
    </row>
    <row r="539" spans="1:11" s="21" customFormat="1" ht="12.75">
      <c r="A539" s="23"/>
      <c r="B539" s="23"/>
      <c r="C539" s="23"/>
      <c r="D539" s="23"/>
      <c r="E539" s="22"/>
      <c r="F539" s="115"/>
      <c r="G539" s="116"/>
      <c r="H539" s="120"/>
      <c r="I539" s="181"/>
      <c r="J539" s="181"/>
      <c r="K539" s="200"/>
    </row>
    <row r="540" spans="1:11" s="21" customFormat="1" ht="12.75">
      <c r="A540" s="23"/>
      <c r="B540" s="23"/>
      <c r="C540" s="23"/>
      <c r="D540" s="23"/>
      <c r="E540" s="22"/>
      <c r="F540" s="115"/>
      <c r="G540" s="116"/>
      <c r="H540" s="120"/>
      <c r="I540" s="181"/>
      <c r="J540" s="181"/>
      <c r="K540" s="200"/>
    </row>
    <row r="541" spans="1:11" s="21" customFormat="1" ht="12.75">
      <c r="A541" s="23"/>
      <c r="B541" s="23"/>
      <c r="C541" s="23"/>
      <c r="D541" s="23"/>
      <c r="E541" s="22"/>
      <c r="F541" s="115"/>
      <c r="G541" s="116"/>
      <c r="H541" s="120"/>
      <c r="I541" s="181"/>
      <c r="J541" s="181"/>
      <c r="K541" s="200"/>
    </row>
    <row r="542" spans="1:11" s="21" customFormat="1" ht="12.75">
      <c r="A542" s="23"/>
      <c r="B542" s="23"/>
      <c r="C542" s="23"/>
      <c r="D542" s="23"/>
      <c r="E542" s="22"/>
      <c r="F542" s="115"/>
      <c r="G542" s="116"/>
      <c r="H542" s="120"/>
      <c r="I542" s="181"/>
      <c r="J542" s="181"/>
      <c r="K542" s="200"/>
    </row>
    <row r="543" spans="1:11" s="21" customFormat="1" ht="12.75">
      <c r="A543" s="23"/>
      <c r="B543" s="23"/>
      <c r="C543" s="23"/>
      <c r="D543" s="23"/>
      <c r="E543" s="22"/>
      <c r="F543" s="115"/>
      <c r="G543" s="116"/>
      <c r="H543" s="120"/>
      <c r="I543" s="181"/>
      <c r="J543" s="181"/>
      <c r="K543" s="200"/>
    </row>
    <row r="544" spans="1:11" s="21" customFormat="1" ht="12.75">
      <c r="A544" s="23"/>
      <c r="B544" s="23"/>
      <c r="C544" s="23"/>
      <c r="D544" s="23"/>
      <c r="E544" s="22"/>
      <c r="F544" s="115"/>
      <c r="G544" s="116"/>
      <c r="H544" s="120"/>
      <c r="I544" s="181"/>
      <c r="J544" s="181"/>
      <c r="K544" s="200"/>
    </row>
    <row r="545" spans="1:11" s="21" customFormat="1" ht="12.75">
      <c r="A545" s="23"/>
      <c r="B545" s="23"/>
      <c r="C545" s="23"/>
      <c r="D545" s="23"/>
      <c r="E545" s="22"/>
      <c r="F545" s="115"/>
      <c r="G545" s="116"/>
      <c r="H545" s="120"/>
      <c r="I545" s="181"/>
      <c r="J545" s="181"/>
      <c r="K545" s="200"/>
    </row>
    <row r="546" spans="1:11" s="21" customFormat="1" ht="12.75">
      <c r="A546" s="23"/>
      <c r="B546" s="23"/>
      <c r="C546" s="23"/>
      <c r="D546" s="23"/>
      <c r="E546" s="22"/>
      <c r="F546" s="115"/>
      <c r="G546" s="116"/>
      <c r="H546" s="120"/>
      <c r="I546" s="181"/>
      <c r="J546" s="181"/>
      <c r="K546" s="200"/>
    </row>
    <row r="547" spans="1:11" s="21" customFormat="1" ht="12.75">
      <c r="A547" s="23"/>
      <c r="B547" s="23"/>
      <c r="C547" s="23"/>
      <c r="D547" s="23"/>
      <c r="E547" s="22"/>
      <c r="F547" s="115"/>
      <c r="G547" s="116"/>
      <c r="H547" s="120"/>
      <c r="I547" s="181"/>
      <c r="J547" s="181"/>
      <c r="K547" s="200"/>
    </row>
    <row r="548" spans="1:11" s="21" customFormat="1" ht="12.75">
      <c r="A548" s="23"/>
      <c r="B548" s="23"/>
      <c r="C548" s="23"/>
      <c r="D548" s="23"/>
      <c r="E548" s="22"/>
      <c r="F548" s="115"/>
      <c r="G548" s="116"/>
      <c r="H548" s="120"/>
      <c r="I548" s="181"/>
      <c r="J548" s="181"/>
      <c r="K548" s="200"/>
    </row>
    <row r="549" spans="1:11" s="21" customFormat="1" ht="12.75">
      <c r="A549" s="23"/>
      <c r="B549" s="23"/>
      <c r="C549" s="23"/>
      <c r="D549" s="23"/>
      <c r="E549" s="22"/>
      <c r="F549" s="115"/>
      <c r="G549" s="116"/>
      <c r="H549" s="120"/>
      <c r="I549" s="181"/>
      <c r="J549" s="181"/>
      <c r="K549" s="200"/>
    </row>
    <row r="550" spans="1:11" s="21" customFormat="1" ht="12.75">
      <c r="A550" s="23"/>
      <c r="B550" s="23"/>
      <c r="C550" s="23"/>
      <c r="D550" s="23"/>
      <c r="E550" s="22"/>
      <c r="F550" s="115"/>
      <c r="G550" s="116"/>
      <c r="H550" s="120"/>
      <c r="I550" s="181"/>
      <c r="J550" s="181"/>
      <c r="K550" s="200"/>
    </row>
    <row r="551" spans="1:11" s="21" customFormat="1" ht="12.75">
      <c r="A551" s="23"/>
      <c r="B551" s="23"/>
      <c r="C551" s="23"/>
      <c r="D551" s="23"/>
      <c r="E551" s="22"/>
      <c r="F551" s="115"/>
      <c r="G551" s="116"/>
      <c r="H551" s="120"/>
      <c r="I551" s="181"/>
      <c r="J551" s="181"/>
      <c r="K551" s="200"/>
    </row>
    <row r="552" spans="1:11" s="21" customFormat="1" ht="12.75">
      <c r="A552" s="23"/>
      <c r="B552" s="23"/>
      <c r="C552" s="23"/>
      <c r="D552" s="23"/>
      <c r="E552" s="22"/>
      <c r="F552" s="115"/>
      <c r="G552" s="116"/>
      <c r="H552" s="120"/>
      <c r="I552" s="181"/>
      <c r="J552" s="181"/>
      <c r="K552" s="200"/>
    </row>
    <row r="553" spans="1:11" s="21" customFormat="1" ht="12.75">
      <c r="A553" s="23"/>
      <c r="B553" s="23"/>
      <c r="C553" s="23"/>
      <c r="D553" s="23"/>
      <c r="E553" s="22"/>
      <c r="F553" s="115"/>
      <c r="G553" s="116"/>
      <c r="H553" s="120"/>
      <c r="I553" s="181"/>
      <c r="J553" s="181"/>
      <c r="K553" s="200"/>
    </row>
    <row r="554" spans="1:11" s="21" customFormat="1" ht="12.75">
      <c r="A554" s="23"/>
      <c r="B554" s="23"/>
      <c r="C554" s="23"/>
      <c r="D554" s="23"/>
      <c r="E554" s="22"/>
      <c r="F554" s="115"/>
      <c r="G554" s="116"/>
      <c r="H554" s="120"/>
      <c r="I554" s="181"/>
      <c r="J554" s="181"/>
      <c r="K554" s="200"/>
    </row>
    <row r="555" spans="1:11" s="21" customFormat="1" ht="12.75">
      <c r="A555" s="23"/>
      <c r="B555" s="23"/>
      <c r="C555" s="23"/>
      <c r="D555" s="23"/>
      <c r="E555" s="22"/>
      <c r="F555" s="115"/>
      <c r="G555" s="116"/>
      <c r="H555" s="120"/>
      <c r="I555" s="181"/>
      <c r="J555" s="181"/>
      <c r="K555" s="200"/>
    </row>
    <row r="556" spans="1:11" s="21" customFormat="1" ht="12.75">
      <c r="A556" s="23"/>
      <c r="B556" s="23"/>
      <c r="C556" s="23"/>
      <c r="D556" s="23"/>
      <c r="E556" s="22"/>
      <c r="F556" s="115"/>
      <c r="G556" s="116"/>
      <c r="H556" s="120"/>
      <c r="I556" s="181"/>
      <c r="J556" s="181"/>
      <c r="K556" s="200"/>
    </row>
    <row r="557" spans="1:11" s="21" customFormat="1" ht="12.75">
      <c r="A557" s="23"/>
      <c r="B557" s="23"/>
      <c r="C557" s="23"/>
      <c r="D557" s="23"/>
      <c r="E557" s="22"/>
      <c r="F557" s="115"/>
      <c r="G557" s="116"/>
      <c r="H557" s="120"/>
      <c r="I557" s="181"/>
      <c r="J557" s="181"/>
      <c r="K557" s="200"/>
    </row>
    <row r="558" spans="1:11" s="21" customFormat="1" ht="12.75">
      <c r="A558" s="23"/>
      <c r="B558" s="23"/>
      <c r="C558" s="23"/>
      <c r="D558" s="23"/>
      <c r="E558" s="22"/>
      <c r="F558" s="115"/>
      <c r="G558" s="116"/>
      <c r="H558" s="120"/>
      <c r="I558" s="181"/>
      <c r="J558" s="181"/>
      <c r="K558" s="200"/>
    </row>
    <row r="559" spans="1:11" s="21" customFormat="1" ht="12.75">
      <c r="A559" s="23"/>
      <c r="B559" s="23"/>
      <c r="C559" s="23"/>
      <c r="D559" s="23"/>
      <c r="E559" s="22"/>
      <c r="F559" s="115"/>
      <c r="G559" s="116"/>
      <c r="H559" s="120"/>
      <c r="I559" s="181"/>
      <c r="J559" s="181"/>
      <c r="K559" s="200"/>
    </row>
    <row r="560" spans="1:11" s="21" customFormat="1" ht="12.75">
      <c r="A560" s="23"/>
      <c r="B560" s="23"/>
      <c r="C560" s="23"/>
      <c r="D560" s="23"/>
      <c r="E560" s="22"/>
      <c r="F560" s="115"/>
      <c r="G560" s="116"/>
      <c r="H560" s="120"/>
      <c r="I560" s="181"/>
      <c r="J560" s="181"/>
      <c r="K560" s="200"/>
    </row>
    <row r="561" spans="1:11" s="21" customFormat="1" ht="12.75">
      <c r="A561" s="23"/>
      <c r="B561" s="23"/>
      <c r="C561" s="23"/>
      <c r="D561" s="23"/>
      <c r="E561" s="22"/>
      <c r="F561" s="115"/>
      <c r="G561" s="116"/>
      <c r="H561" s="120"/>
      <c r="I561" s="181"/>
      <c r="J561" s="181"/>
      <c r="K561" s="200"/>
    </row>
    <row r="562" spans="1:11" s="21" customFormat="1" ht="12.75">
      <c r="A562" s="23"/>
      <c r="B562" s="23"/>
      <c r="C562" s="23"/>
      <c r="D562" s="23"/>
      <c r="E562" s="22"/>
      <c r="F562" s="115"/>
      <c r="G562" s="116"/>
      <c r="H562" s="120"/>
      <c r="I562" s="181"/>
      <c r="J562" s="181"/>
      <c r="K562" s="200"/>
    </row>
    <row r="563" spans="1:11" s="21" customFormat="1" ht="12.75">
      <c r="A563" s="23"/>
      <c r="B563" s="23"/>
      <c r="C563" s="23"/>
      <c r="D563" s="23"/>
      <c r="E563" s="22"/>
      <c r="F563" s="115"/>
      <c r="G563" s="116"/>
      <c r="H563" s="120"/>
      <c r="I563" s="181"/>
      <c r="J563" s="181"/>
      <c r="K563" s="200"/>
    </row>
    <row r="564" spans="1:11" s="21" customFormat="1" ht="12.75">
      <c r="A564" s="23"/>
      <c r="B564" s="23"/>
      <c r="C564" s="23"/>
      <c r="D564" s="23"/>
      <c r="E564" s="22"/>
      <c r="F564" s="115"/>
      <c r="G564" s="116"/>
      <c r="H564" s="120"/>
      <c r="I564" s="181"/>
      <c r="J564" s="181"/>
      <c r="K564" s="200"/>
    </row>
    <row r="565" spans="1:11" s="21" customFormat="1" ht="12.75">
      <c r="A565" s="23"/>
      <c r="B565" s="23"/>
      <c r="C565" s="23"/>
      <c r="D565" s="23"/>
      <c r="E565" s="22"/>
      <c r="F565" s="115"/>
      <c r="G565" s="116"/>
      <c r="H565" s="120"/>
      <c r="I565" s="181"/>
      <c r="J565" s="181"/>
      <c r="K565" s="200"/>
    </row>
    <row r="566" spans="1:11" s="21" customFormat="1" ht="12.75">
      <c r="A566" s="23"/>
      <c r="B566" s="23"/>
      <c r="C566" s="23"/>
      <c r="D566" s="23"/>
      <c r="E566" s="22"/>
      <c r="F566" s="115"/>
      <c r="G566" s="116"/>
      <c r="H566" s="120"/>
      <c r="I566" s="181"/>
      <c r="J566" s="181"/>
      <c r="K566" s="200"/>
    </row>
    <row r="567" spans="1:11" s="21" customFormat="1" ht="12.75">
      <c r="A567" s="23"/>
      <c r="B567" s="23"/>
      <c r="C567" s="23"/>
      <c r="D567" s="23"/>
      <c r="E567" s="22"/>
      <c r="F567" s="115"/>
      <c r="G567" s="116"/>
      <c r="H567" s="120"/>
      <c r="I567" s="181"/>
      <c r="J567" s="181"/>
      <c r="K567" s="200"/>
    </row>
    <row r="568" spans="1:11" s="21" customFormat="1" ht="12.75">
      <c r="A568" s="23"/>
      <c r="B568" s="23"/>
      <c r="C568" s="23"/>
      <c r="D568" s="23"/>
      <c r="E568" s="22"/>
      <c r="F568" s="115"/>
      <c r="G568" s="116"/>
      <c r="H568" s="120"/>
      <c r="I568" s="181"/>
      <c r="J568" s="181"/>
      <c r="K568" s="200"/>
    </row>
    <row r="569" spans="1:11" s="21" customFormat="1" ht="12.75">
      <c r="A569" s="23"/>
      <c r="B569" s="23"/>
      <c r="C569" s="23"/>
      <c r="D569" s="23"/>
      <c r="E569" s="22"/>
      <c r="F569" s="115"/>
      <c r="G569" s="116"/>
      <c r="H569" s="120"/>
      <c r="I569" s="181"/>
      <c r="J569" s="181"/>
      <c r="K569" s="200"/>
    </row>
    <row r="570" spans="1:11" s="21" customFormat="1" ht="12.75">
      <c r="A570" s="23"/>
      <c r="B570" s="23"/>
      <c r="C570" s="23"/>
      <c r="D570" s="23"/>
      <c r="E570" s="22"/>
      <c r="F570" s="115"/>
      <c r="G570" s="116"/>
      <c r="H570" s="120"/>
      <c r="I570" s="181"/>
      <c r="J570" s="181"/>
      <c r="K570" s="200"/>
    </row>
    <row r="571" spans="1:11" s="21" customFormat="1" ht="12.75">
      <c r="A571" s="23"/>
      <c r="B571" s="23"/>
      <c r="C571" s="23"/>
      <c r="D571" s="23"/>
      <c r="E571" s="22"/>
      <c r="F571" s="115"/>
      <c r="G571" s="116"/>
      <c r="H571" s="120"/>
      <c r="I571" s="181"/>
      <c r="J571" s="181"/>
      <c r="K571" s="200"/>
    </row>
    <row r="572" spans="1:11" s="21" customFormat="1" ht="12.75">
      <c r="A572" s="23"/>
      <c r="B572" s="23"/>
      <c r="C572" s="23"/>
      <c r="D572" s="23"/>
      <c r="E572" s="22"/>
      <c r="F572" s="115"/>
      <c r="G572" s="116"/>
      <c r="H572" s="120"/>
      <c r="I572" s="181"/>
      <c r="J572" s="181"/>
      <c r="K572" s="200"/>
    </row>
    <row r="573" spans="1:11" s="21" customFormat="1" ht="12.75">
      <c r="A573" s="23"/>
      <c r="B573" s="23"/>
      <c r="C573" s="23"/>
      <c r="D573" s="23"/>
      <c r="E573" s="22"/>
      <c r="F573" s="115"/>
      <c r="G573" s="116"/>
      <c r="H573" s="120"/>
      <c r="I573" s="181"/>
      <c r="J573" s="181"/>
      <c r="K573" s="200"/>
    </row>
    <row r="574" spans="1:11" s="21" customFormat="1" ht="12.75">
      <c r="A574" s="23"/>
      <c r="B574" s="23"/>
      <c r="C574" s="23"/>
      <c r="D574" s="23"/>
      <c r="E574" s="22"/>
      <c r="F574" s="115"/>
      <c r="G574" s="116"/>
      <c r="H574" s="120"/>
      <c r="I574" s="181"/>
      <c r="J574" s="181"/>
      <c r="K574" s="200"/>
    </row>
    <row r="575" spans="1:11" s="21" customFormat="1" ht="12.75">
      <c r="A575" s="23"/>
      <c r="B575" s="23"/>
      <c r="C575" s="23"/>
      <c r="D575" s="23"/>
      <c r="E575" s="22"/>
      <c r="F575" s="115"/>
      <c r="G575" s="116"/>
      <c r="H575" s="120"/>
      <c r="I575" s="181"/>
      <c r="J575" s="181"/>
      <c r="K575" s="200"/>
    </row>
    <row r="576" spans="1:11" s="21" customFormat="1" ht="12.75">
      <c r="A576" s="23"/>
      <c r="B576" s="23"/>
      <c r="C576" s="23"/>
      <c r="D576" s="23"/>
      <c r="E576" s="22"/>
      <c r="F576" s="115"/>
      <c r="G576" s="116"/>
      <c r="H576" s="120"/>
      <c r="I576" s="181"/>
      <c r="J576" s="181"/>
      <c r="K576" s="200"/>
    </row>
    <row r="577" spans="1:11" s="21" customFormat="1" ht="12.75">
      <c r="A577" s="23"/>
      <c r="B577" s="23"/>
      <c r="C577" s="23"/>
      <c r="D577" s="23"/>
      <c r="E577" s="22"/>
      <c r="F577" s="115"/>
      <c r="G577" s="116"/>
      <c r="H577" s="120"/>
      <c r="I577" s="181"/>
      <c r="J577" s="181"/>
      <c r="K577" s="200"/>
    </row>
    <row r="578" spans="1:11" s="21" customFormat="1" ht="12.75">
      <c r="A578" s="23"/>
      <c r="B578" s="23"/>
      <c r="C578" s="23"/>
      <c r="D578" s="23"/>
      <c r="E578" s="22"/>
      <c r="F578" s="115"/>
      <c r="G578" s="116"/>
      <c r="H578" s="120"/>
      <c r="I578" s="181"/>
      <c r="J578" s="181"/>
      <c r="K578" s="200"/>
    </row>
    <row r="579" spans="1:11" s="21" customFormat="1" ht="12.75">
      <c r="A579" s="23"/>
      <c r="B579" s="23"/>
      <c r="C579" s="23"/>
      <c r="D579" s="23"/>
      <c r="E579" s="22"/>
      <c r="F579" s="115"/>
      <c r="G579" s="116"/>
      <c r="H579" s="120"/>
      <c r="I579" s="181"/>
      <c r="J579" s="181"/>
      <c r="K579" s="200"/>
    </row>
    <row r="580" spans="1:11" s="21" customFormat="1" ht="12.75">
      <c r="A580" s="23"/>
      <c r="B580" s="23"/>
      <c r="C580" s="23"/>
      <c r="D580" s="23"/>
      <c r="E580" s="22"/>
      <c r="F580" s="115"/>
      <c r="G580" s="116"/>
      <c r="H580" s="120"/>
      <c r="I580" s="181"/>
      <c r="J580" s="181"/>
      <c r="K580" s="200"/>
    </row>
    <row r="581" spans="1:11" s="21" customFormat="1" ht="12.75">
      <c r="A581" s="23"/>
      <c r="B581" s="23"/>
      <c r="C581" s="23"/>
      <c r="D581" s="23"/>
      <c r="E581" s="22"/>
      <c r="F581" s="115"/>
      <c r="G581" s="116"/>
      <c r="H581" s="120"/>
      <c r="I581" s="181"/>
      <c r="J581" s="181"/>
      <c r="K581" s="200"/>
    </row>
    <row r="582" spans="1:11" s="21" customFormat="1" ht="12.75">
      <c r="A582" s="23"/>
      <c r="B582" s="23"/>
      <c r="C582" s="23"/>
      <c r="D582" s="23"/>
      <c r="E582" s="22"/>
      <c r="F582" s="115"/>
      <c r="G582" s="116"/>
      <c r="H582" s="120"/>
      <c r="I582" s="181"/>
      <c r="J582" s="181"/>
      <c r="K582" s="200"/>
    </row>
    <row r="583" spans="1:11" s="21" customFormat="1" ht="12.75">
      <c r="A583" s="23"/>
      <c r="B583" s="23"/>
      <c r="C583" s="23"/>
      <c r="D583" s="23"/>
      <c r="E583" s="22"/>
      <c r="F583" s="115"/>
      <c r="G583" s="116"/>
      <c r="H583" s="120"/>
      <c r="I583" s="181"/>
      <c r="J583" s="181"/>
      <c r="K583" s="200"/>
    </row>
    <row r="584" spans="1:11" s="21" customFormat="1" ht="12.75">
      <c r="A584" s="23"/>
      <c r="B584" s="23"/>
      <c r="C584" s="23"/>
      <c r="D584" s="23"/>
      <c r="E584" s="22"/>
      <c r="F584" s="115"/>
      <c r="G584" s="116"/>
      <c r="H584" s="120"/>
      <c r="I584" s="181"/>
      <c r="J584" s="181"/>
      <c r="K584" s="200"/>
    </row>
    <row r="585" spans="1:11" s="21" customFormat="1" ht="12.75">
      <c r="A585" s="23"/>
      <c r="B585" s="23"/>
      <c r="C585" s="23"/>
      <c r="D585" s="23"/>
      <c r="E585" s="22"/>
      <c r="F585" s="115"/>
      <c r="G585" s="116"/>
      <c r="H585" s="120"/>
      <c r="I585" s="181"/>
      <c r="J585" s="181"/>
      <c r="K585" s="200"/>
    </row>
    <row r="586" spans="1:11" s="21" customFormat="1" ht="12.75">
      <c r="A586" s="23"/>
      <c r="B586" s="23"/>
      <c r="C586" s="23"/>
      <c r="D586" s="23"/>
      <c r="E586" s="22"/>
      <c r="F586" s="115"/>
      <c r="G586" s="116"/>
      <c r="H586" s="120"/>
      <c r="I586" s="181"/>
      <c r="J586" s="181"/>
      <c r="K586" s="200"/>
    </row>
    <row r="587" spans="1:11" s="21" customFormat="1" ht="12.75">
      <c r="A587" s="23"/>
      <c r="B587" s="23"/>
      <c r="C587" s="23"/>
      <c r="D587" s="23"/>
      <c r="E587" s="22"/>
      <c r="F587" s="115"/>
      <c r="G587" s="116"/>
      <c r="H587" s="120"/>
      <c r="I587" s="181"/>
      <c r="J587" s="181"/>
      <c r="K587" s="200"/>
    </row>
    <row r="588" spans="1:11" s="21" customFormat="1" ht="12.75">
      <c r="A588" s="23"/>
      <c r="B588" s="23"/>
      <c r="C588" s="23"/>
      <c r="D588" s="23"/>
      <c r="E588" s="22"/>
      <c r="F588" s="115"/>
      <c r="G588" s="116"/>
      <c r="H588" s="120"/>
      <c r="I588" s="181"/>
      <c r="J588" s="181"/>
      <c r="K588" s="200"/>
    </row>
    <row r="589" spans="1:11" s="21" customFormat="1" ht="12.75">
      <c r="A589" s="23"/>
      <c r="B589" s="23"/>
      <c r="C589" s="23"/>
      <c r="D589" s="23"/>
      <c r="E589" s="22"/>
      <c r="F589" s="115"/>
      <c r="G589" s="116"/>
      <c r="H589" s="120"/>
      <c r="I589" s="181"/>
      <c r="J589" s="181"/>
      <c r="K589" s="200"/>
    </row>
    <row r="590" spans="1:11" s="21" customFormat="1" ht="12.75">
      <c r="A590" s="23"/>
      <c r="B590" s="23"/>
      <c r="C590" s="23"/>
      <c r="D590" s="23"/>
      <c r="E590" s="22"/>
      <c r="F590" s="115"/>
      <c r="G590" s="116"/>
      <c r="H590" s="120"/>
      <c r="I590" s="181"/>
      <c r="J590" s="181"/>
      <c r="K590" s="200"/>
    </row>
    <row r="591" spans="1:11" s="21" customFormat="1" ht="12.75">
      <c r="A591" s="23"/>
      <c r="B591" s="23"/>
      <c r="C591" s="23"/>
      <c r="D591" s="23"/>
      <c r="E591" s="22"/>
      <c r="F591" s="115"/>
      <c r="G591" s="116"/>
      <c r="H591" s="120"/>
      <c r="I591" s="181"/>
      <c r="J591" s="181"/>
      <c r="K591" s="200"/>
    </row>
    <row r="592" spans="1:11" s="21" customFormat="1" ht="12.75">
      <c r="A592" s="23"/>
      <c r="B592" s="23"/>
      <c r="C592" s="23"/>
      <c r="D592" s="23"/>
      <c r="E592" s="22"/>
      <c r="F592" s="115"/>
      <c r="G592" s="116"/>
      <c r="H592" s="120"/>
      <c r="I592" s="181"/>
      <c r="J592" s="181"/>
      <c r="K592" s="200"/>
    </row>
    <row r="593" spans="1:11" s="21" customFormat="1" ht="12.75">
      <c r="A593" s="23"/>
      <c r="B593" s="23"/>
      <c r="C593" s="23"/>
      <c r="D593" s="23"/>
      <c r="E593" s="22"/>
      <c r="F593" s="115"/>
      <c r="G593" s="116"/>
      <c r="H593" s="120"/>
      <c r="I593" s="181"/>
      <c r="J593" s="181"/>
      <c r="K593" s="200"/>
    </row>
    <row r="594" spans="1:11" s="21" customFormat="1" ht="12.75">
      <c r="A594" s="23"/>
      <c r="B594" s="23"/>
      <c r="C594" s="23"/>
      <c r="D594" s="23"/>
      <c r="E594" s="22"/>
      <c r="F594" s="115"/>
      <c r="G594" s="116"/>
      <c r="H594" s="120"/>
      <c r="I594" s="181"/>
      <c r="J594" s="181"/>
      <c r="K594" s="200"/>
    </row>
    <row r="595" spans="1:11" s="21" customFormat="1" ht="12.75">
      <c r="A595" s="23"/>
      <c r="B595" s="23"/>
      <c r="C595" s="23"/>
      <c r="D595" s="23"/>
      <c r="E595" s="22"/>
      <c r="F595" s="115"/>
      <c r="G595" s="116"/>
      <c r="H595" s="120"/>
      <c r="I595" s="181"/>
      <c r="J595" s="181"/>
      <c r="K595" s="200"/>
    </row>
    <row r="596" spans="1:11" s="21" customFormat="1" ht="12.75">
      <c r="A596" s="23"/>
      <c r="B596" s="23"/>
      <c r="C596" s="23"/>
      <c r="D596" s="23"/>
      <c r="E596" s="22"/>
      <c r="F596" s="115"/>
      <c r="G596" s="116"/>
      <c r="H596" s="120"/>
      <c r="I596" s="181"/>
      <c r="J596" s="181"/>
      <c r="K596" s="200"/>
    </row>
    <row r="597" spans="1:11" s="21" customFormat="1" ht="12.75">
      <c r="A597" s="23"/>
      <c r="B597" s="23"/>
      <c r="C597" s="23"/>
      <c r="D597" s="23"/>
      <c r="E597" s="22"/>
      <c r="F597" s="115"/>
      <c r="G597" s="116"/>
      <c r="H597" s="120"/>
      <c r="I597" s="181"/>
      <c r="J597" s="181"/>
      <c r="K597" s="200"/>
    </row>
    <row r="598" spans="1:11" s="21" customFormat="1" ht="12.75">
      <c r="A598" s="23"/>
      <c r="B598" s="23"/>
      <c r="C598" s="23"/>
      <c r="D598" s="23"/>
      <c r="E598" s="22"/>
      <c r="F598" s="115"/>
      <c r="G598" s="116"/>
      <c r="H598" s="120"/>
      <c r="I598" s="181"/>
      <c r="J598" s="181"/>
      <c r="K598" s="200"/>
    </row>
    <row r="599" spans="1:11" s="21" customFormat="1" ht="12.75">
      <c r="A599" s="23"/>
      <c r="B599" s="23"/>
      <c r="C599" s="23"/>
      <c r="D599" s="23"/>
      <c r="E599" s="22"/>
      <c r="F599" s="115"/>
      <c r="G599" s="116"/>
      <c r="H599" s="120"/>
      <c r="I599" s="181"/>
      <c r="J599" s="181"/>
      <c r="K599" s="200"/>
    </row>
    <row r="600" spans="1:11" s="21" customFormat="1" ht="12.75">
      <c r="A600" s="23"/>
      <c r="B600" s="23"/>
      <c r="C600" s="23"/>
      <c r="D600" s="23"/>
      <c r="E600" s="22"/>
      <c r="F600" s="115"/>
      <c r="G600" s="116"/>
      <c r="H600" s="120"/>
      <c r="I600" s="181"/>
      <c r="J600" s="181"/>
      <c r="K600" s="200"/>
    </row>
    <row r="601" spans="1:11" s="21" customFormat="1" ht="12.75">
      <c r="A601" s="23"/>
      <c r="B601" s="23"/>
      <c r="C601" s="23"/>
      <c r="D601" s="23"/>
      <c r="E601" s="22"/>
      <c r="F601" s="115"/>
      <c r="G601" s="116"/>
      <c r="H601" s="120"/>
      <c r="I601" s="181"/>
      <c r="J601" s="181"/>
      <c r="K601" s="200"/>
    </row>
    <row r="602" spans="1:11" s="21" customFormat="1" ht="12.75">
      <c r="A602" s="23"/>
      <c r="B602" s="23"/>
      <c r="C602" s="23"/>
      <c r="D602" s="23"/>
      <c r="E602" s="22"/>
      <c r="F602" s="115"/>
      <c r="G602" s="116"/>
      <c r="H602" s="120"/>
      <c r="I602" s="181"/>
      <c r="J602" s="181"/>
      <c r="K602" s="200"/>
    </row>
    <row r="603" spans="1:11" s="21" customFormat="1" ht="12.75">
      <c r="A603" s="23"/>
      <c r="B603" s="23"/>
      <c r="C603" s="23"/>
      <c r="D603" s="23"/>
      <c r="E603" s="22"/>
      <c r="F603" s="115"/>
      <c r="G603" s="116"/>
      <c r="H603" s="120"/>
      <c r="I603" s="181"/>
      <c r="J603" s="181"/>
      <c r="K603" s="200"/>
    </row>
    <row r="604" spans="1:11" s="21" customFormat="1" ht="12.75">
      <c r="A604" s="23"/>
      <c r="B604" s="23"/>
      <c r="C604" s="23"/>
      <c r="D604" s="23"/>
      <c r="E604" s="22"/>
      <c r="F604" s="115"/>
      <c r="G604" s="116"/>
      <c r="H604" s="120"/>
      <c r="I604" s="181"/>
      <c r="J604" s="181"/>
      <c r="K604" s="200"/>
    </row>
    <row r="605" spans="1:11" s="21" customFormat="1" ht="12.75">
      <c r="A605" s="23"/>
      <c r="B605" s="23"/>
      <c r="C605" s="23"/>
      <c r="D605" s="23"/>
      <c r="E605" s="22"/>
      <c r="F605" s="115"/>
      <c r="G605" s="116"/>
      <c r="H605" s="120"/>
      <c r="I605" s="181"/>
      <c r="J605" s="181"/>
      <c r="K605" s="200"/>
    </row>
    <row r="606" spans="1:11" s="21" customFormat="1" ht="12.75">
      <c r="A606" s="23"/>
      <c r="B606" s="23"/>
      <c r="C606" s="23"/>
      <c r="D606" s="23"/>
      <c r="E606" s="22"/>
      <c r="F606" s="115"/>
      <c r="G606" s="116"/>
      <c r="H606" s="120"/>
      <c r="I606" s="181"/>
      <c r="J606" s="181"/>
      <c r="K606" s="200"/>
    </row>
    <row r="607" spans="1:11" s="21" customFormat="1" ht="12.75">
      <c r="A607" s="23"/>
      <c r="B607" s="23"/>
      <c r="C607" s="23"/>
      <c r="D607" s="23"/>
      <c r="E607" s="22"/>
      <c r="F607" s="115"/>
      <c r="G607" s="116"/>
      <c r="H607" s="120"/>
      <c r="I607" s="181"/>
      <c r="J607" s="181"/>
      <c r="K607" s="200"/>
    </row>
    <row r="608" spans="1:11" s="21" customFormat="1" ht="12.75">
      <c r="A608" s="23"/>
      <c r="B608" s="23"/>
      <c r="C608" s="23"/>
      <c r="D608" s="23"/>
      <c r="E608" s="22"/>
      <c r="F608" s="115"/>
      <c r="G608" s="116"/>
      <c r="H608" s="120"/>
      <c r="I608" s="181"/>
      <c r="J608" s="181"/>
      <c r="K608" s="200"/>
    </row>
    <row r="609" spans="1:11" s="21" customFormat="1" ht="12.75">
      <c r="A609" s="23"/>
      <c r="B609" s="23"/>
      <c r="C609" s="23"/>
      <c r="D609" s="23"/>
      <c r="E609" s="22"/>
      <c r="F609" s="115"/>
      <c r="G609" s="116"/>
      <c r="H609" s="120"/>
      <c r="I609" s="181"/>
      <c r="J609" s="181"/>
      <c r="K609" s="200"/>
    </row>
  </sheetData>
  <mergeCells count="8">
    <mergeCell ref="H7:H8"/>
    <mergeCell ref="I7:I8"/>
    <mergeCell ref="J7:K7"/>
    <mergeCell ref="A6:D6"/>
    <mergeCell ref="A7:A8"/>
    <mergeCell ref="B7:B8"/>
    <mergeCell ref="C7:C8"/>
    <mergeCell ref="D7:D8"/>
  </mergeCells>
  <printOptions horizontalCentered="1"/>
  <pageMargins left="0.55" right="0.5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J8" sqref="J8"/>
    </sheetView>
  </sheetViews>
  <sheetFormatPr defaultColWidth="9.00390625" defaultRowHeight="12.75"/>
  <cols>
    <col min="1" max="1" width="5.625" style="6" customWidth="1"/>
    <col min="2" max="2" width="7.875" style="6" customWidth="1"/>
    <col min="3" max="3" width="5.75390625" style="6" customWidth="1"/>
    <col min="4" max="4" width="26.875" style="6" customWidth="1"/>
    <col min="5" max="5" width="11.75390625" style="6" bestFit="1" customWidth="1"/>
    <col min="6" max="6" width="11.75390625" style="179" bestFit="1" customWidth="1"/>
    <col min="7" max="7" width="12.375" style="179" customWidth="1"/>
    <col min="8" max="8" width="7.875" style="209" customWidth="1"/>
  </cols>
  <sheetData>
    <row r="1" spans="1:7" ht="12.75">
      <c r="A1" s="64"/>
      <c r="B1" s="64"/>
      <c r="C1" s="64"/>
      <c r="D1" s="64"/>
      <c r="E1" s="65"/>
      <c r="F1" s="180"/>
      <c r="G1" s="180" t="s">
        <v>396</v>
      </c>
    </row>
    <row r="2" spans="1:7" ht="12.75">
      <c r="A2" s="64"/>
      <c r="B2" s="64"/>
      <c r="C2" s="64"/>
      <c r="D2" s="64"/>
      <c r="E2" s="65"/>
      <c r="F2" s="180"/>
      <c r="G2" s="180" t="s">
        <v>378</v>
      </c>
    </row>
    <row r="3" spans="1:7" ht="12.75">
      <c r="A3" s="64"/>
      <c r="B3" s="64"/>
      <c r="C3" s="64"/>
      <c r="D3" s="64"/>
      <c r="E3" s="65"/>
      <c r="F3" s="180"/>
      <c r="G3" s="180" t="s">
        <v>379</v>
      </c>
    </row>
    <row r="4" spans="1:7" ht="12.75">
      <c r="A4" s="64"/>
      <c r="B4" s="64"/>
      <c r="C4" s="64"/>
      <c r="D4" s="64"/>
      <c r="E4" s="65"/>
      <c r="F4" s="180"/>
      <c r="G4" s="180" t="s">
        <v>380</v>
      </c>
    </row>
    <row r="5" spans="1:5" ht="12.75">
      <c r="A5" s="64"/>
      <c r="B5" s="64"/>
      <c r="C5" s="64"/>
      <c r="D5" s="64"/>
      <c r="E5" s="64"/>
    </row>
    <row r="6" spans="1:5" ht="37.5" customHeight="1">
      <c r="A6" s="246" t="s">
        <v>395</v>
      </c>
      <c r="B6" s="246"/>
      <c r="C6" s="246"/>
      <c r="D6" s="246"/>
      <c r="E6" s="157"/>
    </row>
    <row r="7" spans="1:8" ht="16.5" customHeight="1">
      <c r="A7" s="247" t="s">
        <v>0</v>
      </c>
      <c r="B7" s="247" t="s">
        <v>1</v>
      </c>
      <c r="C7" s="247" t="s">
        <v>2</v>
      </c>
      <c r="D7" s="247" t="s">
        <v>3</v>
      </c>
      <c r="E7" s="244" t="s">
        <v>372</v>
      </c>
      <c r="F7" s="245" t="s">
        <v>270</v>
      </c>
      <c r="G7" s="237" t="s">
        <v>374</v>
      </c>
      <c r="H7" s="237"/>
    </row>
    <row r="8" spans="1:8" s="6" customFormat="1" ht="19.5" customHeight="1">
      <c r="A8" s="247"/>
      <c r="B8" s="247"/>
      <c r="C8" s="247"/>
      <c r="D8" s="247"/>
      <c r="E8" s="244"/>
      <c r="F8" s="245"/>
      <c r="G8" s="193" t="s">
        <v>375</v>
      </c>
      <c r="H8" s="211" t="s">
        <v>376</v>
      </c>
    </row>
    <row r="9" spans="1:8" s="6" customFormat="1" ht="26.25" customHeight="1">
      <c r="A9" s="212" t="s">
        <v>19</v>
      </c>
      <c r="B9" s="213"/>
      <c r="C9" s="214"/>
      <c r="D9" s="215" t="s">
        <v>20</v>
      </c>
      <c r="E9" s="216">
        <f>SUM(E10,E12)</f>
        <v>142600</v>
      </c>
      <c r="F9" s="217">
        <f>SUM(F10,F12,)</f>
        <v>165600</v>
      </c>
      <c r="G9" s="217">
        <f>SUM(G10,G12,)</f>
        <v>165599</v>
      </c>
      <c r="H9" s="219">
        <f>G9/F9*100</f>
        <v>99.99939613526571</v>
      </c>
    </row>
    <row r="10" spans="1:8" s="24" customFormat="1" ht="27" customHeight="1">
      <c r="A10" s="73"/>
      <c r="B10" s="73">
        <v>75011</v>
      </c>
      <c r="C10" s="74"/>
      <c r="D10" s="39" t="s">
        <v>21</v>
      </c>
      <c r="E10" s="95">
        <f>E11</f>
        <v>142600</v>
      </c>
      <c r="F10" s="155">
        <f>SUM(F11)</f>
        <v>142600</v>
      </c>
      <c r="G10" s="155">
        <f>SUM(G11)</f>
        <v>142599</v>
      </c>
      <c r="H10" s="218">
        <f aca="true" t="shared" si="0" ref="H10:H62">G10/F10*100</f>
        <v>99.99929873772791</v>
      </c>
    </row>
    <row r="11" spans="1:8" s="24" customFormat="1" ht="67.5">
      <c r="A11" s="73"/>
      <c r="B11" s="91"/>
      <c r="C11" s="75" t="s">
        <v>213</v>
      </c>
      <c r="D11" s="39" t="s">
        <v>280</v>
      </c>
      <c r="E11" s="95">
        <v>142600</v>
      </c>
      <c r="F11" s="155">
        <v>142600</v>
      </c>
      <c r="G11" s="94">
        <v>142599</v>
      </c>
      <c r="H11" s="218">
        <f t="shared" si="0"/>
        <v>99.99929873772791</v>
      </c>
    </row>
    <row r="12" spans="1:8" s="24" customFormat="1" ht="22.5">
      <c r="A12" s="73"/>
      <c r="B12" s="91">
        <v>75023</v>
      </c>
      <c r="C12" s="75"/>
      <c r="D12" s="39" t="s">
        <v>368</v>
      </c>
      <c r="E12" s="95">
        <f>SUM(E13:E14)</f>
        <v>0</v>
      </c>
      <c r="F12" s="155">
        <f>SUM(F13:F14)</f>
        <v>23000</v>
      </c>
      <c r="G12" s="155">
        <f>SUM(G13:G14)</f>
        <v>23000</v>
      </c>
      <c r="H12" s="218">
        <f t="shared" si="0"/>
        <v>100</v>
      </c>
    </row>
    <row r="13" spans="1:8" s="24" customFormat="1" ht="45">
      <c r="A13" s="73"/>
      <c r="B13" s="91"/>
      <c r="C13" s="75">
        <v>2440</v>
      </c>
      <c r="D13" s="39" t="s">
        <v>224</v>
      </c>
      <c r="E13" s="95">
        <v>0</v>
      </c>
      <c r="F13" s="155">
        <v>14845</v>
      </c>
      <c r="G13" s="94">
        <v>14845</v>
      </c>
      <c r="H13" s="218">
        <f t="shared" si="0"/>
        <v>100</v>
      </c>
    </row>
    <row r="14" spans="1:8" s="24" customFormat="1" ht="67.5">
      <c r="A14" s="73"/>
      <c r="B14" s="91"/>
      <c r="C14" s="73">
        <v>6260</v>
      </c>
      <c r="D14" s="39" t="s">
        <v>369</v>
      </c>
      <c r="E14" s="95">
        <v>0</v>
      </c>
      <c r="F14" s="155">
        <v>8155</v>
      </c>
      <c r="G14" s="94">
        <v>8155</v>
      </c>
      <c r="H14" s="218">
        <f t="shared" si="0"/>
        <v>100</v>
      </c>
    </row>
    <row r="15" spans="1:8" s="6" customFormat="1" ht="52.5" customHeight="1">
      <c r="A15" s="35">
        <v>751</v>
      </c>
      <c r="B15" s="37"/>
      <c r="C15" s="70"/>
      <c r="D15" s="38" t="s">
        <v>24</v>
      </c>
      <c r="E15" s="71">
        <f>SUM(E16,E18,E20,)</f>
        <v>3737</v>
      </c>
      <c r="F15" s="32">
        <f>SUM(F16,F18,F20,)</f>
        <v>118811</v>
      </c>
      <c r="G15" s="32">
        <f>SUM(G16,G18,G20,)</f>
        <v>118265</v>
      </c>
      <c r="H15" s="219">
        <f t="shared" si="0"/>
        <v>99.54044659164556</v>
      </c>
    </row>
    <row r="16" spans="1:8" s="24" customFormat="1" ht="33.75">
      <c r="A16" s="91"/>
      <c r="B16" s="73">
        <v>75101</v>
      </c>
      <c r="C16" s="74"/>
      <c r="D16" s="39" t="s">
        <v>25</v>
      </c>
      <c r="E16" s="96">
        <f>E17</f>
        <v>3737</v>
      </c>
      <c r="F16" s="155">
        <f>SUM(F17)</f>
        <v>3737</v>
      </c>
      <c r="G16" s="155">
        <f>SUM(G17)</f>
        <v>3737</v>
      </c>
      <c r="H16" s="218">
        <f t="shared" si="0"/>
        <v>100</v>
      </c>
    </row>
    <row r="17" spans="1:8" s="24" customFormat="1" ht="69.75" customHeight="1">
      <c r="A17" s="91"/>
      <c r="B17" s="73"/>
      <c r="C17" s="75" t="s">
        <v>213</v>
      </c>
      <c r="D17" s="39" t="s">
        <v>348</v>
      </c>
      <c r="E17" s="96">
        <v>3737</v>
      </c>
      <c r="F17" s="155">
        <v>3737</v>
      </c>
      <c r="G17" s="94">
        <v>3737</v>
      </c>
      <c r="H17" s="218">
        <f t="shared" si="0"/>
        <v>100</v>
      </c>
    </row>
    <row r="18" spans="1:8" s="24" customFormat="1" ht="24.75" customHeight="1">
      <c r="A18" s="91"/>
      <c r="B18" s="73">
        <v>75107</v>
      </c>
      <c r="C18" s="99"/>
      <c r="D18" s="39" t="s">
        <v>331</v>
      </c>
      <c r="E18" s="94">
        <f>E19</f>
        <v>0</v>
      </c>
      <c r="F18" s="155">
        <f>SUM(F19)</f>
        <v>70314</v>
      </c>
      <c r="G18" s="155">
        <f>SUM(G19)</f>
        <v>69906</v>
      </c>
      <c r="H18" s="218">
        <f t="shared" si="0"/>
        <v>99.41974571209148</v>
      </c>
    </row>
    <row r="19" spans="1:8" s="24" customFormat="1" ht="71.25" customHeight="1">
      <c r="A19" s="91"/>
      <c r="B19" s="73"/>
      <c r="C19" s="75">
        <v>2010</v>
      </c>
      <c r="D19" s="39" t="s">
        <v>280</v>
      </c>
      <c r="E19" s="96">
        <v>0</v>
      </c>
      <c r="F19" s="155">
        <v>70314</v>
      </c>
      <c r="G19" s="94">
        <v>69906</v>
      </c>
      <c r="H19" s="218">
        <f t="shared" si="0"/>
        <v>99.41974571209148</v>
      </c>
    </row>
    <row r="20" spans="1:8" s="24" customFormat="1" ht="24.75" customHeight="1">
      <c r="A20" s="91"/>
      <c r="B20" s="73">
        <v>75108</v>
      </c>
      <c r="C20" s="75"/>
      <c r="D20" s="39" t="s">
        <v>321</v>
      </c>
      <c r="E20" s="94">
        <f>E21</f>
        <v>0</v>
      </c>
      <c r="F20" s="155">
        <f>SUM(F21)</f>
        <v>44760</v>
      </c>
      <c r="G20" s="155">
        <f>SUM(G21)</f>
        <v>44622</v>
      </c>
      <c r="H20" s="218">
        <f t="shared" si="0"/>
        <v>99.6916890080429</v>
      </c>
    </row>
    <row r="21" spans="1:8" s="24" customFormat="1" ht="70.5" customHeight="1">
      <c r="A21" s="91"/>
      <c r="B21" s="73"/>
      <c r="C21" s="75">
        <v>2010</v>
      </c>
      <c r="D21" s="39" t="s">
        <v>280</v>
      </c>
      <c r="E21" s="96">
        <v>0</v>
      </c>
      <c r="F21" s="155">
        <v>44760</v>
      </c>
      <c r="G21" s="94">
        <v>44622</v>
      </c>
      <c r="H21" s="218">
        <f t="shared" si="0"/>
        <v>99.6916890080429</v>
      </c>
    </row>
    <row r="22" spans="1:8" s="6" customFormat="1" ht="27.75" customHeight="1">
      <c r="A22" s="35" t="s">
        <v>26</v>
      </c>
      <c r="B22" s="28"/>
      <c r="C22" s="63"/>
      <c r="D22" s="38" t="s">
        <v>392</v>
      </c>
      <c r="E22" s="69">
        <f>E23</f>
        <v>1400</v>
      </c>
      <c r="F22" s="32">
        <f>SUM(F23)</f>
        <v>1400</v>
      </c>
      <c r="G22" s="32">
        <f>SUM(G23)</f>
        <v>1400</v>
      </c>
      <c r="H22" s="219">
        <f t="shared" si="0"/>
        <v>100</v>
      </c>
    </row>
    <row r="23" spans="1:8" s="24" customFormat="1" ht="20.25" customHeight="1">
      <c r="A23" s="91"/>
      <c r="B23" s="73" t="s">
        <v>28</v>
      </c>
      <c r="C23" s="74"/>
      <c r="D23" s="39" t="s">
        <v>29</v>
      </c>
      <c r="E23" s="95">
        <f>SUM(E24)</f>
        <v>1400</v>
      </c>
      <c r="F23" s="155">
        <f>SUM(F24)</f>
        <v>1400</v>
      </c>
      <c r="G23" s="155">
        <f>SUM(G24)</f>
        <v>1400</v>
      </c>
      <c r="H23" s="218">
        <f t="shared" si="0"/>
        <v>100</v>
      </c>
    </row>
    <row r="24" spans="1:8" s="24" customFormat="1" ht="72" customHeight="1">
      <c r="A24" s="91"/>
      <c r="B24" s="73"/>
      <c r="C24" s="75" t="s">
        <v>213</v>
      </c>
      <c r="D24" s="39" t="s">
        <v>280</v>
      </c>
      <c r="E24" s="95">
        <v>1400</v>
      </c>
      <c r="F24" s="155">
        <v>1400</v>
      </c>
      <c r="G24" s="94">
        <v>1400</v>
      </c>
      <c r="H24" s="218">
        <f t="shared" si="0"/>
        <v>100</v>
      </c>
    </row>
    <row r="25" spans="1:8" s="42" customFormat="1" ht="86.25" customHeight="1">
      <c r="A25" s="37">
        <v>756</v>
      </c>
      <c r="B25" s="35"/>
      <c r="C25" s="112"/>
      <c r="D25" s="119" t="s">
        <v>181</v>
      </c>
      <c r="E25" s="113">
        <f aca="true" t="shared" si="1" ref="E25:G26">SUM(E26)</f>
        <v>145835</v>
      </c>
      <c r="F25" s="32">
        <f t="shared" si="1"/>
        <v>287345</v>
      </c>
      <c r="G25" s="32">
        <f t="shared" si="1"/>
        <v>287345</v>
      </c>
      <c r="H25" s="219">
        <f t="shared" si="0"/>
        <v>100</v>
      </c>
    </row>
    <row r="26" spans="1:8" s="24" customFormat="1" ht="57.75" customHeight="1">
      <c r="A26" s="91"/>
      <c r="B26" s="73">
        <v>75615</v>
      </c>
      <c r="C26" s="75"/>
      <c r="D26" s="72" t="s">
        <v>182</v>
      </c>
      <c r="E26" s="95">
        <f t="shared" si="1"/>
        <v>145835</v>
      </c>
      <c r="F26" s="155">
        <f t="shared" si="1"/>
        <v>287345</v>
      </c>
      <c r="G26" s="155">
        <f t="shared" si="1"/>
        <v>287345</v>
      </c>
      <c r="H26" s="218">
        <f t="shared" si="0"/>
        <v>100</v>
      </c>
    </row>
    <row r="27" spans="1:8" s="24" customFormat="1" ht="45">
      <c r="A27" s="91"/>
      <c r="B27" s="73"/>
      <c r="C27" s="75">
        <v>2440</v>
      </c>
      <c r="D27" s="72" t="s">
        <v>224</v>
      </c>
      <c r="E27" s="95">
        <v>145835</v>
      </c>
      <c r="F27" s="155">
        <v>287345</v>
      </c>
      <c r="G27" s="94">
        <v>287345</v>
      </c>
      <c r="H27" s="218">
        <f t="shared" si="0"/>
        <v>100</v>
      </c>
    </row>
    <row r="28" spans="1:8" s="42" customFormat="1" ht="24" customHeight="1">
      <c r="A28" s="37">
        <v>801</v>
      </c>
      <c r="B28" s="35"/>
      <c r="C28" s="112"/>
      <c r="D28" s="119" t="s">
        <v>126</v>
      </c>
      <c r="E28" s="113">
        <f>SUM(E29,E31,E33)</f>
        <v>0</v>
      </c>
      <c r="F28" s="32">
        <f>SUM(F29,F31,F33)</f>
        <v>11347</v>
      </c>
      <c r="G28" s="32">
        <f>SUM(G29,G31,G33)</f>
        <v>11347</v>
      </c>
      <c r="H28" s="219">
        <f t="shared" si="0"/>
        <v>100</v>
      </c>
    </row>
    <row r="29" spans="1:8" s="24" customFormat="1" ht="24" customHeight="1">
      <c r="A29" s="91"/>
      <c r="B29" s="73">
        <v>80101</v>
      </c>
      <c r="C29" s="75"/>
      <c r="D29" s="72" t="s">
        <v>62</v>
      </c>
      <c r="E29" s="95">
        <f>SUM(E30)</f>
        <v>0</v>
      </c>
      <c r="F29" s="155">
        <f>SUM(F30)</f>
        <v>7180</v>
      </c>
      <c r="G29" s="155">
        <f>SUM(G30)</f>
        <v>7180</v>
      </c>
      <c r="H29" s="218">
        <f t="shared" si="0"/>
        <v>100</v>
      </c>
    </row>
    <row r="30" spans="1:8" s="24" customFormat="1" ht="48" customHeight="1">
      <c r="A30" s="91"/>
      <c r="B30" s="73"/>
      <c r="C30" s="75">
        <v>2030</v>
      </c>
      <c r="D30" s="83" t="s">
        <v>283</v>
      </c>
      <c r="E30" s="95">
        <v>0</v>
      </c>
      <c r="F30" s="155">
        <v>7180</v>
      </c>
      <c r="G30" s="94">
        <v>7180</v>
      </c>
      <c r="H30" s="218">
        <f t="shared" si="0"/>
        <v>100</v>
      </c>
    </row>
    <row r="31" spans="1:8" s="24" customFormat="1" ht="24" customHeight="1">
      <c r="A31" s="91"/>
      <c r="B31" s="73">
        <v>80110</v>
      </c>
      <c r="C31" s="75"/>
      <c r="D31" s="72" t="s">
        <v>63</v>
      </c>
      <c r="E31" s="95">
        <f>SUM(E32)</f>
        <v>0</v>
      </c>
      <c r="F31" s="155">
        <f>SUM(F32)</f>
        <v>300</v>
      </c>
      <c r="G31" s="155">
        <f>SUM(G32)</f>
        <v>300</v>
      </c>
      <c r="H31" s="218">
        <f t="shared" si="0"/>
        <v>100</v>
      </c>
    </row>
    <row r="32" spans="1:8" s="24" customFormat="1" ht="58.5" customHeight="1">
      <c r="A32" s="91"/>
      <c r="B32" s="73"/>
      <c r="C32" s="75">
        <v>2320</v>
      </c>
      <c r="D32" s="39" t="s">
        <v>279</v>
      </c>
      <c r="E32" s="95">
        <v>0</v>
      </c>
      <c r="F32" s="155">
        <v>300</v>
      </c>
      <c r="G32" s="94">
        <v>300</v>
      </c>
      <c r="H32" s="218">
        <f t="shared" si="0"/>
        <v>100</v>
      </c>
    </row>
    <row r="33" spans="1:8" s="24" customFormat="1" ht="24" customHeight="1">
      <c r="A33" s="91"/>
      <c r="B33" s="73">
        <v>80195</v>
      </c>
      <c r="C33" s="75"/>
      <c r="D33" s="72" t="s">
        <v>6</v>
      </c>
      <c r="E33" s="95">
        <f>SUM(E34)</f>
        <v>0</v>
      </c>
      <c r="F33" s="155">
        <f>SUM(F34)</f>
        <v>3867</v>
      </c>
      <c r="G33" s="155">
        <f>SUM(G34)</f>
        <v>3867</v>
      </c>
      <c r="H33" s="218">
        <f t="shared" si="0"/>
        <v>100</v>
      </c>
    </row>
    <row r="34" spans="1:8" s="24" customFormat="1" ht="48" customHeight="1">
      <c r="A34" s="91"/>
      <c r="B34" s="73"/>
      <c r="C34" s="75">
        <v>2030</v>
      </c>
      <c r="D34" s="83" t="s">
        <v>283</v>
      </c>
      <c r="E34" s="95">
        <v>0</v>
      </c>
      <c r="F34" s="155">
        <v>3867</v>
      </c>
      <c r="G34" s="94">
        <v>3867</v>
      </c>
      <c r="H34" s="218">
        <f t="shared" si="0"/>
        <v>100</v>
      </c>
    </row>
    <row r="35" spans="1:8" s="42" customFormat="1" ht="28.5" customHeight="1">
      <c r="A35" s="35" t="s">
        <v>183</v>
      </c>
      <c r="B35" s="37"/>
      <c r="C35" s="70"/>
      <c r="D35" s="38" t="s">
        <v>229</v>
      </c>
      <c r="E35" s="69">
        <f>SUM(E36,E38,E40,E43,E45,)</f>
        <v>6889400</v>
      </c>
      <c r="F35" s="69">
        <f>SUM(F36,F38,F40,F43,F45,)</f>
        <v>7384873</v>
      </c>
      <c r="G35" s="69">
        <f>SUM(G36,G38,G40,G43,G45,)</f>
        <v>6722109</v>
      </c>
      <c r="H35" s="219">
        <f t="shared" si="0"/>
        <v>91.02538391655483</v>
      </c>
    </row>
    <row r="36" spans="1:8" s="24" customFormat="1" ht="56.25">
      <c r="A36" s="73"/>
      <c r="B36" s="55">
        <v>85212</v>
      </c>
      <c r="C36" s="85"/>
      <c r="D36" s="83" t="s">
        <v>366</v>
      </c>
      <c r="E36" s="93">
        <f>SUM(E37)</f>
        <v>5565000</v>
      </c>
      <c r="F36" s="155">
        <f>SUM(F37)</f>
        <v>5800262</v>
      </c>
      <c r="G36" s="155">
        <f>SUM(G37)</f>
        <v>5150590</v>
      </c>
      <c r="H36" s="218">
        <f t="shared" si="0"/>
        <v>88.79926458494461</v>
      </c>
    </row>
    <row r="37" spans="1:8" s="24" customFormat="1" ht="72.75" customHeight="1">
      <c r="A37" s="73"/>
      <c r="B37" s="55"/>
      <c r="C37" s="85">
        <v>2010</v>
      </c>
      <c r="D37" s="39" t="s">
        <v>280</v>
      </c>
      <c r="E37" s="93">
        <v>5565000</v>
      </c>
      <c r="F37" s="155">
        <v>5800262</v>
      </c>
      <c r="G37" s="94">
        <v>5150590</v>
      </c>
      <c r="H37" s="218">
        <f t="shared" si="0"/>
        <v>88.79926458494461</v>
      </c>
    </row>
    <row r="38" spans="1:8" s="24" customFormat="1" ht="56.25">
      <c r="A38" s="73"/>
      <c r="B38" s="91">
        <v>85213</v>
      </c>
      <c r="C38" s="74"/>
      <c r="D38" s="39" t="s">
        <v>393</v>
      </c>
      <c r="E38" s="93">
        <f>SUM(E39)</f>
        <v>160900</v>
      </c>
      <c r="F38" s="155">
        <f>SUM(F39)</f>
        <v>66000</v>
      </c>
      <c r="G38" s="155">
        <f>SUM(G39)</f>
        <v>63591</v>
      </c>
      <c r="H38" s="218">
        <f t="shared" si="0"/>
        <v>96.35000000000001</v>
      </c>
    </row>
    <row r="39" spans="1:8" s="24" customFormat="1" ht="67.5">
      <c r="A39" s="73"/>
      <c r="B39" s="91"/>
      <c r="C39" s="74">
        <v>2010</v>
      </c>
      <c r="D39" s="39" t="s">
        <v>280</v>
      </c>
      <c r="E39" s="93">
        <v>160900</v>
      </c>
      <c r="F39" s="155">
        <v>66000</v>
      </c>
      <c r="G39" s="94">
        <v>63591</v>
      </c>
      <c r="H39" s="218">
        <f t="shared" si="0"/>
        <v>96.35000000000001</v>
      </c>
    </row>
    <row r="40" spans="1:8" s="24" customFormat="1" ht="33.75">
      <c r="A40" s="73"/>
      <c r="B40" s="73" t="s">
        <v>184</v>
      </c>
      <c r="C40" s="74"/>
      <c r="D40" s="39" t="s">
        <v>164</v>
      </c>
      <c r="E40" s="95">
        <f>SUM(E41:E42)</f>
        <v>851300</v>
      </c>
      <c r="F40" s="155">
        <f>SUM(F41:F42)</f>
        <v>915501</v>
      </c>
      <c r="G40" s="155">
        <f>SUM(G41:G42)</f>
        <v>904818</v>
      </c>
      <c r="H40" s="218">
        <f t="shared" si="0"/>
        <v>98.83309794309345</v>
      </c>
    </row>
    <row r="41" spans="1:8" s="24" customFormat="1" ht="67.5">
      <c r="A41" s="73"/>
      <c r="B41" s="73"/>
      <c r="C41" s="75" t="s">
        <v>213</v>
      </c>
      <c r="D41" s="39" t="s">
        <v>290</v>
      </c>
      <c r="E41" s="95">
        <v>531100</v>
      </c>
      <c r="F41" s="155">
        <v>415301</v>
      </c>
      <c r="G41" s="94">
        <v>404618</v>
      </c>
      <c r="H41" s="218">
        <f t="shared" si="0"/>
        <v>97.4276488619098</v>
      </c>
    </row>
    <row r="42" spans="1:8" s="24" customFormat="1" ht="46.5" customHeight="1">
      <c r="A42" s="73"/>
      <c r="B42" s="73"/>
      <c r="C42" s="75">
        <v>2030</v>
      </c>
      <c r="D42" s="83" t="s">
        <v>283</v>
      </c>
      <c r="E42" s="95">
        <v>320200</v>
      </c>
      <c r="F42" s="155">
        <v>500200</v>
      </c>
      <c r="G42" s="94">
        <v>500200</v>
      </c>
      <c r="H42" s="218">
        <f t="shared" si="0"/>
        <v>100</v>
      </c>
    </row>
    <row r="43" spans="1:8" s="24" customFormat="1" ht="23.25" customHeight="1">
      <c r="A43" s="73"/>
      <c r="B43" s="73" t="s">
        <v>185</v>
      </c>
      <c r="C43" s="74"/>
      <c r="D43" s="39" t="s">
        <v>70</v>
      </c>
      <c r="E43" s="95">
        <f>E44</f>
        <v>312200</v>
      </c>
      <c r="F43" s="155">
        <f>SUM(F44)</f>
        <v>312200</v>
      </c>
      <c r="G43" s="155">
        <f>SUM(G44)</f>
        <v>312200</v>
      </c>
      <c r="H43" s="218">
        <f t="shared" si="0"/>
        <v>100</v>
      </c>
    </row>
    <row r="44" spans="1:8" s="24" customFormat="1" ht="45" customHeight="1">
      <c r="A44" s="73"/>
      <c r="B44" s="73"/>
      <c r="C44" s="75">
        <v>2030</v>
      </c>
      <c r="D44" s="83" t="s">
        <v>283</v>
      </c>
      <c r="E44" s="95">
        <v>312200</v>
      </c>
      <c r="F44" s="155">
        <v>312200</v>
      </c>
      <c r="G44" s="94">
        <v>312200</v>
      </c>
      <c r="H44" s="218">
        <f t="shared" si="0"/>
        <v>100</v>
      </c>
    </row>
    <row r="45" spans="1:8" s="24" customFormat="1" ht="24" customHeight="1">
      <c r="A45" s="73"/>
      <c r="B45" s="73">
        <v>85295</v>
      </c>
      <c r="C45" s="75"/>
      <c r="D45" s="83" t="s">
        <v>6</v>
      </c>
      <c r="E45" s="95">
        <f>SUM(E46)</f>
        <v>0</v>
      </c>
      <c r="F45" s="155">
        <f>SUM(F46)</f>
        <v>290910</v>
      </c>
      <c r="G45" s="155">
        <f>SUM(G46)</f>
        <v>290910</v>
      </c>
      <c r="H45" s="218">
        <f t="shared" si="0"/>
        <v>100</v>
      </c>
    </row>
    <row r="46" spans="1:8" s="24" customFormat="1" ht="48.75" customHeight="1">
      <c r="A46" s="73"/>
      <c r="B46" s="73"/>
      <c r="C46" s="75">
        <v>2030</v>
      </c>
      <c r="D46" s="83" t="s">
        <v>283</v>
      </c>
      <c r="E46" s="95">
        <v>0</v>
      </c>
      <c r="F46" s="155">
        <v>290910</v>
      </c>
      <c r="G46" s="94">
        <v>290910</v>
      </c>
      <c r="H46" s="218">
        <f t="shared" si="0"/>
        <v>100</v>
      </c>
    </row>
    <row r="47" spans="1:8" s="42" customFormat="1" ht="28.5" customHeight="1">
      <c r="A47" s="35">
        <v>854</v>
      </c>
      <c r="B47" s="35"/>
      <c r="C47" s="112"/>
      <c r="D47" s="31" t="s">
        <v>71</v>
      </c>
      <c r="E47" s="113">
        <f aca="true" t="shared" si="2" ref="E47:G48">SUM(E48)</f>
        <v>0</v>
      </c>
      <c r="F47" s="32">
        <f t="shared" si="2"/>
        <v>218395</v>
      </c>
      <c r="G47" s="32">
        <f t="shared" si="2"/>
        <v>218395</v>
      </c>
      <c r="H47" s="219">
        <f t="shared" si="0"/>
        <v>100</v>
      </c>
    </row>
    <row r="48" spans="1:8" s="24" customFormat="1" ht="24" customHeight="1">
      <c r="A48" s="73"/>
      <c r="B48" s="73">
        <v>85415</v>
      </c>
      <c r="C48" s="75"/>
      <c r="D48" s="83" t="s">
        <v>188</v>
      </c>
      <c r="E48" s="95">
        <f t="shared" si="2"/>
        <v>0</v>
      </c>
      <c r="F48" s="155">
        <f t="shared" si="2"/>
        <v>218395</v>
      </c>
      <c r="G48" s="155">
        <f t="shared" si="2"/>
        <v>218395</v>
      </c>
      <c r="H48" s="218">
        <f t="shared" si="0"/>
        <v>100</v>
      </c>
    </row>
    <row r="49" spans="1:8" s="24" customFormat="1" ht="47.25" customHeight="1">
      <c r="A49" s="73"/>
      <c r="B49" s="73"/>
      <c r="C49" s="75">
        <v>2030</v>
      </c>
      <c r="D49" s="83" t="s">
        <v>283</v>
      </c>
      <c r="E49" s="95">
        <v>0</v>
      </c>
      <c r="F49" s="155">
        <v>218395</v>
      </c>
      <c r="G49" s="94">
        <v>218395</v>
      </c>
      <c r="H49" s="218">
        <f t="shared" si="0"/>
        <v>100</v>
      </c>
    </row>
    <row r="50" spans="1:8" s="6" customFormat="1" ht="32.25" customHeight="1">
      <c r="A50" s="35" t="s">
        <v>76</v>
      </c>
      <c r="B50" s="28"/>
      <c r="C50" s="63"/>
      <c r="D50" s="38" t="s">
        <v>82</v>
      </c>
      <c r="E50" s="69">
        <f>SUM(E53,E56,E51)</f>
        <v>45000</v>
      </c>
      <c r="F50" s="32">
        <f>SUM(F51,F53,F56,)</f>
        <v>62460</v>
      </c>
      <c r="G50" s="32">
        <f>SUM(G51,G53,G56,)</f>
        <v>62460</v>
      </c>
      <c r="H50" s="219">
        <f t="shared" si="0"/>
        <v>100</v>
      </c>
    </row>
    <row r="51" spans="1:8" s="24" customFormat="1" ht="24" customHeight="1">
      <c r="A51" s="220"/>
      <c r="B51" s="91">
        <v>92109</v>
      </c>
      <c r="C51" s="74"/>
      <c r="D51" s="39" t="s">
        <v>291</v>
      </c>
      <c r="E51" s="93">
        <f>SUM(E52)</f>
        <v>0</v>
      </c>
      <c r="F51" s="155">
        <f>SUM(F52)</f>
        <v>3500</v>
      </c>
      <c r="G51" s="155">
        <f>SUM(G52)</f>
        <v>3500</v>
      </c>
      <c r="H51" s="218">
        <f t="shared" si="0"/>
        <v>100</v>
      </c>
    </row>
    <row r="52" spans="1:8" s="24" customFormat="1" ht="60" customHeight="1">
      <c r="A52" s="220"/>
      <c r="B52" s="91"/>
      <c r="C52" s="75">
        <v>2320</v>
      </c>
      <c r="D52" s="39" t="s">
        <v>279</v>
      </c>
      <c r="E52" s="93">
        <v>0</v>
      </c>
      <c r="F52" s="155">
        <v>3500</v>
      </c>
      <c r="G52" s="94">
        <v>3500</v>
      </c>
      <c r="H52" s="218">
        <f t="shared" si="0"/>
        <v>100</v>
      </c>
    </row>
    <row r="53" spans="1:8" s="24" customFormat="1" ht="21.75" customHeight="1">
      <c r="A53" s="73"/>
      <c r="B53" s="73" t="s">
        <v>77</v>
      </c>
      <c r="C53" s="74"/>
      <c r="D53" s="39" t="s">
        <v>78</v>
      </c>
      <c r="E53" s="95">
        <f>SUM(E54:E55)</f>
        <v>45000</v>
      </c>
      <c r="F53" s="155">
        <f>SUM(F54:F55)</f>
        <v>56960</v>
      </c>
      <c r="G53" s="155">
        <f>SUM(G54:G55)</f>
        <v>56960</v>
      </c>
      <c r="H53" s="218">
        <f t="shared" si="0"/>
        <v>100</v>
      </c>
    </row>
    <row r="54" spans="1:8" s="24" customFormat="1" ht="59.25" customHeight="1">
      <c r="A54" s="73"/>
      <c r="B54" s="73"/>
      <c r="C54" s="79">
        <v>2020</v>
      </c>
      <c r="D54" s="83" t="s">
        <v>394</v>
      </c>
      <c r="E54" s="95">
        <v>0</v>
      </c>
      <c r="F54" s="155">
        <v>11960</v>
      </c>
      <c r="G54" s="94">
        <v>11960</v>
      </c>
      <c r="H54" s="218">
        <f t="shared" si="0"/>
        <v>100</v>
      </c>
    </row>
    <row r="55" spans="1:8" s="24" customFormat="1" ht="57.75" customHeight="1">
      <c r="A55" s="73"/>
      <c r="B55" s="73"/>
      <c r="C55" s="75">
        <v>2320</v>
      </c>
      <c r="D55" s="39" t="s">
        <v>279</v>
      </c>
      <c r="E55" s="95">
        <v>45000</v>
      </c>
      <c r="F55" s="155">
        <v>45000</v>
      </c>
      <c r="G55" s="94">
        <v>45000</v>
      </c>
      <c r="H55" s="218">
        <f t="shared" si="0"/>
        <v>100</v>
      </c>
    </row>
    <row r="56" spans="1:8" s="24" customFormat="1" ht="24" customHeight="1">
      <c r="A56" s="73"/>
      <c r="B56" s="73">
        <v>92118</v>
      </c>
      <c r="C56" s="73"/>
      <c r="D56" s="72" t="s">
        <v>161</v>
      </c>
      <c r="E56" s="95">
        <f>SUM(E57)</f>
        <v>0</v>
      </c>
      <c r="F56" s="155">
        <f>SUM(F57)</f>
        <v>2000</v>
      </c>
      <c r="G56" s="155">
        <f>SUM(G57)</f>
        <v>2000</v>
      </c>
      <c r="H56" s="218">
        <f t="shared" si="0"/>
        <v>100</v>
      </c>
    </row>
    <row r="57" spans="1:8" s="24" customFormat="1" ht="58.5" customHeight="1">
      <c r="A57" s="73"/>
      <c r="B57" s="73"/>
      <c r="C57" s="73">
        <v>2320</v>
      </c>
      <c r="D57" s="39" t="s">
        <v>279</v>
      </c>
      <c r="E57" s="95">
        <v>0</v>
      </c>
      <c r="F57" s="155">
        <v>2000</v>
      </c>
      <c r="G57" s="94">
        <v>2000</v>
      </c>
      <c r="H57" s="218">
        <f t="shared" si="0"/>
        <v>100</v>
      </c>
    </row>
    <row r="58" spans="1:8" s="42" customFormat="1" ht="24" customHeight="1">
      <c r="A58" s="35">
        <v>926</v>
      </c>
      <c r="B58" s="35"/>
      <c r="C58" s="35"/>
      <c r="D58" s="119" t="s">
        <v>79</v>
      </c>
      <c r="E58" s="113">
        <f>SUM(E59)</f>
        <v>0</v>
      </c>
      <c r="F58" s="32">
        <f>SUM(F59)</f>
        <v>34200</v>
      </c>
      <c r="G58" s="32">
        <f>SUM(G59)</f>
        <v>31090</v>
      </c>
      <c r="H58" s="219">
        <f t="shared" si="0"/>
        <v>90.90643274853801</v>
      </c>
    </row>
    <row r="59" spans="1:8" s="24" customFormat="1" ht="24" customHeight="1">
      <c r="A59" s="73"/>
      <c r="B59" s="73">
        <v>92605</v>
      </c>
      <c r="C59" s="73"/>
      <c r="D59" s="72" t="s">
        <v>80</v>
      </c>
      <c r="E59" s="95">
        <f>SUM(E60:E61)</f>
        <v>0</v>
      </c>
      <c r="F59" s="155">
        <f>SUM(F60:F61)</f>
        <v>34200</v>
      </c>
      <c r="G59" s="155">
        <f>SUM(G60:G61)</f>
        <v>31090</v>
      </c>
      <c r="H59" s="218">
        <f t="shared" si="0"/>
        <v>90.90643274853801</v>
      </c>
    </row>
    <row r="60" spans="1:8" s="24" customFormat="1" ht="59.25" customHeight="1">
      <c r="A60" s="73"/>
      <c r="B60" s="73"/>
      <c r="C60" s="73">
        <v>2320</v>
      </c>
      <c r="D60" s="39" t="s">
        <v>279</v>
      </c>
      <c r="E60" s="95">
        <v>0</v>
      </c>
      <c r="F60" s="155">
        <v>6200</v>
      </c>
      <c r="G60" s="94">
        <v>3090</v>
      </c>
      <c r="H60" s="218">
        <f t="shared" si="0"/>
        <v>49.83870967741936</v>
      </c>
    </row>
    <row r="61" spans="1:8" s="24" customFormat="1" ht="51.75" customHeight="1">
      <c r="A61" s="73"/>
      <c r="B61" s="73"/>
      <c r="C61" s="75">
        <v>2440</v>
      </c>
      <c r="D61" s="72" t="s">
        <v>224</v>
      </c>
      <c r="E61" s="95">
        <v>0</v>
      </c>
      <c r="F61" s="155">
        <v>28000</v>
      </c>
      <c r="G61" s="94">
        <v>28000</v>
      </c>
      <c r="H61" s="218">
        <f t="shared" si="0"/>
        <v>100</v>
      </c>
    </row>
    <row r="62" spans="1:8" s="24" customFormat="1" ht="25.5" customHeight="1">
      <c r="A62" s="160"/>
      <c r="B62" s="161"/>
      <c r="C62" s="162"/>
      <c r="D62" s="106" t="s">
        <v>81</v>
      </c>
      <c r="E62" s="113">
        <f>SUM(E58,E50,E47,E35,E28,E25,E22,E15,E9,)</f>
        <v>7227972</v>
      </c>
      <c r="F62" s="32">
        <f>SUM(F58,F50,F47,F35,F28,F25,F22,F15,F9)</f>
        <v>8284431</v>
      </c>
      <c r="G62" s="32">
        <f>SUM(G58,G50,G47,G35,G28,G25,G22,G15,G9)</f>
        <v>7618010</v>
      </c>
      <c r="H62" s="219">
        <f t="shared" si="0"/>
        <v>91.95574204190969</v>
      </c>
    </row>
    <row r="63" spans="1:3" ht="12.75">
      <c r="A63" s="64"/>
      <c r="B63" s="64"/>
      <c r="C63" s="64"/>
    </row>
    <row r="66" ht="12.75">
      <c r="E66" s="117"/>
    </row>
  </sheetData>
  <mergeCells count="8">
    <mergeCell ref="E7:E8"/>
    <mergeCell ref="F7:F8"/>
    <mergeCell ref="G7:H7"/>
    <mergeCell ref="A6:D6"/>
    <mergeCell ref="A7:A8"/>
    <mergeCell ref="C7:C8"/>
    <mergeCell ref="D7:D8"/>
    <mergeCell ref="B7:B8"/>
  </mergeCells>
  <printOptions horizontalCentered="1"/>
  <pageMargins left="0.55" right="0.6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A70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6.25390625" style="6" customWidth="1"/>
    <col min="2" max="2" width="7.25390625" style="6" bestFit="1" customWidth="1"/>
    <col min="3" max="3" width="5.875" style="6" customWidth="1"/>
    <col min="4" max="4" width="27.375" style="6" customWidth="1"/>
    <col min="5" max="5" width="11.25390625" style="26" bestFit="1" customWidth="1"/>
    <col min="6" max="6" width="11.25390625" style="179" bestFit="1" customWidth="1"/>
    <col min="7" max="7" width="12.125" style="179" customWidth="1"/>
    <col min="8" max="8" width="8.25390625" style="188" customWidth="1"/>
  </cols>
  <sheetData>
    <row r="1" spans="5:7" ht="12.75">
      <c r="E1" s="65"/>
      <c r="G1" s="180" t="s">
        <v>399</v>
      </c>
    </row>
    <row r="2" spans="4:7" ht="12.75">
      <c r="D2" s="6" t="s">
        <v>337</v>
      </c>
      <c r="E2" s="65"/>
      <c r="G2" s="180" t="s">
        <v>378</v>
      </c>
    </row>
    <row r="3" spans="4:7" ht="12.75">
      <c r="D3" s="6" t="s">
        <v>320</v>
      </c>
      <c r="E3" s="65"/>
      <c r="G3" s="180" t="s">
        <v>379</v>
      </c>
    </row>
    <row r="4" spans="5:7" ht="12.75">
      <c r="E4" s="65"/>
      <c r="G4" s="180" t="s">
        <v>380</v>
      </c>
    </row>
    <row r="5" ht="12.75"/>
    <row r="6" spans="1:4" ht="44.25" customHeight="1">
      <c r="A6" s="248" t="s">
        <v>397</v>
      </c>
      <c r="B6" s="248"/>
      <c r="C6" s="248"/>
      <c r="D6" s="248"/>
    </row>
    <row r="7" spans="1:8" ht="14.25" customHeight="1">
      <c r="A7" s="249" t="s">
        <v>0</v>
      </c>
      <c r="B7" s="249" t="s">
        <v>1</v>
      </c>
      <c r="C7" s="249" t="s">
        <v>2</v>
      </c>
      <c r="D7" s="249" t="s">
        <v>3</v>
      </c>
      <c r="E7" s="245" t="s">
        <v>372</v>
      </c>
      <c r="F7" s="245" t="s">
        <v>278</v>
      </c>
      <c r="G7" s="237" t="s">
        <v>374</v>
      </c>
      <c r="H7" s="237"/>
    </row>
    <row r="8" spans="1:8" s="24" customFormat="1" ht="16.5" customHeight="1">
      <c r="A8" s="249"/>
      <c r="B8" s="249"/>
      <c r="C8" s="249"/>
      <c r="D8" s="249"/>
      <c r="E8" s="245"/>
      <c r="F8" s="245"/>
      <c r="G8" s="235" t="s">
        <v>375</v>
      </c>
      <c r="H8" s="234" t="s">
        <v>376</v>
      </c>
    </row>
    <row r="9" spans="1:8" s="42" customFormat="1" ht="24.75" customHeight="1">
      <c r="A9" s="194" t="s">
        <v>19</v>
      </c>
      <c r="B9" s="224"/>
      <c r="C9" s="232"/>
      <c r="D9" s="233" t="s">
        <v>20</v>
      </c>
      <c r="E9" s="143">
        <f>SUM(E10)</f>
        <v>142600</v>
      </c>
      <c r="F9" s="217">
        <f>SUM(F10)</f>
        <v>142600</v>
      </c>
      <c r="G9" s="217">
        <f>SUM(G10)</f>
        <v>142599</v>
      </c>
      <c r="H9" s="208">
        <f>G9/F9*100</f>
        <v>99.99929873772791</v>
      </c>
    </row>
    <row r="10" spans="1:8" s="24" customFormat="1" ht="24.75" customHeight="1">
      <c r="A10" s="78"/>
      <c r="B10" s="78">
        <v>75011</v>
      </c>
      <c r="C10" s="86"/>
      <c r="D10" s="83" t="s">
        <v>21</v>
      </c>
      <c r="E10" s="94">
        <f>SUM(E11:E15)</f>
        <v>142600</v>
      </c>
      <c r="F10" s="155">
        <f>SUM(F11:F15)</f>
        <v>142600</v>
      </c>
      <c r="G10" s="155">
        <f>SUM(G11:G15)</f>
        <v>142599</v>
      </c>
      <c r="H10" s="207">
        <f>G10/F10*100</f>
        <v>99.99929873772791</v>
      </c>
    </row>
    <row r="11" spans="1:8" s="24" customFormat="1" ht="21.75" customHeight="1">
      <c r="A11" s="78"/>
      <c r="B11" s="55"/>
      <c r="C11" s="79">
        <v>4010</v>
      </c>
      <c r="D11" s="83" t="s">
        <v>97</v>
      </c>
      <c r="E11" s="94">
        <v>102329</v>
      </c>
      <c r="F11" s="155">
        <v>102413</v>
      </c>
      <c r="G11" s="155">
        <v>102413</v>
      </c>
      <c r="H11" s="207">
        <f aca="true" t="shared" si="0" ref="H11:H60">G11/F11*100</f>
        <v>100</v>
      </c>
    </row>
    <row r="12" spans="1:8" s="24" customFormat="1" ht="21.75" customHeight="1">
      <c r="A12" s="78"/>
      <c r="B12" s="55"/>
      <c r="C12" s="79">
        <v>4040</v>
      </c>
      <c r="D12" s="83" t="s">
        <v>98</v>
      </c>
      <c r="E12" s="94">
        <v>14500</v>
      </c>
      <c r="F12" s="155">
        <v>14416</v>
      </c>
      <c r="G12" s="155">
        <v>14416</v>
      </c>
      <c r="H12" s="207">
        <f t="shared" si="0"/>
        <v>100</v>
      </c>
    </row>
    <row r="13" spans="1:8" s="24" customFormat="1" ht="21.75" customHeight="1">
      <c r="A13" s="78"/>
      <c r="B13" s="55"/>
      <c r="C13" s="79">
        <v>4110</v>
      </c>
      <c r="D13" s="83" t="s">
        <v>99</v>
      </c>
      <c r="E13" s="94">
        <v>17766</v>
      </c>
      <c r="F13" s="155">
        <v>16759</v>
      </c>
      <c r="G13" s="155">
        <v>16689</v>
      </c>
      <c r="H13" s="207">
        <f t="shared" si="0"/>
        <v>99.58231398054777</v>
      </c>
    </row>
    <row r="14" spans="1:8" s="24" customFormat="1" ht="19.5" customHeight="1">
      <c r="A14" s="78"/>
      <c r="B14" s="55"/>
      <c r="C14" s="79">
        <v>4120</v>
      </c>
      <c r="D14" s="83" t="s">
        <v>100</v>
      </c>
      <c r="E14" s="94">
        <v>2570</v>
      </c>
      <c r="F14" s="155">
        <v>2570</v>
      </c>
      <c r="G14" s="155">
        <v>2570</v>
      </c>
      <c r="H14" s="207">
        <f t="shared" si="0"/>
        <v>100</v>
      </c>
    </row>
    <row r="15" spans="1:8" s="24" customFormat="1" ht="24.75" customHeight="1">
      <c r="A15" s="78"/>
      <c r="B15" s="55"/>
      <c r="C15" s="80">
        <v>4440</v>
      </c>
      <c r="D15" s="83" t="s">
        <v>101</v>
      </c>
      <c r="E15" s="94">
        <v>5435</v>
      </c>
      <c r="F15" s="155">
        <v>6442</v>
      </c>
      <c r="G15" s="155">
        <v>6511</v>
      </c>
      <c r="H15" s="207">
        <f t="shared" si="0"/>
        <v>101.07109593294008</v>
      </c>
    </row>
    <row r="16" spans="1:8" s="42" customFormat="1" ht="52.5" customHeight="1">
      <c r="A16" s="33">
        <v>751</v>
      </c>
      <c r="B16" s="3"/>
      <c r="C16" s="20"/>
      <c r="D16" s="31" t="s">
        <v>24</v>
      </c>
      <c r="E16" s="43">
        <f>SUM(E17,E20,E28,)</f>
        <v>3737</v>
      </c>
      <c r="F16" s="43">
        <f>SUM(F17,F20,F28,)</f>
        <v>118811</v>
      </c>
      <c r="G16" s="43">
        <f>SUM(G17,G20,G28,)</f>
        <v>118265</v>
      </c>
      <c r="H16" s="208">
        <f t="shared" si="0"/>
        <v>99.54044659164556</v>
      </c>
    </row>
    <row r="17" spans="1:8" s="24" customFormat="1" ht="34.5" customHeight="1">
      <c r="A17" s="55"/>
      <c r="B17" s="78">
        <v>75101</v>
      </c>
      <c r="C17" s="86"/>
      <c r="D17" s="83" t="s">
        <v>25</v>
      </c>
      <c r="E17" s="94">
        <f>SUM(E18:E19)</f>
        <v>3737</v>
      </c>
      <c r="F17" s="94">
        <f>SUM(F18:F19)</f>
        <v>3737</v>
      </c>
      <c r="G17" s="94">
        <f>SUM(G18:G19)</f>
        <v>3737</v>
      </c>
      <c r="H17" s="207">
        <f t="shared" si="0"/>
        <v>100</v>
      </c>
    </row>
    <row r="18" spans="1:8" s="24" customFormat="1" ht="22.5" customHeight="1">
      <c r="A18" s="55"/>
      <c r="B18" s="78"/>
      <c r="C18" s="79">
        <v>4210</v>
      </c>
      <c r="D18" s="83" t="s">
        <v>105</v>
      </c>
      <c r="E18" s="96">
        <v>2000</v>
      </c>
      <c r="F18" s="155">
        <v>2241</v>
      </c>
      <c r="G18" s="155">
        <v>2241</v>
      </c>
      <c r="H18" s="207">
        <f t="shared" si="0"/>
        <v>100</v>
      </c>
    </row>
    <row r="19" spans="1:8" s="24" customFormat="1" ht="19.5" customHeight="1">
      <c r="A19" s="55"/>
      <c r="B19" s="78"/>
      <c r="C19" s="79">
        <v>4300</v>
      </c>
      <c r="D19" s="83" t="s">
        <v>92</v>
      </c>
      <c r="E19" s="96">
        <v>1737</v>
      </c>
      <c r="F19" s="155">
        <v>1496</v>
      </c>
      <c r="G19" s="155">
        <v>1496</v>
      </c>
      <c r="H19" s="207">
        <f t="shared" si="0"/>
        <v>100</v>
      </c>
    </row>
    <row r="20" spans="1:8" s="24" customFormat="1" ht="24.75" customHeight="1">
      <c r="A20" s="55"/>
      <c r="B20" s="78">
        <v>75107</v>
      </c>
      <c r="C20" s="79"/>
      <c r="D20" s="83" t="s">
        <v>331</v>
      </c>
      <c r="E20" s="96">
        <f>SUM(E21:E27)</f>
        <v>0</v>
      </c>
      <c r="F20" s="96">
        <f>SUM(F21:F27)</f>
        <v>70314</v>
      </c>
      <c r="G20" s="96">
        <f>SUM(G21:G27)</f>
        <v>69906</v>
      </c>
      <c r="H20" s="207">
        <f t="shared" si="0"/>
        <v>99.41974571209148</v>
      </c>
    </row>
    <row r="21" spans="1:8" s="24" customFormat="1" ht="25.5" customHeight="1">
      <c r="A21" s="55"/>
      <c r="B21" s="78"/>
      <c r="C21" s="79">
        <v>3030</v>
      </c>
      <c r="D21" s="83" t="s">
        <v>102</v>
      </c>
      <c r="E21" s="96">
        <v>0</v>
      </c>
      <c r="F21" s="155">
        <v>42840</v>
      </c>
      <c r="G21" s="155">
        <v>42435</v>
      </c>
      <c r="H21" s="207">
        <f t="shared" si="0"/>
        <v>99.0546218487395</v>
      </c>
    </row>
    <row r="22" spans="1:8" s="24" customFormat="1" ht="19.5" customHeight="1">
      <c r="A22" s="55"/>
      <c r="B22" s="78"/>
      <c r="C22" s="79">
        <v>4110</v>
      </c>
      <c r="D22" s="83" t="s">
        <v>99</v>
      </c>
      <c r="E22" s="96">
        <v>0</v>
      </c>
      <c r="F22" s="155">
        <v>1097</v>
      </c>
      <c r="G22" s="155">
        <v>1096</v>
      </c>
      <c r="H22" s="207">
        <f t="shared" si="0"/>
        <v>99.90884229717412</v>
      </c>
    </row>
    <row r="23" spans="1:8" s="24" customFormat="1" ht="19.5" customHeight="1">
      <c r="A23" s="55"/>
      <c r="B23" s="78"/>
      <c r="C23" s="79">
        <v>4120</v>
      </c>
      <c r="D23" s="83" t="s">
        <v>100</v>
      </c>
      <c r="E23" s="96">
        <v>0</v>
      </c>
      <c r="F23" s="155">
        <v>157</v>
      </c>
      <c r="G23" s="155">
        <v>156</v>
      </c>
      <c r="H23" s="207">
        <f t="shared" si="0"/>
        <v>99.36305732484077</v>
      </c>
    </row>
    <row r="24" spans="1:8" s="24" customFormat="1" ht="19.5" customHeight="1">
      <c r="A24" s="55"/>
      <c r="B24" s="78"/>
      <c r="C24" s="79">
        <v>4170</v>
      </c>
      <c r="D24" s="83" t="s">
        <v>249</v>
      </c>
      <c r="E24" s="96">
        <v>0</v>
      </c>
      <c r="F24" s="155">
        <v>9220</v>
      </c>
      <c r="G24" s="155">
        <v>9220</v>
      </c>
      <c r="H24" s="207">
        <f t="shared" si="0"/>
        <v>100</v>
      </c>
    </row>
    <row r="25" spans="1:8" s="24" customFormat="1" ht="19.5" customHeight="1">
      <c r="A25" s="55"/>
      <c r="B25" s="78"/>
      <c r="C25" s="79">
        <v>4210</v>
      </c>
      <c r="D25" s="83" t="s">
        <v>105</v>
      </c>
      <c r="E25" s="96">
        <v>0</v>
      </c>
      <c r="F25" s="155">
        <v>11703</v>
      </c>
      <c r="G25" s="155">
        <v>11703</v>
      </c>
      <c r="H25" s="207">
        <f t="shared" si="0"/>
        <v>100</v>
      </c>
    </row>
    <row r="26" spans="1:8" s="24" customFormat="1" ht="19.5" customHeight="1">
      <c r="A26" s="55"/>
      <c r="B26" s="78"/>
      <c r="C26" s="79">
        <v>4300</v>
      </c>
      <c r="D26" s="83" t="s">
        <v>92</v>
      </c>
      <c r="E26" s="96">
        <v>0</v>
      </c>
      <c r="F26" s="155">
        <v>2448</v>
      </c>
      <c r="G26" s="155">
        <v>2448</v>
      </c>
      <c r="H26" s="207">
        <f t="shared" si="0"/>
        <v>100</v>
      </c>
    </row>
    <row r="27" spans="1:8" s="24" customFormat="1" ht="19.5" customHeight="1">
      <c r="A27" s="55"/>
      <c r="B27" s="78"/>
      <c r="C27" s="79">
        <v>4410</v>
      </c>
      <c r="D27" s="83" t="s">
        <v>103</v>
      </c>
      <c r="E27" s="96">
        <v>0</v>
      </c>
      <c r="F27" s="155">
        <v>2849</v>
      </c>
      <c r="G27" s="155">
        <v>2848</v>
      </c>
      <c r="H27" s="207">
        <f t="shared" si="0"/>
        <v>99.96489996489997</v>
      </c>
    </row>
    <row r="28" spans="1:8" s="24" customFormat="1" ht="24.75" customHeight="1">
      <c r="A28" s="55"/>
      <c r="B28" s="78">
        <v>75108</v>
      </c>
      <c r="C28" s="79"/>
      <c r="D28" s="83" t="s">
        <v>321</v>
      </c>
      <c r="E28" s="96">
        <f>SUM(E29:E35)</f>
        <v>0</v>
      </c>
      <c r="F28" s="96">
        <f>SUM(F29:F35)</f>
        <v>44760</v>
      </c>
      <c r="G28" s="96">
        <f>SUM(G29:G35)</f>
        <v>44622</v>
      </c>
      <c r="H28" s="207">
        <f t="shared" si="0"/>
        <v>99.6916890080429</v>
      </c>
    </row>
    <row r="29" spans="1:8" s="24" customFormat="1" ht="24">
      <c r="A29" s="55"/>
      <c r="B29" s="78"/>
      <c r="C29" s="79">
        <v>3030</v>
      </c>
      <c r="D29" s="83" t="s">
        <v>102</v>
      </c>
      <c r="E29" s="96">
        <v>0</v>
      </c>
      <c r="F29" s="155">
        <v>26010</v>
      </c>
      <c r="G29" s="155">
        <v>25875</v>
      </c>
      <c r="H29" s="207">
        <f t="shared" si="0"/>
        <v>99.48096885813149</v>
      </c>
    </row>
    <row r="30" spans="1:8" s="24" customFormat="1" ht="12">
      <c r="A30" s="55"/>
      <c r="B30" s="78"/>
      <c r="C30" s="79">
        <v>4110</v>
      </c>
      <c r="D30" s="83" t="s">
        <v>99</v>
      </c>
      <c r="E30" s="96">
        <v>0</v>
      </c>
      <c r="F30" s="155">
        <v>778</v>
      </c>
      <c r="G30" s="155">
        <v>777</v>
      </c>
      <c r="H30" s="207">
        <f t="shared" si="0"/>
        <v>99.87146529562982</v>
      </c>
    </row>
    <row r="31" spans="1:8" s="24" customFormat="1" ht="19.5" customHeight="1">
      <c r="A31" s="55"/>
      <c r="B31" s="78"/>
      <c r="C31" s="79">
        <v>4120</v>
      </c>
      <c r="D31" s="83" t="s">
        <v>100</v>
      </c>
      <c r="E31" s="96">
        <v>0</v>
      </c>
      <c r="F31" s="155">
        <v>111</v>
      </c>
      <c r="G31" s="155">
        <v>111</v>
      </c>
      <c r="H31" s="207">
        <f t="shared" si="0"/>
        <v>100</v>
      </c>
    </row>
    <row r="32" spans="1:8" s="24" customFormat="1" ht="19.5" customHeight="1">
      <c r="A32" s="55"/>
      <c r="B32" s="78"/>
      <c r="C32" s="79">
        <v>4170</v>
      </c>
      <c r="D32" s="83" t="s">
        <v>249</v>
      </c>
      <c r="E32" s="96">
        <v>0</v>
      </c>
      <c r="F32" s="155">
        <v>6722</v>
      </c>
      <c r="G32" s="155">
        <v>6722</v>
      </c>
      <c r="H32" s="207">
        <f t="shared" si="0"/>
        <v>100</v>
      </c>
    </row>
    <row r="33" spans="1:8" s="24" customFormat="1" ht="19.5" customHeight="1">
      <c r="A33" s="55"/>
      <c r="B33" s="78"/>
      <c r="C33" s="79">
        <v>4210</v>
      </c>
      <c r="D33" s="83" t="s">
        <v>105</v>
      </c>
      <c r="E33" s="96">
        <v>0</v>
      </c>
      <c r="F33" s="155">
        <v>6953</v>
      </c>
      <c r="G33" s="155">
        <v>6953</v>
      </c>
      <c r="H33" s="207">
        <f t="shared" si="0"/>
        <v>100</v>
      </c>
    </row>
    <row r="34" spans="1:8" s="24" customFormat="1" ht="19.5" customHeight="1">
      <c r="A34" s="55"/>
      <c r="B34" s="78"/>
      <c r="C34" s="79">
        <v>4300</v>
      </c>
      <c r="D34" s="83" t="s">
        <v>92</v>
      </c>
      <c r="E34" s="96">
        <v>0</v>
      </c>
      <c r="F34" s="155">
        <v>2260</v>
      </c>
      <c r="G34" s="155">
        <v>2259</v>
      </c>
      <c r="H34" s="207">
        <f t="shared" si="0"/>
        <v>99.95575221238938</v>
      </c>
    </row>
    <row r="35" spans="1:209" s="24" customFormat="1" ht="19.5" customHeight="1">
      <c r="A35" s="55"/>
      <c r="B35" s="78"/>
      <c r="C35" s="79">
        <v>4410</v>
      </c>
      <c r="D35" s="83" t="s">
        <v>103</v>
      </c>
      <c r="E35" s="96">
        <v>0</v>
      </c>
      <c r="F35" s="76">
        <v>1926</v>
      </c>
      <c r="G35" s="76">
        <v>1925</v>
      </c>
      <c r="H35" s="207">
        <f t="shared" si="0"/>
        <v>99.94807892004154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</row>
    <row r="36" spans="1:209" s="42" customFormat="1" ht="29.25" customHeight="1">
      <c r="A36" s="33" t="s">
        <v>26</v>
      </c>
      <c r="B36" s="3"/>
      <c r="C36" s="20"/>
      <c r="D36" s="31" t="s">
        <v>166</v>
      </c>
      <c r="E36" s="43">
        <f>SUM(E37)</f>
        <v>1400</v>
      </c>
      <c r="F36" s="43">
        <f>SUM(F37)</f>
        <v>1400</v>
      </c>
      <c r="G36" s="43">
        <f>SUM(G37)</f>
        <v>1400</v>
      </c>
      <c r="H36" s="208">
        <f t="shared" si="0"/>
        <v>100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</row>
    <row r="37" spans="1:209" s="24" customFormat="1" ht="24.75" customHeight="1">
      <c r="A37" s="55"/>
      <c r="B37" s="78" t="s">
        <v>28</v>
      </c>
      <c r="C37" s="86"/>
      <c r="D37" s="83" t="s">
        <v>29</v>
      </c>
      <c r="E37" s="94">
        <f>SUM(E38:E39)</f>
        <v>1400</v>
      </c>
      <c r="F37" s="94">
        <f>SUM(F38:F39)</f>
        <v>1400</v>
      </c>
      <c r="G37" s="94">
        <f>SUM(G38:G39)</f>
        <v>1400</v>
      </c>
      <c r="H37" s="207">
        <f t="shared" si="0"/>
        <v>100</v>
      </c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</row>
    <row r="38" spans="1:209" s="24" customFormat="1" ht="22.5" customHeight="1">
      <c r="A38" s="55"/>
      <c r="B38" s="78"/>
      <c r="C38" s="79">
        <v>4210</v>
      </c>
      <c r="D38" s="83" t="s">
        <v>105</v>
      </c>
      <c r="E38" s="94">
        <v>1400</v>
      </c>
      <c r="F38" s="76">
        <v>0</v>
      </c>
      <c r="G38" s="76">
        <v>0</v>
      </c>
      <c r="H38" s="207">
        <v>0</v>
      </c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</row>
    <row r="39" spans="1:209" s="24" customFormat="1" ht="20.25" customHeight="1">
      <c r="A39" s="55"/>
      <c r="B39" s="78"/>
      <c r="C39" s="79">
        <v>4300</v>
      </c>
      <c r="D39" s="83" t="s">
        <v>92</v>
      </c>
      <c r="E39" s="94">
        <v>0</v>
      </c>
      <c r="F39" s="76">
        <v>1400</v>
      </c>
      <c r="G39" s="76">
        <v>1400</v>
      </c>
      <c r="H39" s="207">
        <f t="shared" si="0"/>
        <v>100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</row>
    <row r="40" spans="1:209" s="42" customFormat="1" ht="24.75" customHeight="1">
      <c r="A40" s="33">
        <v>852</v>
      </c>
      <c r="B40" s="3"/>
      <c r="C40" s="20"/>
      <c r="D40" s="31" t="s">
        <v>229</v>
      </c>
      <c r="E40" s="43">
        <f>SUM(E41,E55,E57,)</f>
        <v>6257000</v>
      </c>
      <c r="F40" s="66">
        <f>SUM(F41,F55,F57,)</f>
        <v>6281563</v>
      </c>
      <c r="G40" s="66">
        <f>SUM(G41,G55,G57,)</f>
        <v>5618799</v>
      </c>
      <c r="H40" s="208">
        <f t="shared" si="0"/>
        <v>89.44905909564228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  <c r="GX40" s="182"/>
      <c r="GY40" s="182"/>
      <c r="GZ40" s="182"/>
      <c r="HA40" s="182"/>
    </row>
    <row r="41" spans="1:209" s="24" customFormat="1" ht="48">
      <c r="A41" s="105"/>
      <c r="B41" s="55">
        <v>85212</v>
      </c>
      <c r="C41" s="85"/>
      <c r="D41" s="83" t="s">
        <v>366</v>
      </c>
      <c r="E41" s="90">
        <f>SUM(E42:E54)</f>
        <v>5565000</v>
      </c>
      <c r="F41" s="76">
        <f>SUM(F42:F54)</f>
        <v>5800262</v>
      </c>
      <c r="G41" s="76">
        <f>SUM(G42:G54)</f>
        <v>5150590</v>
      </c>
      <c r="H41" s="207">
        <f t="shared" si="0"/>
        <v>88.79926458494461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/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</row>
    <row r="42" spans="1:209" s="24" customFormat="1" ht="24">
      <c r="A42" s="105"/>
      <c r="B42" s="55"/>
      <c r="C42" s="85">
        <v>3020</v>
      </c>
      <c r="D42" s="39" t="s">
        <v>347</v>
      </c>
      <c r="E42" s="90">
        <v>1000</v>
      </c>
      <c r="F42" s="76">
        <v>160</v>
      </c>
      <c r="G42" s="76">
        <v>160</v>
      </c>
      <c r="H42" s="207">
        <f t="shared" si="0"/>
        <v>100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</row>
    <row r="43" spans="1:209" s="24" customFormat="1" ht="19.5" customHeight="1">
      <c r="A43" s="105"/>
      <c r="B43" s="55"/>
      <c r="C43" s="85">
        <v>3110</v>
      </c>
      <c r="D43" s="83" t="s">
        <v>128</v>
      </c>
      <c r="E43" s="90">
        <v>5365883</v>
      </c>
      <c r="F43" s="76">
        <v>5601145</v>
      </c>
      <c r="G43" s="76">
        <v>4964577</v>
      </c>
      <c r="H43" s="207">
        <f t="shared" si="0"/>
        <v>88.63503801454881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3"/>
      <c r="GT43" s="163"/>
      <c r="GU43" s="163"/>
      <c r="GV43" s="163"/>
      <c r="GW43" s="163"/>
      <c r="GX43" s="163"/>
      <c r="GY43" s="163"/>
      <c r="GZ43" s="163"/>
      <c r="HA43" s="163"/>
    </row>
    <row r="44" spans="1:209" s="24" customFormat="1" ht="22.5" customHeight="1">
      <c r="A44" s="105"/>
      <c r="B44" s="55"/>
      <c r="C44" s="55">
        <v>4010</v>
      </c>
      <c r="D44" s="12" t="s">
        <v>97</v>
      </c>
      <c r="E44" s="90">
        <f>60213</f>
        <v>60213</v>
      </c>
      <c r="F44" s="76">
        <v>61474</v>
      </c>
      <c r="G44" s="76">
        <v>61474</v>
      </c>
      <c r="H44" s="207">
        <f t="shared" si="0"/>
        <v>100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</row>
    <row r="45" spans="1:209" s="24" customFormat="1" ht="22.5" customHeight="1">
      <c r="A45" s="105"/>
      <c r="B45" s="55"/>
      <c r="C45" s="55">
        <v>4040</v>
      </c>
      <c r="D45" s="12" t="s">
        <v>98</v>
      </c>
      <c r="E45" s="90">
        <v>3800</v>
      </c>
      <c r="F45" s="76">
        <v>4456</v>
      </c>
      <c r="G45" s="76">
        <v>4455</v>
      </c>
      <c r="H45" s="207">
        <f t="shared" si="0"/>
        <v>99.97755834829444</v>
      </c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</row>
    <row r="46" spans="1:209" s="24" customFormat="1" ht="22.5" customHeight="1">
      <c r="A46" s="105"/>
      <c r="B46" s="55"/>
      <c r="C46" s="55">
        <v>4110</v>
      </c>
      <c r="D46" s="12" t="s">
        <v>99</v>
      </c>
      <c r="E46" s="90">
        <f>11631+90000</f>
        <v>101631</v>
      </c>
      <c r="F46" s="76">
        <v>104744</v>
      </c>
      <c r="G46" s="76">
        <v>92212</v>
      </c>
      <c r="H46" s="207">
        <f t="shared" si="0"/>
        <v>88.03559153746276</v>
      </c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</row>
    <row r="47" spans="1:209" s="24" customFormat="1" ht="19.5" customHeight="1">
      <c r="A47" s="105"/>
      <c r="B47" s="55"/>
      <c r="C47" s="55">
        <v>4120</v>
      </c>
      <c r="D47" s="12" t="s">
        <v>100</v>
      </c>
      <c r="E47" s="90">
        <f>1181</f>
        <v>1181</v>
      </c>
      <c r="F47" s="76">
        <v>1643</v>
      </c>
      <c r="G47" s="76">
        <v>1643</v>
      </c>
      <c r="H47" s="207">
        <f t="shared" si="0"/>
        <v>100</v>
      </c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</row>
    <row r="48" spans="1:209" s="24" customFormat="1" ht="19.5" customHeight="1">
      <c r="A48" s="105"/>
      <c r="B48" s="55"/>
      <c r="C48" s="55">
        <v>4170</v>
      </c>
      <c r="D48" s="12" t="s">
        <v>249</v>
      </c>
      <c r="E48" s="90">
        <v>0</v>
      </c>
      <c r="F48" s="76">
        <v>2003</v>
      </c>
      <c r="G48" s="76">
        <v>2002</v>
      </c>
      <c r="H48" s="207">
        <f t="shared" si="0"/>
        <v>99.95007488766849</v>
      </c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</row>
    <row r="49" spans="1:209" s="24" customFormat="1" ht="19.5" customHeight="1">
      <c r="A49" s="105"/>
      <c r="B49" s="55"/>
      <c r="C49" s="55">
        <v>4210</v>
      </c>
      <c r="D49" s="12" t="s">
        <v>105</v>
      </c>
      <c r="E49" s="90">
        <v>16017</v>
      </c>
      <c r="F49" s="76">
        <v>7076</v>
      </c>
      <c r="G49" s="76">
        <v>7076</v>
      </c>
      <c r="H49" s="207">
        <f t="shared" si="0"/>
        <v>100</v>
      </c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</row>
    <row r="50" spans="1:209" s="24" customFormat="1" ht="19.5" customHeight="1">
      <c r="A50" s="105"/>
      <c r="B50" s="55"/>
      <c r="C50" s="55">
        <v>4300</v>
      </c>
      <c r="D50" s="12" t="s">
        <v>92</v>
      </c>
      <c r="E50" s="90">
        <v>12000</v>
      </c>
      <c r="F50" s="76">
        <v>9763</v>
      </c>
      <c r="G50" s="76">
        <v>9252</v>
      </c>
      <c r="H50" s="207">
        <f t="shared" si="0"/>
        <v>94.7659530881901</v>
      </c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</row>
    <row r="51" spans="1:209" s="24" customFormat="1" ht="19.5" customHeight="1">
      <c r="A51" s="105"/>
      <c r="B51" s="55"/>
      <c r="C51" s="55">
        <v>4350</v>
      </c>
      <c r="D51" s="12" t="s">
        <v>307</v>
      </c>
      <c r="E51" s="90">
        <v>0</v>
      </c>
      <c r="F51" s="76">
        <v>650</v>
      </c>
      <c r="G51" s="76">
        <v>648</v>
      </c>
      <c r="H51" s="207">
        <f t="shared" si="0"/>
        <v>99.6923076923077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</row>
    <row r="52" spans="1:209" s="24" customFormat="1" ht="19.5" customHeight="1">
      <c r="A52" s="105"/>
      <c r="B52" s="55"/>
      <c r="C52" s="55">
        <v>4410</v>
      </c>
      <c r="D52" s="12" t="s">
        <v>103</v>
      </c>
      <c r="E52" s="90">
        <v>500</v>
      </c>
      <c r="F52" s="76">
        <v>2000</v>
      </c>
      <c r="G52" s="76">
        <v>1943</v>
      </c>
      <c r="H52" s="207">
        <f t="shared" si="0"/>
        <v>97.15</v>
      </c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</row>
    <row r="53" spans="1:209" s="24" customFormat="1" ht="19.5" customHeight="1">
      <c r="A53" s="105"/>
      <c r="B53" s="55"/>
      <c r="C53" s="55">
        <v>4430</v>
      </c>
      <c r="D53" s="12" t="s">
        <v>107</v>
      </c>
      <c r="E53" s="90">
        <v>0</v>
      </c>
      <c r="F53" s="76">
        <v>1285</v>
      </c>
      <c r="G53" s="76">
        <v>1285</v>
      </c>
      <c r="H53" s="207">
        <f t="shared" si="0"/>
        <v>100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163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163"/>
    </row>
    <row r="54" spans="1:209" s="24" customFormat="1" ht="23.25" customHeight="1">
      <c r="A54" s="105"/>
      <c r="B54" s="55"/>
      <c r="C54" s="55">
        <v>4440</v>
      </c>
      <c r="D54" s="12" t="s">
        <v>101</v>
      </c>
      <c r="E54" s="90">
        <v>2775</v>
      </c>
      <c r="F54" s="76">
        <v>3863</v>
      </c>
      <c r="G54" s="76">
        <v>3863</v>
      </c>
      <c r="H54" s="207">
        <f t="shared" si="0"/>
        <v>100</v>
      </c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</row>
    <row r="55" spans="1:209" s="24" customFormat="1" ht="60">
      <c r="A55" s="78"/>
      <c r="B55" s="55">
        <v>85213</v>
      </c>
      <c r="C55" s="86"/>
      <c r="D55" s="83" t="s">
        <v>282</v>
      </c>
      <c r="E55" s="94">
        <f>SUM(E56)</f>
        <v>160900</v>
      </c>
      <c r="F55" s="94">
        <f>SUM(F56)</f>
        <v>66000</v>
      </c>
      <c r="G55" s="94">
        <f>SUM(G56)</f>
        <v>63591</v>
      </c>
      <c r="H55" s="207">
        <f t="shared" si="0"/>
        <v>96.35000000000001</v>
      </c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</row>
    <row r="56" spans="1:209" s="24" customFormat="1" ht="12">
      <c r="A56" s="78"/>
      <c r="B56" s="55"/>
      <c r="C56" s="86">
        <v>4130</v>
      </c>
      <c r="D56" s="83" t="s">
        <v>137</v>
      </c>
      <c r="E56" s="90">
        <v>160900</v>
      </c>
      <c r="F56" s="76">
        <v>66000</v>
      </c>
      <c r="G56" s="76">
        <v>63591</v>
      </c>
      <c r="H56" s="207">
        <f t="shared" si="0"/>
        <v>96.35000000000001</v>
      </c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163"/>
      <c r="GL56" s="163"/>
      <c r="GM56" s="163"/>
      <c r="GN56" s="163"/>
      <c r="GO56" s="163"/>
      <c r="GP56" s="163"/>
      <c r="GQ56" s="163"/>
      <c r="GR56" s="163"/>
      <c r="GS56" s="163"/>
      <c r="GT56" s="163"/>
      <c r="GU56" s="163"/>
      <c r="GV56" s="163"/>
      <c r="GW56" s="163"/>
      <c r="GX56" s="163"/>
      <c r="GY56" s="163"/>
      <c r="GZ56" s="163"/>
      <c r="HA56" s="163"/>
    </row>
    <row r="57" spans="1:209" s="68" customFormat="1" ht="36">
      <c r="A57" s="73"/>
      <c r="B57" s="73">
        <v>85214</v>
      </c>
      <c r="C57" s="74"/>
      <c r="D57" s="72" t="s">
        <v>306</v>
      </c>
      <c r="E57" s="96">
        <f>SUM(E58:E59)</f>
        <v>531100</v>
      </c>
      <c r="F57" s="96">
        <f>SUM(F58:F59)</f>
        <v>415301</v>
      </c>
      <c r="G57" s="96">
        <f>SUM(G58:G59)</f>
        <v>404618</v>
      </c>
      <c r="H57" s="207">
        <f t="shared" si="0"/>
        <v>97.4276488619098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</row>
    <row r="58" spans="1:209" s="68" customFormat="1" ht="18" customHeight="1">
      <c r="A58" s="73"/>
      <c r="B58" s="91"/>
      <c r="C58" s="74">
        <v>3110</v>
      </c>
      <c r="D58" s="72" t="s">
        <v>128</v>
      </c>
      <c r="E58" s="96">
        <v>521100</v>
      </c>
      <c r="F58" s="76">
        <v>413000</v>
      </c>
      <c r="G58" s="76">
        <v>402317</v>
      </c>
      <c r="H58" s="207">
        <f t="shared" si="0"/>
        <v>97.41331719128328</v>
      </c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  <c r="FF58" s="163"/>
      <c r="FG58" s="163"/>
      <c r="FH58" s="163"/>
      <c r="FI58" s="163"/>
      <c r="FJ58" s="163"/>
      <c r="FK58" s="163"/>
      <c r="FL58" s="163"/>
      <c r="FM58" s="163"/>
      <c r="FN58" s="163"/>
      <c r="FO58" s="163"/>
      <c r="FP58" s="163"/>
      <c r="FQ58" s="163"/>
      <c r="FR58" s="163"/>
      <c r="FS58" s="163"/>
      <c r="FT58" s="163"/>
      <c r="FU58" s="163"/>
      <c r="FV58" s="163"/>
      <c r="FW58" s="163"/>
      <c r="FX58" s="163"/>
      <c r="FY58" s="163"/>
      <c r="FZ58" s="163"/>
      <c r="GA58" s="163"/>
      <c r="GB58" s="163"/>
      <c r="GC58" s="163"/>
      <c r="GD58" s="163"/>
      <c r="GE58" s="163"/>
      <c r="GF58" s="163"/>
      <c r="GG58" s="163"/>
      <c r="GH58" s="163"/>
      <c r="GI58" s="163"/>
      <c r="GJ58" s="163"/>
      <c r="GK58" s="163"/>
      <c r="GL58" s="163"/>
      <c r="GM58" s="163"/>
      <c r="GN58" s="163"/>
      <c r="GO58" s="163"/>
      <c r="GP58" s="163"/>
      <c r="GQ58" s="163"/>
      <c r="GR58" s="163"/>
      <c r="GS58" s="163"/>
      <c r="GT58" s="163"/>
      <c r="GU58" s="163"/>
      <c r="GV58" s="163"/>
      <c r="GW58" s="163"/>
      <c r="GX58" s="163"/>
      <c r="GY58" s="163"/>
      <c r="GZ58" s="163"/>
      <c r="HA58" s="163"/>
    </row>
    <row r="59" spans="1:209" s="68" customFormat="1" ht="22.5">
      <c r="A59" s="73"/>
      <c r="B59" s="91"/>
      <c r="C59" s="91">
        <v>4110</v>
      </c>
      <c r="D59" s="12" t="s">
        <v>99</v>
      </c>
      <c r="E59" s="96">
        <v>10000</v>
      </c>
      <c r="F59" s="76">
        <v>2301</v>
      </c>
      <c r="G59" s="76">
        <v>2301</v>
      </c>
      <c r="H59" s="207">
        <f t="shared" si="0"/>
        <v>100</v>
      </c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3"/>
      <c r="FT59" s="163"/>
      <c r="FU59" s="163"/>
      <c r="FV59" s="163"/>
      <c r="FW59" s="163"/>
      <c r="FX59" s="163"/>
      <c r="FY59" s="163"/>
      <c r="FZ59" s="163"/>
      <c r="GA59" s="163"/>
      <c r="GB59" s="163"/>
      <c r="GC59" s="163"/>
      <c r="GD59" s="163"/>
      <c r="GE59" s="163"/>
      <c r="GF59" s="163"/>
      <c r="GG59" s="163"/>
      <c r="GH59" s="163"/>
      <c r="GI59" s="163"/>
      <c r="GJ59" s="163"/>
      <c r="GK59" s="163"/>
      <c r="GL59" s="163"/>
      <c r="GM59" s="163"/>
      <c r="GN59" s="163"/>
      <c r="GO59" s="163"/>
      <c r="GP59" s="163"/>
      <c r="GQ59" s="163"/>
      <c r="GR59" s="163"/>
      <c r="GS59" s="163"/>
      <c r="GT59" s="163"/>
      <c r="GU59" s="163"/>
      <c r="GV59" s="163"/>
      <c r="GW59" s="163"/>
      <c r="GX59" s="163"/>
      <c r="GY59" s="163"/>
      <c r="GZ59" s="163"/>
      <c r="HA59" s="163"/>
    </row>
    <row r="60" spans="1:209" ht="23.25" customHeight="1">
      <c r="A60" s="8"/>
      <c r="B60" s="8"/>
      <c r="C60" s="8"/>
      <c r="D60" s="16" t="s">
        <v>81</v>
      </c>
      <c r="E60" s="43">
        <f>SUM(E40,E36,E16,E9,)</f>
        <v>6404737</v>
      </c>
      <c r="F60" s="43">
        <f>SUM(F40,F36,F16,F9,)</f>
        <v>6544374</v>
      </c>
      <c r="G60" s="43">
        <f>SUM(G40,G36,G16,G9,)</f>
        <v>5881063</v>
      </c>
      <c r="H60" s="208">
        <f t="shared" si="0"/>
        <v>89.86440872725183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</row>
    <row r="68" ht="12.75">
      <c r="E68" s="40"/>
    </row>
    <row r="69" ht="12.75">
      <c r="E69" s="40"/>
    </row>
    <row r="70" ht="12.75">
      <c r="E70" s="118"/>
    </row>
  </sheetData>
  <mergeCells count="8">
    <mergeCell ref="E7:E8"/>
    <mergeCell ref="F7:F8"/>
    <mergeCell ref="G7:H7"/>
    <mergeCell ref="A6:D6"/>
    <mergeCell ref="A7:A8"/>
    <mergeCell ref="B7:B8"/>
    <mergeCell ref="C7:C8"/>
    <mergeCell ref="D7:D8"/>
  </mergeCells>
  <printOptions horizontalCentered="1"/>
  <pageMargins left="0.55" right="0.53" top="0.7874015748031497" bottom="0.7874015748031497" header="0.5118110236220472" footer="0.31496062992125984"/>
  <pageSetup horizontalDpi="600" verticalDpi="600" orientation="portrait" paperSize="9" r:id="rId3"/>
  <headerFooter alignWithMargins="0">
    <oddFooter>&amp;C&amp;8Administracja rządowa - str.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H12" sqref="H12"/>
    </sheetView>
  </sheetViews>
  <sheetFormatPr defaultColWidth="9.00390625" defaultRowHeight="12.75"/>
  <cols>
    <col min="1" max="1" width="4.875" style="6" customWidth="1"/>
    <col min="2" max="2" width="7.125" style="6" customWidth="1"/>
    <col min="3" max="3" width="5.00390625" style="6" bestFit="1" customWidth="1"/>
    <col min="4" max="4" width="29.375" style="6" customWidth="1"/>
    <col min="5" max="5" width="16.875" style="6" hidden="1" customWidth="1"/>
    <col min="6" max="7" width="12.25390625" style="0" hidden="1" customWidth="1"/>
    <col min="8" max="8" width="12.25390625" style="0" bestFit="1" customWidth="1"/>
    <col min="9" max="9" width="12.125" style="179" customWidth="1"/>
    <col min="10" max="10" width="12.75390625" style="179" bestFit="1" customWidth="1"/>
    <col min="11" max="11" width="7.875" style="227" customWidth="1"/>
  </cols>
  <sheetData>
    <row r="1" spans="5:10" ht="12.75">
      <c r="E1" s="65" t="s">
        <v>236</v>
      </c>
      <c r="F1" s="65"/>
      <c r="G1" s="65"/>
      <c r="H1" s="65"/>
      <c r="I1" s="180"/>
      <c r="J1" s="180" t="s">
        <v>236</v>
      </c>
    </row>
    <row r="2" spans="5:10" ht="12.75">
      <c r="E2" s="65" t="s">
        <v>265</v>
      </c>
      <c r="F2" s="65"/>
      <c r="G2" s="65"/>
      <c r="H2" s="65"/>
      <c r="I2" s="180"/>
      <c r="J2" s="180" t="s">
        <v>378</v>
      </c>
    </row>
    <row r="3" spans="5:10" ht="12.75">
      <c r="E3" s="65" t="s">
        <v>172</v>
      </c>
      <c r="F3" s="65"/>
      <c r="G3" s="65"/>
      <c r="H3" s="65"/>
      <c r="I3" s="180"/>
      <c r="J3" s="180" t="s">
        <v>379</v>
      </c>
    </row>
    <row r="4" spans="5:10" ht="12.75">
      <c r="E4" s="65" t="s">
        <v>266</v>
      </c>
      <c r="F4" s="65"/>
      <c r="G4" s="65"/>
      <c r="H4" s="65"/>
      <c r="I4" s="180"/>
      <c r="J4" s="180" t="s">
        <v>380</v>
      </c>
    </row>
    <row r="5" spans="1:8" ht="33.75" customHeight="1">
      <c r="A5" s="251" t="s">
        <v>398</v>
      </c>
      <c r="B5" s="251"/>
      <c r="C5" s="251"/>
      <c r="D5" s="251"/>
      <c r="E5" s="251"/>
      <c r="F5" s="251"/>
      <c r="G5" s="251"/>
      <c r="H5" s="251"/>
    </row>
    <row r="6" spans="1:11" ht="19.5" customHeight="1">
      <c r="A6" s="239" t="s">
        <v>0</v>
      </c>
      <c r="B6" s="239" t="s">
        <v>1</v>
      </c>
      <c r="C6" s="239" t="s">
        <v>2</v>
      </c>
      <c r="D6" s="239" t="s">
        <v>3</v>
      </c>
      <c r="E6" s="226"/>
      <c r="F6" s="186"/>
      <c r="G6" s="186"/>
      <c r="H6" s="236" t="s">
        <v>372</v>
      </c>
      <c r="I6" s="245" t="s">
        <v>278</v>
      </c>
      <c r="J6" s="250" t="s">
        <v>374</v>
      </c>
      <c r="K6" s="250"/>
    </row>
    <row r="7" spans="1:11" s="6" customFormat="1" ht="22.5" customHeight="1">
      <c r="A7" s="239"/>
      <c r="B7" s="239"/>
      <c r="C7" s="239"/>
      <c r="D7" s="239"/>
      <c r="E7" s="17" t="s">
        <v>163</v>
      </c>
      <c r="F7" s="2" t="s">
        <v>256</v>
      </c>
      <c r="G7" s="2" t="s">
        <v>260</v>
      </c>
      <c r="H7" s="236"/>
      <c r="I7" s="245"/>
      <c r="J7" s="193" t="s">
        <v>375</v>
      </c>
      <c r="K7" s="228" t="s">
        <v>376</v>
      </c>
    </row>
    <row r="8" spans="1:11" s="42" customFormat="1" ht="21.75" customHeight="1">
      <c r="A8" s="30" t="s">
        <v>87</v>
      </c>
      <c r="B8" s="3"/>
      <c r="C8" s="20"/>
      <c r="D8" s="19" t="s">
        <v>88</v>
      </c>
      <c r="E8" s="41">
        <f>SUM(E15)</f>
        <v>630343</v>
      </c>
      <c r="F8" s="41">
        <f>SUM(F15)</f>
        <v>200000</v>
      </c>
      <c r="G8" s="41">
        <f>SUM(G15)</f>
        <v>0</v>
      </c>
      <c r="H8" s="41">
        <f>SUM(H15,H12,H9)</f>
        <v>830343</v>
      </c>
      <c r="I8" s="41">
        <f>SUM(I15,I12,I9)</f>
        <v>753749</v>
      </c>
      <c r="J8" s="41">
        <f>SUM(J15,J12,J9)</f>
        <v>753748</v>
      </c>
      <c r="K8" s="231">
        <f>J8/I8*100</f>
        <v>99.99986732984057</v>
      </c>
    </row>
    <row r="9" spans="1:11" s="24" customFormat="1" ht="21.75" customHeight="1">
      <c r="A9" s="77"/>
      <c r="B9" s="55">
        <v>60013</v>
      </c>
      <c r="C9" s="86"/>
      <c r="D9" s="39" t="s">
        <v>301</v>
      </c>
      <c r="E9" s="62"/>
      <c r="F9" s="62"/>
      <c r="G9" s="62"/>
      <c r="H9" s="62">
        <f aca="true" t="shared" si="0" ref="H9:J10">SUM(H10)</f>
        <v>0</v>
      </c>
      <c r="I9" s="62">
        <f t="shared" si="0"/>
        <v>72500</v>
      </c>
      <c r="J9" s="62">
        <f t="shared" si="0"/>
        <v>72500</v>
      </c>
      <c r="K9" s="229">
        <f>J9/I9*100</f>
        <v>100</v>
      </c>
    </row>
    <row r="10" spans="1:11" s="24" customFormat="1" ht="67.5">
      <c r="A10" s="77"/>
      <c r="B10" s="55"/>
      <c r="C10" s="86">
        <v>6300</v>
      </c>
      <c r="D10" s="39" t="s">
        <v>302</v>
      </c>
      <c r="E10" s="62"/>
      <c r="F10" s="62"/>
      <c r="G10" s="62"/>
      <c r="H10" s="62">
        <f t="shared" si="0"/>
        <v>0</v>
      </c>
      <c r="I10" s="62">
        <f t="shared" si="0"/>
        <v>72500</v>
      </c>
      <c r="J10" s="62">
        <f t="shared" si="0"/>
        <v>72500</v>
      </c>
      <c r="K10" s="229">
        <f aca="true" t="shared" si="1" ref="K10:K73">J10/I10*100</f>
        <v>100</v>
      </c>
    </row>
    <row r="11" spans="1:11" s="27" customFormat="1" ht="21" customHeight="1">
      <c r="A11" s="51"/>
      <c r="B11" s="47"/>
      <c r="C11" s="48"/>
      <c r="D11" s="53" t="s">
        <v>311</v>
      </c>
      <c r="E11" s="50"/>
      <c r="F11" s="50"/>
      <c r="G11" s="50"/>
      <c r="H11" s="50">
        <v>0</v>
      </c>
      <c r="I11" s="183">
        <v>72500</v>
      </c>
      <c r="J11" s="183">
        <v>72500</v>
      </c>
      <c r="K11" s="230">
        <f t="shared" si="1"/>
        <v>100</v>
      </c>
    </row>
    <row r="12" spans="1:11" s="24" customFormat="1" ht="21.75" customHeight="1">
      <c r="A12" s="77"/>
      <c r="B12" s="92">
        <v>60014</v>
      </c>
      <c r="C12" s="91"/>
      <c r="D12" s="39" t="s">
        <v>346</v>
      </c>
      <c r="E12" s="62"/>
      <c r="F12" s="62"/>
      <c r="G12" s="62"/>
      <c r="H12" s="62">
        <f aca="true" t="shared" si="2" ref="H12:J13">SUM(H13)</f>
        <v>0</v>
      </c>
      <c r="I12" s="62">
        <f t="shared" si="2"/>
        <v>34500</v>
      </c>
      <c r="J12" s="62">
        <f t="shared" si="2"/>
        <v>34500</v>
      </c>
      <c r="K12" s="229">
        <f t="shared" si="1"/>
        <v>100</v>
      </c>
    </row>
    <row r="13" spans="1:11" s="24" customFormat="1" ht="67.5">
      <c r="A13" s="77"/>
      <c r="B13" s="92"/>
      <c r="C13" s="91">
        <v>6300</v>
      </c>
      <c r="D13" s="39" t="s">
        <v>302</v>
      </c>
      <c r="E13" s="62"/>
      <c r="F13" s="62"/>
      <c r="G13" s="62"/>
      <c r="H13" s="62">
        <f t="shared" si="2"/>
        <v>0</v>
      </c>
      <c r="I13" s="62">
        <f t="shared" si="2"/>
        <v>34500</v>
      </c>
      <c r="J13" s="62">
        <f t="shared" si="2"/>
        <v>34500</v>
      </c>
      <c r="K13" s="229">
        <f t="shared" si="1"/>
        <v>100</v>
      </c>
    </row>
    <row r="14" spans="1:11" s="27" customFormat="1" ht="27" customHeight="1">
      <c r="A14" s="51"/>
      <c r="B14" s="47"/>
      <c r="C14" s="48"/>
      <c r="D14" s="53" t="s">
        <v>354</v>
      </c>
      <c r="E14" s="50"/>
      <c r="F14" s="50"/>
      <c r="G14" s="50"/>
      <c r="H14" s="50">
        <v>0</v>
      </c>
      <c r="I14" s="183">
        <v>34500</v>
      </c>
      <c r="J14" s="183">
        <v>34500</v>
      </c>
      <c r="K14" s="230">
        <f t="shared" si="1"/>
        <v>100</v>
      </c>
    </row>
    <row r="15" spans="1:11" s="24" customFormat="1" ht="21.75" customHeight="1">
      <c r="A15" s="77"/>
      <c r="B15" s="78" t="s">
        <v>89</v>
      </c>
      <c r="C15" s="86"/>
      <c r="D15" s="12" t="s">
        <v>90</v>
      </c>
      <c r="E15" s="62">
        <f aca="true" t="shared" si="3" ref="E15:J15">SUM(E16,E20,)</f>
        <v>630343</v>
      </c>
      <c r="F15" s="62">
        <f t="shared" si="3"/>
        <v>200000</v>
      </c>
      <c r="G15" s="62">
        <f t="shared" si="3"/>
        <v>0</v>
      </c>
      <c r="H15" s="62">
        <f t="shared" si="3"/>
        <v>830343</v>
      </c>
      <c r="I15" s="62">
        <f t="shared" si="3"/>
        <v>646749</v>
      </c>
      <c r="J15" s="62">
        <f t="shared" si="3"/>
        <v>646748</v>
      </c>
      <c r="K15" s="229">
        <f t="shared" si="1"/>
        <v>99.99984538051083</v>
      </c>
    </row>
    <row r="16" spans="1:11" s="24" customFormat="1" ht="24" customHeight="1">
      <c r="A16" s="84"/>
      <c r="B16" s="55"/>
      <c r="C16" s="86">
        <v>6050</v>
      </c>
      <c r="D16" s="12" t="s">
        <v>86</v>
      </c>
      <c r="E16" s="62">
        <f aca="true" t="shared" si="4" ref="E16:J16">SUM(E17:E19)</f>
        <v>630343</v>
      </c>
      <c r="F16" s="62">
        <f t="shared" si="4"/>
        <v>0</v>
      </c>
      <c r="G16" s="62">
        <f t="shared" si="4"/>
        <v>0</v>
      </c>
      <c r="H16" s="62">
        <f t="shared" si="4"/>
        <v>630343</v>
      </c>
      <c r="I16" s="62">
        <f t="shared" si="4"/>
        <v>646749</v>
      </c>
      <c r="J16" s="62">
        <f t="shared" si="4"/>
        <v>646748</v>
      </c>
      <c r="K16" s="229">
        <f t="shared" si="1"/>
        <v>99.99984538051083</v>
      </c>
    </row>
    <row r="17" spans="1:11" s="27" customFormat="1" ht="21" customHeight="1">
      <c r="A17" s="46"/>
      <c r="B17" s="47"/>
      <c r="C17" s="48"/>
      <c r="D17" s="53" t="s">
        <v>214</v>
      </c>
      <c r="E17" s="50">
        <v>30343</v>
      </c>
      <c r="F17" s="129"/>
      <c r="G17" s="129"/>
      <c r="H17" s="97">
        <f>SUM(E17+F17-G17)</f>
        <v>30343</v>
      </c>
      <c r="I17" s="183">
        <v>26749</v>
      </c>
      <c r="J17" s="183">
        <v>26748</v>
      </c>
      <c r="K17" s="230">
        <f t="shared" si="1"/>
        <v>99.99626154248757</v>
      </c>
    </row>
    <row r="18" spans="1:11" s="27" customFormat="1" ht="21" customHeight="1">
      <c r="A18" s="46"/>
      <c r="B18" s="47"/>
      <c r="C18" s="48"/>
      <c r="D18" s="53" t="s">
        <v>272</v>
      </c>
      <c r="E18" s="50"/>
      <c r="F18" s="129"/>
      <c r="G18" s="129"/>
      <c r="H18" s="97">
        <v>0</v>
      </c>
      <c r="I18" s="183">
        <v>20000</v>
      </c>
      <c r="J18" s="183">
        <v>20000</v>
      </c>
      <c r="K18" s="230">
        <f t="shared" si="1"/>
        <v>100</v>
      </c>
    </row>
    <row r="19" spans="1:11" s="27" customFormat="1" ht="21" customHeight="1">
      <c r="A19" s="46"/>
      <c r="B19" s="47"/>
      <c r="C19" s="48"/>
      <c r="D19" s="49" t="s">
        <v>218</v>
      </c>
      <c r="E19" s="50">
        <v>600000</v>
      </c>
      <c r="F19" s="129"/>
      <c r="G19" s="129"/>
      <c r="H19" s="97">
        <f>SUM(E19+F19-G19)</f>
        <v>600000</v>
      </c>
      <c r="I19" s="183">
        <v>600000</v>
      </c>
      <c r="J19" s="183">
        <v>600000</v>
      </c>
      <c r="K19" s="230">
        <f t="shared" si="1"/>
        <v>100</v>
      </c>
    </row>
    <row r="20" spans="1:11" s="24" customFormat="1" ht="22.5">
      <c r="A20" s="84"/>
      <c r="B20" s="55"/>
      <c r="C20" s="135">
        <v>6800</v>
      </c>
      <c r="D20" s="131" t="s">
        <v>262</v>
      </c>
      <c r="E20" s="136">
        <f aca="true" t="shared" si="5" ref="E20:J20">SUM(E21)</f>
        <v>0</v>
      </c>
      <c r="F20" s="136">
        <f t="shared" si="5"/>
        <v>200000</v>
      </c>
      <c r="G20" s="136">
        <f t="shared" si="5"/>
        <v>0</v>
      </c>
      <c r="H20" s="136">
        <f t="shared" si="5"/>
        <v>200000</v>
      </c>
      <c r="I20" s="136">
        <f t="shared" si="5"/>
        <v>0</v>
      </c>
      <c r="J20" s="136">
        <f t="shared" si="5"/>
        <v>0</v>
      </c>
      <c r="K20" s="229">
        <v>0</v>
      </c>
    </row>
    <row r="21" spans="1:11" s="27" customFormat="1" ht="33.75">
      <c r="A21" s="46"/>
      <c r="B21" s="47"/>
      <c r="C21" s="135"/>
      <c r="D21" s="132" t="s">
        <v>269</v>
      </c>
      <c r="E21" s="137">
        <v>0</v>
      </c>
      <c r="F21" s="133">
        <v>200000</v>
      </c>
      <c r="G21" s="134"/>
      <c r="H21" s="133">
        <f>SUM(E21+F21-G21)</f>
        <v>200000</v>
      </c>
      <c r="I21" s="183">
        <v>0</v>
      </c>
      <c r="J21" s="183">
        <v>0</v>
      </c>
      <c r="K21" s="230">
        <v>0</v>
      </c>
    </row>
    <row r="22" spans="1:11" s="9" customFormat="1" ht="21.75" customHeight="1">
      <c r="A22" s="30" t="s">
        <v>11</v>
      </c>
      <c r="B22" s="3"/>
      <c r="C22" s="20"/>
      <c r="D22" s="19" t="s">
        <v>12</v>
      </c>
      <c r="E22" s="18">
        <f>SUM(E28,E23)</f>
        <v>425000</v>
      </c>
      <c r="F22" s="18">
        <f>SUM(F28,F23)</f>
        <v>0</v>
      </c>
      <c r="G22" s="18">
        <f>SUM(G28,G23)</f>
        <v>0</v>
      </c>
      <c r="H22" s="18">
        <f>SUM(H23,H28,)</f>
        <v>425000</v>
      </c>
      <c r="I22" s="18">
        <f>SUM(I28,I23)</f>
        <v>469450</v>
      </c>
      <c r="J22" s="18">
        <f>SUM(J28,J23)</f>
        <v>469449</v>
      </c>
      <c r="K22" s="231">
        <f t="shared" si="1"/>
        <v>99.99978698476941</v>
      </c>
    </row>
    <row r="23" spans="1:11" s="24" customFormat="1" ht="24.75" customHeight="1">
      <c r="A23" s="77"/>
      <c r="B23" s="84">
        <v>70021</v>
      </c>
      <c r="C23" s="78"/>
      <c r="D23" s="12" t="s">
        <v>217</v>
      </c>
      <c r="E23" s="90">
        <f>SUM(E26)</f>
        <v>375000</v>
      </c>
      <c r="F23" s="90">
        <f>SUM(F26)</f>
        <v>0</v>
      </c>
      <c r="G23" s="90">
        <f>SUM(G26)</f>
        <v>0</v>
      </c>
      <c r="H23" s="90">
        <f>SUM(H24,H26,)</f>
        <v>375000</v>
      </c>
      <c r="I23" s="90">
        <f>SUM(I26,I24)</f>
        <v>375000</v>
      </c>
      <c r="J23" s="90">
        <f>SUM(J26,J24)</f>
        <v>375000</v>
      </c>
      <c r="K23" s="229">
        <f t="shared" si="1"/>
        <v>100</v>
      </c>
    </row>
    <row r="24" spans="1:11" s="24" customFormat="1" ht="37.5" customHeight="1">
      <c r="A24" s="77"/>
      <c r="B24" s="84"/>
      <c r="C24" s="78">
        <v>6010</v>
      </c>
      <c r="D24" s="39" t="s">
        <v>268</v>
      </c>
      <c r="E24" s="90"/>
      <c r="F24" s="90"/>
      <c r="G24" s="90"/>
      <c r="H24" s="90">
        <f>SUM(H25)</f>
        <v>0</v>
      </c>
      <c r="I24" s="90">
        <f>SUM(I25)</f>
        <v>375000</v>
      </c>
      <c r="J24" s="90">
        <f>SUM(J25)</f>
        <v>375000</v>
      </c>
      <c r="K24" s="229">
        <f t="shared" si="1"/>
        <v>100</v>
      </c>
    </row>
    <row r="25" spans="1:11" s="27" customFormat="1" ht="21.75" customHeight="1">
      <c r="A25" s="51"/>
      <c r="B25" s="46"/>
      <c r="C25" s="110"/>
      <c r="D25" s="53" t="s">
        <v>271</v>
      </c>
      <c r="E25" s="54"/>
      <c r="F25" s="54"/>
      <c r="G25" s="54"/>
      <c r="H25" s="54">
        <v>0</v>
      </c>
      <c r="I25" s="183">
        <v>375000</v>
      </c>
      <c r="J25" s="183">
        <v>375000</v>
      </c>
      <c r="K25" s="229">
        <f t="shared" si="1"/>
        <v>100</v>
      </c>
    </row>
    <row r="26" spans="1:11" s="24" customFormat="1" ht="22.5">
      <c r="A26" s="77"/>
      <c r="B26" s="55"/>
      <c r="C26" s="78">
        <v>6050</v>
      </c>
      <c r="D26" s="12" t="s">
        <v>86</v>
      </c>
      <c r="E26" s="90">
        <f aca="true" t="shared" si="6" ref="E26:J26">SUM(E27)</f>
        <v>375000</v>
      </c>
      <c r="F26" s="90">
        <f t="shared" si="6"/>
        <v>0</v>
      </c>
      <c r="G26" s="90">
        <f t="shared" si="6"/>
        <v>0</v>
      </c>
      <c r="H26" s="90">
        <f t="shared" si="6"/>
        <v>375000</v>
      </c>
      <c r="I26" s="90">
        <f t="shared" si="6"/>
        <v>0</v>
      </c>
      <c r="J26" s="90">
        <f t="shared" si="6"/>
        <v>0</v>
      </c>
      <c r="K26" s="229">
        <v>0</v>
      </c>
    </row>
    <row r="27" spans="1:11" s="27" customFormat="1" ht="22.5">
      <c r="A27" s="51"/>
      <c r="B27" s="47"/>
      <c r="C27" s="110"/>
      <c r="D27" s="103" t="s">
        <v>264</v>
      </c>
      <c r="E27" s="104">
        <v>375000</v>
      </c>
      <c r="F27" s="129"/>
      <c r="G27" s="129"/>
      <c r="H27" s="97">
        <f>SUM(E27+F27-G27)</f>
        <v>375000</v>
      </c>
      <c r="I27" s="183">
        <v>0</v>
      </c>
      <c r="J27" s="183">
        <v>0</v>
      </c>
      <c r="K27" s="229">
        <v>0</v>
      </c>
    </row>
    <row r="28" spans="1:11" s="24" customFormat="1" ht="21.75" customHeight="1">
      <c r="A28" s="77"/>
      <c r="B28" s="78">
        <v>70095</v>
      </c>
      <c r="C28" s="86"/>
      <c r="D28" s="12" t="s">
        <v>6</v>
      </c>
      <c r="E28" s="90">
        <f aca="true" t="shared" si="7" ref="E28:G29">SUM(E29)</f>
        <v>50000</v>
      </c>
      <c r="F28" s="90">
        <f t="shared" si="7"/>
        <v>0</v>
      </c>
      <c r="G28" s="90">
        <f t="shared" si="7"/>
        <v>0</v>
      </c>
      <c r="H28" s="94">
        <f aca="true" t="shared" si="8" ref="H28:J29">SUM(H29)</f>
        <v>50000</v>
      </c>
      <c r="I28" s="94">
        <f t="shared" si="8"/>
        <v>94450</v>
      </c>
      <c r="J28" s="94">
        <f t="shared" si="8"/>
        <v>94449</v>
      </c>
      <c r="K28" s="229">
        <f t="shared" si="1"/>
        <v>99.99894123875066</v>
      </c>
    </row>
    <row r="29" spans="1:11" s="24" customFormat="1" ht="24" customHeight="1">
      <c r="A29" s="77"/>
      <c r="B29" s="78"/>
      <c r="C29" s="79">
        <v>6050</v>
      </c>
      <c r="D29" s="12" t="s">
        <v>86</v>
      </c>
      <c r="E29" s="90">
        <f t="shared" si="7"/>
        <v>50000</v>
      </c>
      <c r="F29" s="90">
        <f t="shared" si="7"/>
        <v>0</v>
      </c>
      <c r="G29" s="90">
        <f t="shared" si="7"/>
        <v>0</v>
      </c>
      <c r="H29" s="90">
        <f t="shared" si="8"/>
        <v>50000</v>
      </c>
      <c r="I29" s="90">
        <f t="shared" si="8"/>
        <v>94450</v>
      </c>
      <c r="J29" s="90">
        <f t="shared" si="8"/>
        <v>94449</v>
      </c>
      <c r="K29" s="229">
        <f t="shared" si="1"/>
        <v>99.99894123875066</v>
      </c>
    </row>
    <row r="30" spans="1:11" s="27" customFormat="1" ht="21" customHeight="1">
      <c r="A30" s="51"/>
      <c r="B30" s="47"/>
      <c r="C30" s="52"/>
      <c r="D30" s="53" t="s">
        <v>167</v>
      </c>
      <c r="E30" s="54">
        <f>100000-50000</f>
        <v>50000</v>
      </c>
      <c r="F30" s="129"/>
      <c r="G30" s="129"/>
      <c r="H30" s="97">
        <f>SUM(E30+F30-G30)</f>
        <v>50000</v>
      </c>
      <c r="I30" s="183">
        <v>94450</v>
      </c>
      <c r="J30" s="183">
        <v>94449</v>
      </c>
      <c r="K30" s="230">
        <f t="shared" si="1"/>
        <v>99.99894123875066</v>
      </c>
    </row>
    <row r="31" spans="1:11" s="9" customFormat="1" ht="23.25" customHeight="1">
      <c r="A31" s="30" t="s">
        <v>19</v>
      </c>
      <c r="B31" s="3"/>
      <c r="C31" s="20"/>
      <c r="D31" s="19" t="s">
        <v>96</v>
      </c>
      <c r="E31" s="18" t="e">
        <f aca="true" t="shared" si="9" ref="E31:J31">E32</f>
        <v>#REF!</v>
      </c>
      <c r="F31" s="18" t="e">
        <f t="shared" si="9"/>
        <v>#REF!</v>
      </c>
      <c r="G31" s="18" t="e">
        <f t="shared" si="9"/>
        <v>#REF!</v>
      </c>
      <c r="H31" s="18">
        <f t="shared" si="9"/>
        <v>53250</v>
      </c>
      <c r="I31" s="18">
        <f t="shared" si="9"/>
        <v>52445</v>
      </c>
      <c r="J31" s="18">
        <f t="shared" si="9"/>
        <v>52441</v>
      </c>
      <c r="K31" s="231">
        <f t="shared" si="1"/>
        <v>99.99237296215082</v>
      </c>
    </row>
    <row r="32" spans="1:11" s="24" customFormat="1" ht="22.5">
      <c r="A32" s="84"/>
      <c r="B32" s="78" t="s">
        <v>22</v>
      </c>
      <c r="C32" s="86"/>
      <c r="D32" s="12" t="s">
        <v>23</v>
      </c>
      <c r="E32" s="90" t="e">
        <f>SUM(#REF!,E33)</f>
        <v>#REF!</v>
      </c>
      <c r="F32" s="90" t="e">
        <f>SUM(#REF!,F33)</f>
        <v>#REF!</v>
      </c>
      <c r="G32" s="90" t="e">
        <f>SUM(#REF!,G33)</f>
        <v>#REF!</v>
      </c>
      <c r="H32" s="90">
        <f>SUM(,H33)</f>
        <v>53250</v>
      </c>
      <c r="I32" s="90">
        <f>SUM(,I33)</f>
        <v>52445</v>
      </c>
      <c r="J32" s="90">
        <f>SUM(,J33)</f>
        <v>52441</v>
      </c>
      <c r="K32" s="229">
        <f t="shared" si="1"/>
        <v>99.99237296215082</v>
      </c>
    </row>
    <row r="33" spans="1:11" s="24" customFormat="1" ht="27" customHeight="1">
      <c r="A33" s="84"/>
      <c r="B33" s="78"/>
      <c r="C33" s="86">
        <v>6060</v>
      </c>
      <c r="D33" s="12" t="s">
        <v>109</v>
      </c>
      <c r="E33" s="90">
        <f>SUM(E34)</f>
        <v>53250</v>
      </c>
      <c r="F33" s="90">
        <f>SUM(F34)</f>
        <v>0</v>
      </c>
      <c r="G33" s="90">
        <f>SUM(G34)</f>
        <v>0</v>
      </c>
      <c r="H33" s="90">
        <f>SUM(H34:H35)</f>
        <v>53250</v>
      </c>
      <c r="I33" s="90">
        <f>SUM(I34:I35)</f>
        <v>52445</v>
      </c>
      <c r="J33" s="90">
        <f>SUM(J34:J35)</f>
        <v>52441</v>
      </c>
      <c r="K33" s="229">
        <f t="shared" si="1"/>
        <v>99.99237296215082</v>
      </c>
    </row>
    <row r="34" spans="1:11" s="27" customFormat="1" ht="26.25" customHeight="1">
      <c r="A34" s="51"/>
      <c r="B34" s="47"/>
      <c r="C34" s="52"/>
      <c r="D34" s="53" t="s">
        <v>168</v>
      </c>
      <c r="E34" s="54">
        <v>53250</v>
      </c>
      <c r="F34" s="129"/>
      <c r="G34" s="129"/>
      <c r="H34" s="97">
        <f>SUM(E34+F34-G34)</f>
        <v>53250</v>
      </c>
      <c r="I34" s="183">
        <v>44290</v>
      </c>
      <c r="J34" s="183">
        <v>44286</v>
      </c>
      <c r="K34" s="230">
        <f t="shared" si="1"/>
        <v>99.99096861594039</v>
      </c>
    </row>
    <row r="35" spans="1:11" s="27" customFormat="1" ht="26.25" customHeight="1">
      <c r="A35" s="51"/>
      <c r="B35" s="47"/>
      <c r="C35" s="52"/>
      <c r="D35" s="53" t="s">
        <v>367</v>
      </c>
      <c r="E35" s="54"/>
      <c r="F35" s="129"/>
      <c r="G35" s="129"/>
      <c r="H35" s="97">
        <v>0</v>
      </c>
      <c r="I35" s="183">
        <v>8155</v>
      </c>
      <c r="J35" s="183">
        <v>8155</v>
      </c>
      <c r="K35" s="230">
        <f t="shared" si="1"/>
        <v>100</v>
      </c>
    </row>
    <row r="36" spans="1:11" s="42" customFormat="1" ht="26.25" customHeight="1">
      <c r="A36" s="30">
        <v>754</v>
      </c>
      <c r="B36" s="3"/>
      <c r="C36" s="11"/>
      <c r="D36" s="19" t="s">
        <v>27</v>
      </c>
      <c r="E36" s="18"/>
      <c r="F36" s="148"/>
      <c r="G36" s="148"/>
      <c r="H36" s="43">
        <f>SUM(H37)</f>
        <v>0</v>
      </c>
      <c r="I36" s="43">
        <f aca="true" t="shared" si="10" ref="I36:J38">SUM(I37)</f>
        <v>24550</v>
      </c>
      <c r="J36" s="43">
        <f t="shared" si="10"/>
        <v>20876</v>
      </c>
      <c r="K36" s="229">
        <f t="shared" si="1"/>
        <v>85.03462321792261</v>
      </c>
    </row>
    <row r="37" spans="1:11" s="24" customFormat="1" ht="21" customHeight="1">
      <c r="A37" s="77"/>
      <c r="B37" s="55">
        <v>75412</v>
      </c>
      <c r="C37" s="80"/>
      <c r="D37" s="12" t="s">
        <v>114</v>
      </c>
      <c r="E37" s="90"/>
      <c r="F37" s="127"/>
      <c r="G37" s="127"/>
      <c r="H37" s="94">
        <f>SUM(H38)</f>
        <v>0</v>
      </c>
      <c r="I37" s="94">
        <f t="shared" si="10"/>
        <v>24550</v>
      </c>
      <c r="J37" s="94">
        <f t="shared" si="10"/>
        <v>20876</v>
      </c>
      <c r="K37" s="229">
        <f t="shared" si="1"/>
        <v>85.03462321792261</v>
      </c>
    </row>
    <row r="38" spans="1:11" s="24" customFormat="1" ht="26.25" customHeight="1">
      <c r="A38" s="77"/>
      <c r="B38" s="55"/>
      <c r="C38" s="80">
        <v>6050</v>
      </c>
      <c r="D38" s="12" t="s">
        <v>86</v>
      </c>
      <c r="E38" s="90"/>
      <c r="F38" s="127"/>
      <c r="G38" s="127"/>
      <c r="H38" s="94">
        <f>SUM(H39)</f>
        <v>0</v>
      </c>
      <c r="I38" s="94">
        <f t="shared" si="10"/>
        <v>24550</v>
      </c>
      <c r="J38" s="94">
        <f t="shared" si="10"/>
        <v>20876</v>
      </c>
      <c r="K38" s="229">
        <f t="shared" si="1"/>
        <v>85.03462321792261</v>
      </c>
    </row>
    <row r="39" spans="1:11" s="27" customFormat="1" ht="20.25" customHeight="1">
      <c r="A39" s="51"/>
      <c r="B39" s="47"/>
      <c r="C39" s="52"/>
      <c r="D39" s="53" t="s">
        <v>310</v>
      </c>
      <c r="E39" s="54"/>
      <c r="F39" s="129"/>
      <c r="G39" s="129"/>
      <c r="H39" s="97">
        <v>0</v>
      </c>
      <c r="I39" s="183">
        <v>24550</v>
      </c>
      <c r="J39" s="183">
        <v>20876</v>
      </c>
      <c r="K39" s="230">
        <f t="shared" si="1"/>
        <v>85.03462321792261</v>
      </c>
    </row>
    <row r="40" spans="1:11" s="42" customFormat="1" ht="21.75" customHeight="1">
      <c r="A40" s="30">
        <v>801</v>
      </c>
      <c r="B40" s="3"/>
      <c r="C40" s="11"/>
      <c r="D40" s="19" t="s">
        <v>126</v>
      </c>
      <c r="E40" s="18">
        <f aca="true" t="shared" si="11" ref="E40:J40">SUM(E41,E44)</f>
        <v>19000</v>
      </c>
      <c r="F40" s="18">
        <f t="shared" si="11"/>
        <v>0</v>
      </c>
      <c r="G40" s="18">
        <f t="shared" si="11"/>
        <v>0</v>
      </c>
      <c r="H40" s="18">
        <f t="shared" si="11"/>
        <v>19000</v>
      </c>
      <c r="I40" s="18">
        <f t="shared" si="11"/>
        <v>18644</v>
      </c>
      <c r="J40" s="18">
        <f t="shared" si="11"/>
        <v>18642</v>
      </c>
      <c r="K40" s="231">
        <f t="shared" si="1"/>
        <v>99.98927268826432</v>
      </c>
    </row>
    <row r="41" spans="1:11" s="24" customFormat="1" ht="18" customHeight="1">
      <c r="A41" s="77"/>
      <c r="B41" s="55">
        <v>80101</v>
      </c>
      <c r="C41" s="80"/>
      <c r="D41" s="12" t="s">
        <v>62</v>
      </c>
      <c r="E41" s="90">
        <f>SUM(E42)</f>
        <v>15500</v>
      </c>
      <c r="F41" s="90">
        <f aca="true" t="shared" si="12" ref="F41:J42">SUM(F42)</f>
        <v>0</v>
      </c>
      <c r="G41" s="90">
        <f t="shared" si="12"/>
        <v>0</v>
      </c>
      <c r="H41" s="90">
        <f t="shared" si="12"/>
        <v>15500</v>
      </c>
      <c r="I41" s="90">
        <f t="shared" si="12"/>
        <v>18644</v>
      </c>
      <c r="J41" s="90">
        <f t="shared" si="12"/>
        <v>18642</v>
      </c>
      <c r="K41" s="229">
        <f t="shared" si="1"/>
        <v>99.98927268826432</v>
      </c>
    </row>
    <row r="42" spans="1:11" s="24" customFormat="1" ht="25.5" customHeight="1">
      <c r="A42" s="77"/>
      <c r="B42" s="55"/>
      <c r="C42" s="80">
        <v>6060</v>
      </c>
      <c r="D42" s="12" t="s">
        <v>109</v>
      </c>
      <c r="E42" s="90">
        <f>SUM(E43)</f>
        <v>15500</v>
      </c>
      <c r="F42" s="90">
        <f t="shared" si="12"/>
        <v>0</v>
      </c>
      <c r="G42" s="90">
        <f t="shared" si="12"/>
        <v>0</v>
      </c>
      <c r="H42" s="90">
        <f t="shared" si="12"/>
        <v>15500</v>
      </c>
      <c r="I42" s="90">
        <f t="shared" si="12"/>
        <v>18644</v>
      </c>
      <c r="J42" s="90">
        <f t="shared" si="12"/>
        <v>18642</v>
      </c>
      <c r="K42" s="229">
        <f t="shared" si="1"/>
        <v>99.98927268826432</v>
      </c>
    </row>
    <row r="43" spans="1:11" s="27" customFormat="1" ht="22.5" customHeight="1">
      <c r="A43" s="51"/>
      <c r="B43" s="47"/>
      <c r="C43" s="52"/>
      <c r="D43" s="53" t="s">
        <v>168</v>
      </c>
      <c r="E43" s="54">
        <v>15500</v>
      </c>
      <c r="F43" s="129"/>
      <c r="G43" s="129"/>
      <c r="H43" s="97">
        <f>SUM(E43+F43-G43)</f>
        <v>15500</v>
      </c>
      <c r="I43" s="183">
        <v>18644</v>
      </c>
      <c r="J43" s="183">
        <v>18642</v>
      </c>
      <c r="K43" s="230">
        <f t="shared" si="1"/>
        <v>99.98927268826432</v>
      </c>
    </row>
    <row r="44" spans="1:11" s="24" customFormat="1" ht="18" customHeight="1">
      <c r="A44" s="77"/>
      <c r="B44" s="55">
        <v>80110</v>
      </c>
      <c r="C44" s="80"/>
      <c r="D44" s="12" t="s">
        <v>63</v>
      </c>
      <c r="E44" s="90">
        <f aca="true" t="shared" si="13" ref="E44:J45">SUM(E45)</f>
        <v>3500</v>
      </c>
      <c r="F44" s="90">
        <f t="shared" si="13"/>
        <v>0</v>
      </c>
      <c r="G44" s="90">
        <f t="shared" si="13"/>
        <v>0</v>
      </c>
      <c r="H44" s="90">
        <f t="shared" si="13"/>
        <v>3500</v>
      </c>
      <c r="I44" s="90">
        <f t="shared" si="13"/>
        <v>0</v>
      </c>
      <c r="J44" s="90">
        <f t="shared" si="13"/>
        <v>0</v>
      </c>
      <c r="K44" s="229">
        <v>0</v>
      </c>
    </row>
    <row r="45" spans="1:11" s="24" customFormat="1" ht="25.5" customHeight="1">
      <c r="A45" s="77"/>
      <c r="B45" s="55"/>
      <c r="C45" s="80">
        <v>6060</v>
      </c>
      <c r="D45" s="12" t="s">
        <v>109</v>
      </c>
      <c r="E45" s="90">
        <f t="shared" si="13"/>
        <v>3500</v>
      </c>
      <c r="F45" s="90">
        <f t="shared" si="13"/>
        <v>0</v>
      </c>
      <c r="G45" s="90">
        <f t="shared" si="13"/>
        <v>0</v>
      </c>
      <c r="H45" s="90">
        <f t="shared" si="13"/>
        <v>3500</v>
      </c>
      <c r="I45" s="90">
        <f t="shared" si="13"/>
        <v>0</v>
      </c>
      <c r="J45" s="90">
        <f t="shared" si="13"/>
        <v>0</v>
      </c>
      <c r="K45" s="229">
        <v>0</v>
      </c>
    </row>
    <row r="46" spans="1:11" s="27" customFormat="1" ht="24" customHeight="1">
      <c r="A46" s="51"/>
      <c r="B46" s="47"/>
      <c r="C46" s="52"/>
      <c r="D46" s="53" t="s">
        <v>168</v>
      </c>
      <c r="E46" s="54">
        <v>3500</v>
      </c>
      <c r="F46" s="129"/>
      <c r="G46" s="129"/>
      <c r="H46" s="97">
        <f>SUM(E46+F46-G46)</f>
        <v>3500</v>
      </c>
      <c r="I46" s="183">
        <v>0</v>
      </c>
      <c r="J46" s="183">
        <v>0</v>
      </c>
      <c r="K46" s="230">
        <v>0</v>
      </c>
    </row>
    <row r="47" spans="1:11" s="42" customFormat="1" ht="18.75" customHeight="1">
      <c r="A47" s="67">
        <v>851</v>
      </c>
      <c r="B47" s="37"/>
      <c r="C47" s="98"/>
      <c r="D47" s="38" t="s">
        <v>64</v>
      </c>
      <c r="E47" s="71">
        <f aca="true" t="shared" si="14" ref="E47:J47">SUM(E51,E48)</f>
        <v>40000</v>
      </c>
      <c r="F47" s="71">
        <f t="shared" si="14"/>
        <v>0</v>
      </c>
      <c r="G47" s="71">
        <f t="shared" si="14"/>
        <v>0</v>
      </c>
      <c r="H47" s="71">
        <f t="shared" si="14"/>
        <v>40000</v>
      </c>
      <c r="I47" s="71">
        <f t="shared" si="14"/>
        <v>51300</v>
      </c>
      <c r="J47" s="71">
        <f t="shared" si="14"/>
        <v>51293</v>
      </c>
      <c r="K47" s="229">
        <f t="shared" si="1"/>
        <v>99.98635477582846</v>
      </c>
    </row>
    <row r="48" spans="1:11" s="24" customFormat="1" ht="21.75" customHeight="1">
      <c r="A48" s="89"/>
      <c r="B48" s="91">
        <v>85111</v>
      </c>
      <c r="C48" s="91"/>
      <c r="D48" s="39" t="s">
        <v>228</v>
      </c>
      <c r="E48" s="96">
        <f>SUM(E49)</f>
        <v>10000</v>
      </c>
      <c r="F48" s="96">
        <f aca="true" t="shared" si="15" ref="F48:J49">SUM(F49)</f>
        <v>0</v>
      </c>
      <c r="G48" s="96">
        <f t="shared" si="15"/>
        <v>0</v>
      </c>
      <c r="H48" s="96">
        <f t="shared" si="15"/>
        <v>10000</v>
      </c>
      <c r="I48" s="96">
        <f t="shared" si="15"/>
        <v>10000</v>
      </c>
      <c r="J48" s="96">
        <f t="shared" si="15"/>
        <v>10000</v>
      </c>
      <c r="K48" s="229">
        <f t="shared" si="1"/>
        <v>100</v>
      </c>
    </row>
    <row r="49" spans="1:11" s="24" customFormat="1" ht="67.5">
      <c r="A49" s="89"/>
      <c r="B49" s="91"/>
      <c r="C49" s="99">
        <v>6300</v>
      </c>
      <c r="D49" s="39" t="s">
        <v>231</v>
      </c>
      <c r="E49" s="96">
        <f>SUM(E50)</f>
        <v>10000</v>
      </c>
      <c r="F49" s="96">
        <f t="shared" si="15"/>
        <v>0</v>
      </c>
      <c r="G49" s="96">
        <f t="shared" si="15"/>
        <v>0</v>
      </c>
      <c r="H49" s="96">
        <f t="shared" si="15"/>
        <v>10000</v>
      </c>
      <c r="I49" s="96">
        <f t="shared" si="15"/>
        <v>10000</v>
      </c>
      <c r="J49" s="96">
        <f t="shared" si="15"/>
        <v>10000</v>
      </c>
      <c r="K49" s="229">
        <f t="shared" si="1"/>
        <v>100</v>
      </c>
    </row>
    <row r="50" spans="1:11" s="27" customFormat="1" ht="33" customHeight="1">
      <c r="A50" s="100"/>
      <c r="B50" s="101"/>
      <c r="C50" s="102"/>
      <c r="D50" s="103" t="s">
        <v>232</v>
      </c>
      <c r="E50" s="104">
        <v>10000</v>
      </c>
      <c r="F50" s="129"/>
      <c r="G50" s="129"/>
      <c r="H50" s="97">
        <f>SUM(E50+F50-G50)</f>
        <v>10000</v>
      </c>
      <c r="I50" s="183">
        <v>10000</v>
      </c>
      <c r="J50" s="183">
        <v>10000</v>
      </c>
      <c r="K50" s="230">
        <f t="shared" si="1"/>
        <v>100</v>
      </c>
    </row>
    <row r="51" spans="1:11" s="24" customFormat="1" ht="21.75" customHeight="1">
      <c r="A51" s="77"/>
      <c r="B51" s="55">
        <v>85154</v>
      </c>
      <c r="C51" s="80"/>
      <c r="D51" s="12" t="s">
        <v>65</v>
      </c>
      <c r="E51" s="90">
        <f aca="true" t="shared" si="16" ref="E51:J51">SUM(E52)</f>
        <v>30000</v>
      </c>
      <c r="F51" s="90">
        <f t="shared" si="16"/>
        <v>0</v>
      </c>
      <c r="G51" s="90">
        <f t="shared" si="16"/>
        <v>0</v>
      </c>
      <c r="H51" s="90">
        <f t="shared" si="16"/>
        <v>30000</v>
      </c>
      <c r="I51" s="90">
        <f t="shared" si="16"/>
        <v>41300</v>
      </c>
      <c r="J51" s="90">
        <f t="shared" si="16"/>
        <v>41293</v>
      </c>
      <c r="K51" s="229">
        <f t="shared" si="1"/>
        <v>99.98305084745762</v>
      </c>
    </row>
    <row r="52" spans="1:11" s="24" customFormat="1" ht="25.5" customHeight="1">
      <c r="A52" s="77"/>
      <c r="B52" s="55"/>
      <c r="C52" s="80">
        <v>6060</v>
      </c>
      <c r="D52" s="12" t="s">
        <v>109</v>
      </c>
      <c r="E52" s="90">
        <f>SUM(E53)</f>
        <v>30000</v>
      </c>
      <c r="F52" s="127"/>
      <c r="G52" s="127"/>
      <c r="H52" s="94">
        <f>SUM(H53)</f>
        <v>30000</v>
      </c>
      <c r="I52" s="94">
        <f>SUM(I53)</f>
        <v>41300</v>
      </c>
      <c r="J52" s="94">
        <f>SUM(J53)</f>
        <v>41293</v>
      </c>
      <c r="K52" s="229">
        <f t="shared" si="1"/>
        <v>99.98305084745762</v>
      </c>
    </row>
    <row r="53" spans="1:11" s="27" customFormat="1" ht="24.75" customHeight="1">
      <c r="A53" s="51"/>
      <c r="B53" s="47"/>
      <c r="C53" s="52"/>
      <c r="D53" s="53" t="s">
        <v>250</v>
      </c>
      <c r="E53" s="54">
        <v>30000</v>
      </c>
      <c r="F53" s="129"/>
      <c r="G53" s="129"/>
      <c r="H53" s="97">
        <f>SUM(E53+F53-G53)</f>
        <v>30000</v>
      </c>
      <c r="I53" s="183">
        <v>41300</v>
      </c>
      <c r="J53" s="183">
        <v>41293</v>
      </c>
      <c r="K53" s="230">
        <f t="shared" si="1"/>
        <v>99.98305084745762</v>
      </c>
    </row>
    <row r="54" spans="1:11" s="42" customFormat="1" ht="21.75" customHeight="1">
      <c r="A54" s="30">
        <v>852</v>
      </c>
      <c r="B54" s="3"/>
      <c r="C54" s="11"/>
      <c r="D54" s="19" t="s">
        <v>326</v>
      </c>
      <c r="E54" s="18"/>
      <c r="F54" s="148"/>
      <c r="G54" s="148"/>
      <c r="H54" s="43">
        <f aca="true" t="shared" si="17" ref="H54:J56">SUM(H55)</f>
        <v>0</v>
      </c>
      <c r="I54" s="43">
        <f t="shared" si="17"/>
        <v>1700</v>
      </c>
      <c r="J54" s="43">
        <f t="shared" si="17"/>
        <v>1681</v>
      </c>
      <c r="K54" s="231">
        <f t="shared" si="1"/>
        <v>98.88235294117646</v>
      </c>
    </row>
    <row r="55" spans="1:11" s="24" customFormat="1" ht="45">
      <c r="A55" s="77"/>
      <c r="B55" s="55">
        <v>85212</v>
      </c>
      <c r="C55" s="80"/>
      <c r="D55" s="12" t="s">
        <v>366</v>
      </c>
      <c r="E55" s="90"/>
      <c r="F55" s="127"/>
      <c r="G55" s="127"/>
      <c r="H55" s="94">
        <f t="shared" si="17"/>
        <v>0</v>
      </c>
      <c r="I55" s="94">
        <f t="shared" si="17"/>
        <v>1700</v>
      </c>
      <c r="J55" s="94">
        <f t="shared" si="17"/>
        <v>1681</v>
      </c>
      <c r="K55" s="229">
        <f t="shared" si="1"/>
        <v>98.88235294117646</v>
      </c>
    </row>
    <row r="56" spans="1:11" s="24" customFormat="1" ht="24.75" customHeight="1">
      <c r="A56" s="77"/>
      <c r="B56" s="55"/>
      <c r="C56" s="80">
        <v>6060</v>
      </c>
      <c r="D56" s="12" t="s">
        <v>109</v>
      </c>
      <c r="E56" s="90"/>
      <c r="F56" s="127"/>
      <c r="G56" s="127"/>
      <c r="H56" s="94">
        <f t="shared" si="17"/>
        <v>0</v>
      </c>
      <c r="I56" s="94">
        <f t="shared" si="17"/>
        <v>1700</v>
      </c>
      <c r="J56" s="94">
        <f t="shared" si="17"/>
        <v>1681</v>
      </c>
      <c r="K56" s="229">
        <f t="shared" si="1"/>
        <v>98.88235294117646</v>
      </c>
    </row>
    <row r="57" spans="1:11" s="27" customFormat="1" ht="24.75" customHeight="1">
      <c r="A57" s="51"/>
      <c r="B57" s="47"/>
      <c r="C57" s="52"/>
      <c r="D57" s="53" t="s">
        <v>327</v>
      </c>
      <c r="E57" s="54"/>
      <c r="F57" s="129"/>
      <c r="G57" s="129"/>
      <c r="H57" s="97">
        <v>0</v>
      </c>
      <c r="I57" s="183">
        <v>1700</v>
      </c>
      <c r="J57" s="183">
        <v>1681</v>
      </c>
      <c r="K57" s="230">
        <f t="shared" si="1"/>
        <v>98.88235294117646</v>
      </c>
    </row>
    <row r="58" spans="1:11" s="42" customFormat="1" ht="27" customHeight="1">
      <c r="A58" s="30" t="s">
        <v>145</v>
      </c>
      <c r="B58" s="3"/>
      <c r="C58" s="20"/>
      <c r="D58" s="19" t="s">
        <v>73</v>
      </c>
      <c r="E58" s="18" t="e">
        <f aca="true" t="shared" si="18" ref="E58:J58">SUM(E59,E68)</f>
        <v>#REF!</v>
      </c>
      <c r="F58" s="18" t="e">
        <f t="shared" si="18"/>
        <v>#REF!</v>
      </c>
      <c r="G58" s="18" t="e">
        <f t="shared" si="18"/>
        <v>#REF!</v>
      </c>
      <c r="H58" s="18">
        <f t="shared" si="18"/>
        <v>18372948</v>
      </c>
      <c r="I58" s="18">
        <f t="shared" si="18"/>
        <v>13704609</v>
      </c>
      <c r="J58" s="18">
        <f t="shared" si="18"/>
        <v>13627280</v>
      </c>
      <c r="K58" s="231">
        <f t="shared" si="1"/>
        <v>99.4357445732308</v>
      </c>
    </row>
    <row r="59" spans="1:11" s="24" customFormat="1" ht="25.5" customHeight="1">
      <c r="A59" s="77"/>
      <c r="B59" s="78" t="s">
        <v>146</v>
      </c>
      <c r="C59" s="86"/>
      <c r="D59" s="12" t="s">
        <v>74</v>
      </c>
      <c r="E59" s="90" t="e">
        <f>SUM(#REF!,E64,E66,)</f>
        <v>#REF!</v>
      </c>
      <c r="F59" s="90" t="e">
        <f>SUM(#REF!,F64,F66,)</f>
        <v>#REF!</v>
      </c>
      <c r="G59" s="90" t="e">
        <f>SUM(#REF!,G64,G66,)</f>
        <v>#REF!</v>
      </c>
      <c r="H59" s="90">
        <f>SUM(H64,H66,H60,H62,)</f>
        <v>18344702</v>
      </c>
      <c r="I59" s="90">
        <f>SUM(I64,I66,I60,I62,)</f>
        <v>13672744</v>
      </c>
      <c r="J59" s="90">
        <f>SUM(J64,J66,J60,J62,)</f>
        <v>13595438</v>
      </c>
      <c r="K59" s="229">
        <f t="shared" si="1"/>
        <v>99.43459776618359</v>
      </c>
    </row>
    <row r="60" spans="1:11" s="24" customFormat="1" ht="33.75">
      <c r="A60" s="77"/>
      <c r="B60" s="78"/>
      <c r="C60" s="79">
        <v>6010</v>
      </c>
      <c r="D60" s="39" t="s">
        <v>358</v>
      </c>
      <c r="E60" s="90"/>
      <c r="F60" s="94"/>
      <c r="G60" s="94"/>
      <c r="H60" s="94">
        <f>SUM(H61)</f>
        <v>0</v>
      </c>
      <c r="I60" s="94">
        <f>SUM(I61)</f>
        <v>667</v>
      </c>
      <c r="J60" s="94">
        <f>SUM(J61)</f>
        <v>667</v>
      </c>
      <c r="K60" s="229">
        <f t="shared" si="1"/>
        <v>100</v>
      </c>
    </row>
    <row r="61" spans="1:11" s="24" customFormat="1" ht="21" customHeight="1">
      <c r="A61" s="77"/>
      <c r="B61" s="78"/>
      <c r="C61" s="149"/>
      <c r="D61" s="56" t="s">
        <v>359</v>
      </c>
      <c r="E61" s="54"/>
      <c r="F61" s="94"/>
      <c r="G61" s="97"/>
      <c r="H61" s="97">
        <v>0</v>
      </c>
      <c r="I61" s="155">
        <v>667</v>
      </c>
      <c r="J61" s="155">
        <v>667</v>
      </c>
      <c r="K61" s="230">
        <f t="shared" si="1"/>
        <v>100</v>
      </c>
    </row>
    <row r="62" spans="1:11" s="24" customFormat="1" ht="24" customHeight="1">
      <c r="A62" s="77"/>
      <c r="B62" s="78"/>
      <c r="C62" s="79">
        <v>6050</v>
      </c>
      <c r="D62" s="12" t="s">
        <v>86</v>
      </c>
      <c r="E62" s="90"/>
      <c r="F62" s="94"/>
      <c r="G62" s="94"/>
      <c r="H62" s="94">
        <f>SUM(H63)</f>
        <v>0</v>
      </c>
      <c r="I62" s="94">
        <f>SUM(I63)</f>
        <v>70000</v>
      </c>
      <c r="J62" s="94">
        <f>SUM(J63)</f>
        <v>69097</v>
      </c>
      <c r="K62" s="229">
        <f t="shared" si="1"/>
        <v>98.71</v>
      </c>
    </row>
    <row r="63" spans="1:11" s="27" customFormat="1" ht="24" customHeight="1">
      <c r="A63" s="51"/>
      <c r="B63" s="110"/>
      <c r="C63" s="149"/>
      <c r="D63" s="56" t="s">
        <v>284</v>
      </c>
      <c r="E63" s="54"/>
      <c r="F63" s="97"/>
      <c r="G63" s="97"/>
      <c r="H63" s="97">
        <v>0</v>
      </c>
      <c r="I63" s="183">
        <v>70000</v>
      </c>
      <c r="J63" s="183">
        <v>69097</v>
      </c>
      <c r="K63" s="230">
        <f t="shared" si="1"/>
        <v>98.71</v>
      </c>
    </row>
    <row r="64" spans="1:11" s="24" customFormat="1" ht="24.75" customHeight="1">
      <c r="A64" s="77"/>
      <c r="B64" s="78"/>
      <c r="C64" s="79">
        <v>6059</v>
      </c>
      <c r="D64" s="12" t="s">
        <v>86</v>
      </c>
      <c r="E64" s="54">
        <f aca="true" t="shared" si="19" ref="E64:J64">SUM(E65)</f>
        <v>0</v>
      </c>
      <c r="F64" s="90">
        <f t="shared" si="19"/>
        <v>1200014</v>
      </c>
      <c r="G64" s="90">
        <f t="shared" si="19"/>
        <v>0</v>
      </c>
      <c r="H64" s="90">
        <f t="shared" si="19"/>
        <v>1200014</v>
      </c>
      <c r="I64" s="90">
        <f t="shared" si="19"/>
        <v>3771939</v>
      </c>
      <c r="J64" s="90">
        <f t="shared" si="19"/>
        <v>3695537</v>
      </c>
      <c r="K64" s="229">
        <f t="shared" si="1"/>
        <v>97.97446353188639</v>
      </c>
    </row>
    <row r="65" spans="1:11" s="27" customFormat="1" ht="42" customHeight="1">
      <c r="A65" s="51"/>
      <c r="B65" s="110"/>
      <c r="C65" s="149"/>
      <c r="D65" s="56" t="s">
        <v>254</v>
      </c>
      <c r="E65" s="54">
        <v>0</v>
      </c>
      <c r="F65" s="97">
        <v>1200014</v>
      </c>
      <c r="G65" s="129"/>
      <c r="H65" s="97">
        <f>SUM(E65+F65-G65)</f>
        <v>1200014</v>
      </c>
      <c r="I65" s="183">
        <v>3771939</v>
      </c>
      <c r="J65" s="183">
        <v>3695537</v>
      </c>
      <c r="K65" s="230">
        <f t="shared" si="1"/>
        <v>97.97446353188639</v>
      </c>
    </row>
    <row r="66" spans="1:11" s="24" customFormat="1" ht="21.75" customHeight="1">
      <c r="A66" s="77"/>
      <c r="B66" s="78"/>
      <c r="C66" s="79">
        <v>6058</v>
      </c>
      <c r="D66" s="12" t="s">
        <v>86</v>
      </c>
      <c r="E66" s="54">
        <f aca="true" t="shared" si="20" ref="E66:J66">SUM(E67)</f>
        <v>0</v>
      </c>
      <c r="F66" s="90">
        <f t="shared" si="20"/>
        <v>17144688</v>
      </c>
      <c r="G66" s="90">
        <f t="shared" si="20"/>
        <v>0</v>
      </c>
      <c r="H66" s="90">
        <f t="shared" si="20"/>
        <v>17144688</v>
      </c>
      <c r="I66" s="90">
        <f t="shared" si="20"/>
        <v>9830138</v>
      </c>
      <c r="J66" s="90">
        <f t="shared" si="20"/>
        <v>9830137</v>
      </c>
      <c r="K66" s="229">
        <f t="shared" si="1"/>
        <v>99.99998982720282</v>
      </c>
    </row>
    <row r="67" spans="1:11" s="27" customFormat="1" ht="45">
      <c r="A67" s="51"/>
      <c r="B67" s="110"/>
      <c r="C67" s="149"/>
      <c r="D67" s="56" t="s">
        <v>254</v>
      </c>
      <c r="E67" s="54">
        <v>0</v>
      </c>
      <c r="F67" s="97">
        <f>3800000+13344688</f>
        <v>17144688</v>
      </c>
      <c r="G67" s="129"/>
      <c r="H67" s="97">
        <f>SUM(E67+F67-G67)</f>
        <v>17144688</v>
      </c>
      <c r="I67" s="183">
        <v>9830138</v>
      </c>
      <c r="J67" s="183">
        <v>9830137</v>
      </c>
      <c r="K67" s="230">
        <f t="shared" si="1"/>
        <v>99.99998982720282</v>
      </c>
    </row>
    <row r="68" spans="1:11" s="24" customFormat="1" ht="24" customHeight="1">
      <c r="A68" s="77"/>
      <c r="B68" s="78" t="s">
        <v>155</v>
      </c>
      <c r="C68" s="86"/>
      <c r="D68" s="12" t="s">
        <v>156</v>
      </c>
      <c r="E68" s="90">
        <f>SUM(E69:E69)</f>
        <v>15846</v>
      </c>
      <c r="F68" s="90">
        <f>SUM(F69:F69)</f>
        <v>12400</v>
      </c>
      <c r="G68" s="90">
        <f>SUM(G69:G69)</f>
        <v>0</v>
      </c>
      <c r="H68" s="90">
        <f>SUM(H69)</f>
        <v>28246</v>
      </c>
      <c r="I68" s="90">
        <f>SUM(I69)</f>
        <v>31865</v>
      </c>
      <c r="J68" s="90">
        <f>SUM(J69)</f>
        <v>31842</v>
      </c>
      <c r="K68" s="229">
        <f t="shared" si="1"/>
        <v>99.92782049270359</v>
      </c>
    </row>
    <row r="69" spans="1:11" s="24" customFormat="1" ht="24" customHeight="1">
      <c r="A69" s="77"/>
      <c r="B69" s="55"/>
      <c r="C69" s="79">
        <v>6050</v>
      </c>
      <c r="D69" s="12" t="s">
        <v>86</v>
      </c>
      <c r="E69" s="90">
        <f>SUM(E70:E75)</f>
        <v>15846</v>
      </c>
      <c r="F69" s="90">
        <f>SUM(F70:F75)</f>
        <v>12400</v>
      </c>
      <c r="G69" s="90">
        <f>SUM(G70:G75)</f>
        <v>0</v>
      </c>
      <c r="H69" s="90">
        <f>SUM(H70:H76)</f>
        <v>28246</v>
      </c>
      <c r="I69" s="90">
        <f>SUM(I70:I76)</f>
        <v>31865</v>
      </c>
      <c r="J69" s="90">
        <f>SUM(J70:J76)</f>
        <v>31842</v>
      </c>
      <c r="K69" s="229">
        <f t="shared" si="1"/>
        <v>99.92782049270359</v>
      </c>
    </row>
    <row r="70" spans="1:11" s="27" customFormat="1" ht="19.5" customHeight="1">
      <c r="A70" s="51"/>
      <c r="B70" s="47"/>
      <c r="C70" s="149"/>
      <c r="D70" s="53" t="s">
        <v>221</v>
      </c>
      <c r="E70" s="54">
        <v>1000</v>
      </c>
      <c r="F70" s="129"/>
      <c r="G70" s="129"/>
      <c r="H70" s="97">
        <f aca="true" t="shared" si="21" ref="H70:H75">SUM(E70+F70-G70)</f>
        <v>1000</v>
      </c>
      <c r="I70" s="183">
        <v>500</v>
      </c>
      <c r="J70" s="183">
        <v>500</v>
      </c>
      <c r="K70" s="230">
        <f t="shared" si="1"/>
        <v>100</v>
      </c>
    </row>
    <row r="71" spans="1:11" s="27" customFormat="1" ht="19.5" customHeight="1">
      <c r="A71" s="51"/>
      <c r="B71" s="47"/>
      <c r="C71" s="52"/>
      <c r="D71" s="53" t="s">
        <v>245</v>
      </c>
      <c r="E71" s="54">
        <v>1000</v>
      </c>
      <c r="F71" s="129"/>
      <c r="G71" s="129"/>
      <c r="H71" s="97">
        <f t="shared" si="21"/>
        <v>1000</v>
      </c>
      <c r="I71" s="183">
        <v>5700</v>
      </c>
      <c r="J71" s="183">
        <v>5676</v>
      </c>
      <c r="K71" s="230">
        <f t="shared" si="1"/>
        <v>99.57894736842105</v>
      </c>
    </row>
    <row r="72" spans="1:11" s="27" customFormat="1" ht="19.5" customHeight="1">
      <c r="A72" s="51"/>
      <c r="B72" s="47"/>
      <c r="C72" s="52"/>
      <c r="D72" s="53" t="s">
        <v>246</v>
      </c>
      <c r="E72" s="54">
        <v>1046</v>
      </c>
      <c r="F72" s="129"/>
      <c r="G72" s="129"/>
      <c r="H72" s="97">
        <f t="shared" si="21"/>
        <v>1046</v>
      </c>
      <c r="I72" s="183">
        <v>0</v>
      </c>
      <c r="J72" s="183">
        <v>0</v>
      </c>
      <c r="K72" s="230">
        <v>0</v>
      </c>
    </row>
    <row r="73" spans="1:11" s="27" customFormat="1" ht="19.5" customHeight="1">
      <c r="A73" s="51"/>
      <c r="B73" s="47"/>
      <c r="C73" s="52"/>
      <c r="D73" s="132" t="s">
        <v>263</v>
      </c>
      <c r="E73" s="133">
        <v>4600</v>
      </c>
      <c r="F73" s="133">
        <v>12400</v>
      </c>
      <c r="G73" s="134"/>
      <c r="H73" s="133">
        <f t="shared" si="21"/>
        <v>17000</v>
      </c>
      <c r="I73" s="183">
        <v>16265</v>
      </c>
      <c r="J73" s="183">
        <v>16264</v>
      </c>
      <c r="K73" s="230">
        <f t="shared" si="1"/>
        <v>99.99385182908085</v>
      </c>
    </row>
    <row r="74" spans="1:11" s="27" customFormat="1" ht="19.5" customHeight="1">
      <c r="A74" s="51"/>
      <c r="B74" s="47"/>
      <c r="C74" s="52"/>
      <c r="D74" s="53" t="s">
        <v>247</v>
      </c>
      <c r="E74" s="54">
        <v>3500</v>
      </c>
      <c r="F74" s="129"/>
      <c r="G74" s="129"/>
      <c r="H74" s="97">
        <f t="shared" si="21"/>
        <v>3500</v>
      </c>
      <c r="I74" s="183">
        <v>3500</v>
      </c>
      <c r="J74" s="183">
        <v>3500</v>
      </c>
      <c r="K74" s="230">
        <f aca="true" t="shared" si="22" ref="K74:K81">J74/I74*100</f>
        <v>100</v>
      </c>
    </row>
    <row r="75" spans="1:11" s="27" customFormat="1" ht="19.5" customHeight="1">
      <c r="A75" s="110"/>
      <c r="B75" s="47"/>
      <c r="C75" s="111"/>
      <c r="D75" s="53" t="s">
        <v>248</v>
      </c>
      <c r="E75" s="109">
        <v>4700</v>
      </c>
      <c r="F75" s="129"/>
      <c r="G75" s="129"/>
      <c r="H75" s="97">
        <f t="shared" si="21"/>
        <v>4700</v>
      </c>
      <c r="I75" s="183">
        <v>4700</v>
      </c>
      <c r="J75" s="183">
        <v>4702</v>
      </c>
      <c r="K75" s="230">
        <f t="shared" si="22"/>
        <v>100.04255319148936</v>
      </c>
    </row>
    <row r="76" spans="1:11" s="27" customFormat="1" ht="19.5" customHeight="1">
      <c r="A76" s="110"/>
      <c r="B76" s="47"/>
      <c r="C76" s="111"/>
      <c r="D76" s="53" t="s">
        <v>351</v>
      </c>
      <c r="E76" s="109"/>
      <c r="F76" s="146"/>
      <c r="G76" s="146"/>
      <c r="H76" s="141">
        <v>0</v>
      </c>
      <c r="I76" s="183">
        <v>1200</v>
      </c>
      <c r="J76" s="183">
        <v>1200</v>
      </c>
      <c r="K76" s="230">
        <f t="shared" si="22"/>
        <v>100</v>
      </c>
    </row>
    <row r="77" spans="1:11" s="42" customFormat="1" ht="28.5" customHeight="1">
      <c r="A77" s="33">
        <v>921</v>
      </c>
      <c r="B77" s="3"/>
      <c r="C77" s="10"/>
      <c r="D77" s="19" t="s">
        <v>158</v>
      </c>
      <c r="E77" s="59"/>
      <c r="F77" s="142"/>
      <c r="G77" s="142"/>
      <c r="H77" s="143">
        <f>SUM(H78)</f>
        <v>0</v>
      </c>
      <c r="I77" s="143">
        <f aca="true" t="shared" si="23" ref="I77:J79">SUM(I78)</f>
        <v>5000</v>
      </c>
      <c r="J77" s="143">
        <f t="shared" si="23"/>
        <v>5000</v>
      </c>
      <c r="K77" s="231">
        <f t="shared" si="22"/>
        <v>100</v>
      </c>
    </row>
    <row r="78" spans="1:11" s="24" customFormat="1" ht="20.25" customHeight="1">
      <c r="A78" s="78"/>
      <c r="B78" s="55">
        <v>92109</v>
      </c>
      <c r="C78" s="88"/>
      <c r="D78" s="12" t="s">
        <v>273</v>
      </c>
      <c r="E78" s="144"/>
      <c r="F78" s="140"/>
      <c r="G78" s="140"/>
      <c r="H78" s="145">
        <f>SUM(H79)</f>
        <v>0</v>
      </c>
      <c r="I78" s="145">
        <f t="shared" si="23"/>
        <v>5000</v>
      </c>
      <c r="J78" s="145">
        <f t="shared" si="23"/>
        <v>5000</v>
      </c>
      <c r="K78" s="229">
        <f t="shared" si="22"/>
        <v>100</v>
      </c>
    </row>
    <row r="79" spans="1:11" s="24" customFormat="1" ht="24" customHeight="1">
      <c r="A79" s="78"/>
      <c r="B79" s="55"/>
      <c r="C79" s="88">
        <v>6060</v>
      </c>
      <c r="D79" s="12" t="s">
        <v>109</v>
      </c>
      <c r="E79" s="144"/>
      <c r="F79" s="140"/>
      <c r="G79" s="140"/>
      <c r="H79" s="145">
        <f>SUM(H80)</f>
        <v>0</v>
      </c>
      <c r="I79" s="145">
        <f t="shared" si="23"/>
        <v>5000</v>
      </c>
      <c r="J79" s="145">
        <f t="shared" si="23"/>
        <v>5000</v>
      </c>
      <c r="K79" s="229">
        <f t="shared" si="22"/>
        <v>100</v>
      </c>
    </row>
    <row r="80" spans="1:11" s="27" customFormat="1" ht="23.25" customHeight="1">
      <c r="A80" s="110"/>
      <c r="B80" s="47"/>
      <c r="C80" s="111"/>
      <c r="D80" s="139" t="s">
        <v>350</v>
      </c>
      <c r="E80" s="109"/>
      <c r="F80" s="146"/>
      <c r="G80" s="146"/>
      <c r="H80" s="141">
        <v>0</v>
      </c>
      <c r="I80" s="183">
        <v>5000</v>
      </c>
      <c r="J80" s="183">
        <v>5000</v>
      </c>
      <c r="K80" s="230">
        <f t="shared" si="22"/>
        <v>100</v>
      </c>
    </row>
    <row r="81" spans="1:11" s="6" customFormat="1" ht="23.25" customHeight="1">
      <c r="A81" s="8"/>
      <c r="B81" s="8"/>
      <c r="C81" s="8"/>
      <c r="D81" s="164" t="s">
        <v>81</v>
      </c>
      <c r="E81" s="59" t="e">
        <f>SUM(E58,E40,E31,E22,E8,E47)</f>
        <v>#REF!</v>
      </c>
      <c r="F81" s="59" t="e">
        <f>SUM(F58,F40,F31,F22,F8,F47)</f>
        <v>#REF!</v>
      </c>
      <c r="G81" s="59" t="e">
        <f>SUM(G58,G40,G31,G22,G8,G47)</f>
        <v>#REF!</v>
      </c>
      <c r="H81" s="59">
        <f>SUM(H77,H58,H54,H47,H40,H36,H31,H22,H8,)</f>
        <v>19740541</v>
      </c>
      <c r="I81" s="59">
        <f>SUM(I77,I58,I54,I47,I40,I36,I31,I22,I8,)</f>
        <v>15081447</v>
      </c>
      <c r="J81" s="59">
        <f>SUM(J77,J58,J54,J47,J40,J36,J31,J22,J8,)</f>
        <v>15000410</v>
      </c>
      <c r="K81" s="231">
        <f t="shared" si="22"/>
        <v>99.46267092275694</v>
      </c>
    </row>
    <row r="86" spans="5:10" ht="12.75">
      <c r="E86" s="26">
        <v>15846</v>
      </c>
      <c r="F86">
        <v>90015</v>
      </c>
      <c r="J86" s="179">
        <v>14999743</v>
      </c>
    </row>
    <row r="87" spans="5:10" ht="12.75">
      <c r="E87" s="26"/>
      <c r="J87" s="179">
        <f>SUM(J81-J86)</f>
        <v>667</v>
      </c>
    </row>
    <row r="88" ht="12.75">
      <c r="E88" s="26"/>
    </row>
    <row r="89" spans="5:6" ht="12.75">
      <c r="E89" s="26">
        <v>600000</v>
      </c>
      <c r="F89">
        <v>60016</v>
      </c>
    </row>
    <row r="90" spans="5:6" ht="12.75">
      <c r="E90" s="26">
        <v>375000</v>
      </c>
      <c r="F90">
        <v>70021</v>
      </c>
    </row>
    <row r="91" ht="12.75">
      <c r="E91" s="26"/>
    </row>
    <row r="92" ht="12.75">
      <c r="E92" s="26"/>
    </row>
    <row r="93" spans="5:6" ht="12.75">
      <c r="E93" s="26">
        <v>50000</v>
      </c>
      <c r="F93">
        <v>70095</v>
      </c>
    </row>
    <row r="94" spans="5:6" ht="12.75">
      <c r="E94" s="26">
        <v>30343</v>
      </c>
      <c r="F94">
        <v>60016</v>
      </c>
    </row>
    <row r="95" ht="12.75">
      <c r="E95" s="26">
        <v>10000</v>
      </c>
    </row>
    <row r="96" spans="5:6" ht="12.75">
      <c r="E96" s="26">
        <v>30000</v>
      </c>
      <c r="F96">
        <v>85154</v>
      </c>
    </row>
    <row r="97" spans="5:6" ht="12.75">
      <c r="E97" s="26">
        <v>5000000</v>
      </c>
      <c r="F97">
        <v>90001</v>
      </c>
    </row>
    <row r="98" spans="5:6" ht="12.75">
      <c r="E98" s="26">
        <v>214000</v>
      </c>
      <c r="F98">
        <v>75023</v>
      </c>
    </row>
    <row r="99" spans="5:6" ht="12.75">
      <c r="E99" s="26">
        <v>53250</v>
      </c>
      <c r="F99">
        <v>75023</v>
      </c>
    </row>
    <row r="100" spans="5:6" ht="12.75">
      <c r="E100" s="26">
        <v>3500</v>
      </c>
      <c r="F100">
        <v>80101</v>
      </c>
    </row>
    <row r="101" spans="5:6" ht="12.75">
      <c r="E101" s="26">
        <v>15500</v>
      </c>
      <c r="F101">
        <v>80110</v>
      </c>
    </row>
    <row r="102" spans="5:6" ht="12.75">
      <c r="E102" s="26">
        <v>12400000</v>
      </c>
      <c r="F102">
        <v>90001</v>
      </c>
    </row>
    <row r="103" ht="12.75">
      <c r="E103" s="40">
        <f>SUM(E86:E102)</f>
        <v>18797439</v>
      </c>
    </row>
    <row r="104" ht="12.75">
      <c r="E104" s="26"/>
    </row>
    <row r="105" ht="12.75">
      <c r="E105" s="26"/>
    </row>
    <row r="106" ht="12.75">
      <c r="E106" s="26"/>
    </row>
    <row r="107" ht="12.75">
      <c r="E107" s="26"/>
    </row>
    <row r="108" ht="12.75">
      <c r="E108" s="26"/>
    </row>
    <row r="109" ht="12.75">
      <c r="E109" s="26"/>
    </row>
    <row r="110" ht="12.75">
      <c r="E110" s="26"/>
    </row>
  </sheetData>
  <mergeCells count="8">
    <mergeCell ref="I6:I7"/>
    <mergeCell ref="J6:K6"/>
    <mergeCell ref="A5:H5"/>
    <mergeCell ref="A6:A7"/>
    <mergeCell ref="B6:B7"/>
    <mergeCell ref="C6:C7"/>
    <mergeCell ref="D6:D7"/>
    <mergeCell ref="H6:H7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C1">
      <selection activeCell="M9" sqref="M9"/>
    </sheetView>
  </sheetViews>
  <sheetFormatPr defaultColWidth="9.00390625" defaultRowHeight="12.75"/>
  <cols>
    <col min="1" max="1" width="5.125" style="6" customWidth="1"/>
    <col min="2" max="2" width="7.25390625" style="6" customWidth="1"/>
    <col min="3" max="3" width="5.00390625" style="6" customWidth="1"/>
    <col min="4" max="4" width="30.25390625" style="6" customWidth="1"/>
    <col min="5" max="5" width="9.875" style="6" hidden="1" customWidth="1"/>
    <col min="6" max="6" width="17.375" style="0" hidden="1" customWidth="1"/>
    <col min="7" max="7" width="11.625" style="0" hidden="1" customWidth="1"/>
    <col min="8" max="8" width="12.25390625" style="0" customWidth="1"/>
    <col min="9" max="9" width="13.00390625" style="179" customWidth="1"/>
    <col min="10" max="10" width="12.25390625" style="179" customWidth="1"/>
    <col min="11" max="11" width="7.625" style="0" customWidth="1"/>
  </cols>
  <sheetData>
    <row r="1" spans="5:10" ht="12">
      <c r="E1" s="65"/>
      <c r="F1" s="65" t="s">
        <v>237</v>
      </c>
      <c r="G1" s="65"/>
      <c r="H1" s="150"/>
      <c r="I1" s="180"/>
      <c r="J1" s="180" t="s">
        <v>237</v>
      </c>
    </row>
    <row r="2" spans="5:10" ht="12">
      <c r="E2" s="65"/>
      <c r="F2" s="65" t="s">
        <v>180</v>
      </c>
      <c r="G2" s="65"/>
      <c r="H2" s="151"/>
      <c r="I2" s="180"/>
      <c r="J2" s="180" t="s">
        <v>378</v>
      </c>
    </row>
    <row r="3" spans="5:10" ht="12">
      <c r="E3" s="65"/>
      <c r="F3" s="65" t="s">
        <v>172</v>
      </c>
      <c r="G3" s="65"/>
      <c r="H3" s="150"/>
      <c r="I3" s="180"/>
      <c r="J3" s="180" t="s">
        <v>379</v>
      </c>
    </row>
    <row r="4" spans="5:10" ht="12">
      <c r="E4" s="65"/>
      <c r="F4" s="65" t="s">
        <v>234</v>
      </c>
      <c r="G4" s="65"/>
      <c r="H4" s="151"/>
      <c r="I4" s="180"/>
      <c r="J4" s="180" t="s">
        <v>380</v>
      </c>
    </row>
    <row r="5" spans="1:5" ht="65.25" customHeight="1">
      <c r="A5" s="252" t="s">
        <v>400</v>
      </c>
      <c r="B5" s="252"/>
      <c r="C5" s="252"/>
      <c r="D5" s="252"/>
      <c r="E5" s="252"/>
    </row>
    <row r="6" spans="1:5" ht="35.25" customHeight="1">
      <c r="A6" s="252" t="s">
        <v>401</v>
      </c>
      <c r="B6" s="252"/>
      <c r="C6" s="252"/>
      <c r="D6" s="252"/>
      <c r="E6" s="252"/>
    </row>
    <row r="7" spans="1:11" ht="15.75" customHeight="1">
      <c r="A7" s="254" t="s">
        <v>0</v>
      </c>
      <c r="B7" s="254" t="s">
        <v>1</v>
      </c>
      <c r="C7" s="254" t="s">
        <v>2</v>
      </c>
      <c r="D7" s="254" t="s">
        <v>3</v>
      </c>
      <c r="E7" s="223"/>
      <c r="F7" s="186"/>
      <c r="G7" s="186"/>
      <c r="H7" s="236" t="s">
        <v>372</v>
      </c>
      <c r="I7" s="245" t="s">
        <v>278</v>
      </c>
      <c r="J7" s="255" t="s">
        <v>374</v>
      </c>
      <c r="K7" s="255"/>
    </row>
    <row r="8" spans="1:11" s="166" customFormat="1" ht="21" customHeight="1">
      <c r="A8" s="254"/>
      <c r="B8" s="254"/>
      <c r="C8" s="254"/>
      <c r="D8" s="254"/>
      <c r="E8" s="2" t="s">
        <v>163</v>
      </c>
      <c r="F8" s="165" t="s">
        <v>256</v>
      </c>
      <c r="G8" s="165" t="s">
        <v>257</v>
      </c>
      <c r="H8" s="236"/>
      <c r="I8" s="245"/>
      <c r="J8" s="193" t="s">
        <v>375</v>
      </c>
      <c r="K8" s="2" t="s">
        <v>376</v>
      </c>
    </row>
    <row r="9" spans="1:11" s="25" customFormat="1" ht="48">
      <c r="A9" s="221">
        <v>756</v>
      </c>
      <c r="B9" s="221"/>
      <c r="C9" s="221"/>
      <c r="D9" s="222" t="s">
        <v>34</v>
      </c>
      <c r="E9" s="217">
        <f>SUM(E10)</f>
        <v>280000</v>
      </c>
      <c r="F9" s="217">
        <f aca="true" t="shared" si="0" ref="F9:J10">SUM(F10)</f>
        <v>0</v>
      </c>
      <c r="G9" s="217">
        <f t="shared" si="0"/>
        <v>0</v>
      </c>
      <c r="H9" s="217">
        <f t="shared" si="0"/>
        <v>280000</v>
      </c>
      <c r="I9" s="217">
        <f t="shared" si="0"/>
        <v>296758</v>
      </c>
      <c r="J9" s="217">
        <f t="shared" si="0"/>
        <v>296758</v>
      </c>
      <c r="K9" s="206">
        <f>J9/I9*100</f>
        <v>100</v>
      </c>
    </row>
    <row r="10" spans="1:11" s="170" customFormat="1" ht="36">
      <c r="A10" s="61"/>
      <c r="B10" s="55">
        <v>75618</v>
      </c>
      <c r="C10" s="61"/>
      <c r="D10" s="45" t="s">
        <v>170</v>
      </c>
      <c r="E10" s="155">
        <f>SUM(E11)</f>
        <v>280000</v>
      </c>
      <c r="F10" s="155">
        <f t="shared" si="0"/>
        <v>0</v>
      </c>
      <c r="G10" s="155">
        <f t="shared" si="0"/>
        <v>0</v>
      </c>
      <c r="H10" s="155">
        <f t="shared" si="0"/>
        <v>280000</v>
      </c>
      <c r="I10" s="155">
        <f t="shared" si="0"/>
        <v>296758</v>
      </c>
      <c r="J10" s="155">
        <f t="shared" si="0"/>
        <v>296758</v>
      </c>
      <c r="K10" s="207">
        <f>J10/I10*100</f>
        <v>100</v>
      </c>
    </row>
    <row r="11" spans="1:11" s="170" customFormat="1" ht="24.75" customHeight="1">
      <c r="A11" s="61"/>
      <c r="B11" s="61"/>
      <c r="C11" s="171" t="s">
        <v>212</v>
      </c>
      <c r="D11" s="45" t="s">
        <v>66</v>
      </c>
      <c r="E11" s="155">
        <v>280000</v>
      </c>
      <c r="F11" s="172"/>
      <c r="G11" s="172"/>
      <c r="H11" s="155">
        <f>SUM(E11+F11-G11)</f>
        <v>280000</v>
      </c>
      <c r="I11" s="155">
        <v>296758</v>
      </c>
      <c r="J11" s="155">
        <v>296758</v>
      </c>
      <c r="K11" s="207">
        <f>J11/I11*100</f>
        <v>100</v>
      </c>
    </row>
    <row r="12" spans="1:11" s="1" customFormat="1" ht="21" customHeight="1">
      <c r="A12" s="44"/>
      <c r="B12" s="44"/>
      <c r="C12" s="44"/>
      <c r="D12" s="2" t="s">
        <v>81</v>
      </c>
      <c r="E12" s="32">
        <f aca="true" t="shared" si="1" ref="E12:J12">SUM(E9)</f>
        <v>280000</v>
      </c>
      <c r="F12" s="32">
        <f t="shared" si="1"/>
        <v>0</v>
      </c>
      <c r="G12" s="32">
        <f t="shared" si="1"/>
        <v>0</v>
      </c>
      <c r="H12" s="32">
        <f t="shared" si="1"/>
        <v>280000</v>
      </c>
      <c r="I12" s="32">
        <f t="shared" si="1"/>
        <v>296758</v>
      </c>
      <c r="J12" s="32">
        <f t="shared" si="1"/>
        <v>296758</v>
      </c>
      <c r="K12" s="206">
        <f>J12/I12*100</f>
        <v>100</v>
      </c>
    </row>
    <row r="13" spans="1:10" s="1" customFormat="1" ht="8.25" customHeight="1">
      <c r="A13" s="167"/>
      <c r="B13" s="167"/>
      <c r="C13" s="167"/>
      <c r="D13" s="168"/>
      <c r="E13" s="169"/>
      <c r="F13" s="169"/>
      <c r="G13" s="169"/>
      <c r="H13" s="169"/>
      <c r="I13" s="184"/>
      <c r="J13" s="184"/>
    </row>
    <row r="14" spans="1:5" ht="46.5" customHeight="1">
      <c r="A14" s="253" t="s">
        <v>373</v>
      </c>
      <c r="B14" s="253"/>
      <c r="C14" s="253"/>
      <c r="D14" s="253"/>
      <c r="E14" s="253"/>
    </row>
    <row r="15" spans="1:11" ht="17.25" customHeight="1">
      <c r="A15" s="254" t="s">
        <v>0</v>
      </c>
      <c r="B15" s="254" t="s">
        <v>1</v>
      </c>
      <c r="C15" s="254" t="s">
        <v>2</v>
      </c>
      <c r="D15" s="254" t="s">
        <v>3</v>
      </c>
      <c r="E15" s="225"/>
      <c r="F15" s="186"/>
      <c r="G15" s="186"/>
      <c r="H15" s="236" t="s">
        <v>372</v>
      </c>
      <c r="I15" s="245" t="s">
        <v>278</v>
      </c>
      <c r="J15" s="237" t="s">
        <v>374</v>
      </c>
      <c r="K15" s="237"/>
    </row>
    <row r="16" spans="1:11" s="174" customFormat="1" ht="16.5" customHeight="1">
      <c r="A16" s="254"/>
      <c r="B16" s="254"/>
      <c r="C16" s="254"/>
      <c r="D16" s="254"/>
      <c r="E16" s="2" t="s">
        <v>163</v>
      </c>
      <c r="F16" s="2" t="s">
        <v>256</v>
      </c>
      <c r="G16" s="2" t="s">
        <v>257</v>
      </c>
      <c r="H16" s="236"/>
      <c r="I16" s="245"/>
      <c r="J16" s="193" t="s">
        <v>375</v>
      </c>
      <c r="K16" s="2" t="s">
        <v>376</v>
      </c>
    </row>
    <row r="17" spans="1:11" s="6" customFormat="1" ht="21.75" customHeight="1">
      <c r="A17" s="194" t="s">
        <v>135</v>
      </c>
      <c r="B17" s="224"/>
      <c r="C17" s="224"/>
      <c r="D17" s="197" t="s">
        <v>64</v>
      </c>
      <c r="E17" s="59">
        <f aca="true" t="shared" si="2" ref="E17:J17">SUM(E18,E20)</f>
        <v>121466</v>
      </c>
      <c r="F17" s="59">
        <f t="shared" si="2"/>
        <v>6906</v>
      </c>
      <c r="G17" s="59">
        <f t="shared" si="2"/>
        <v>500</v>
      </c>
      <c r="H17" s="59">
        <f t="shared" si="2"/>
        <v>127872</v>
      </c>
      <c r="I17" s="59">
        <f t="shared" si="2"/>
        <v>152172</v>
      </c>
      <c r="J17" s="59">
        <f t="shared" si="2"/>
        <v>150471</v>
      </c>
      <c r="K17" s="208">
        <f>J17/I17*100</f>
        <v>98.88218594748048</v>
      </c>
    </row>
    <row r="18" spans="1:11" s="24" customFormat="1" ht="21.75" customHeight="1">
      <c r="A18" s="78"/>
      <c r="B18" s="55">
        <v>85111</v>
      </c>
      <c r="C18" s="55"/>
      <c r="D18" s="12" t="s">
        <v>228</v>
      </c>
      <c r="E18" s="90">
        <f>SUM(E19:E19)</f>
        <v>10000</v>
      </c>
      <c r="F18" s="90">
        <f>SUM(F19:F19)</f>
        <v>0</v>
      </c>
      <c r="G18" s="90">
        <f>SUM(G19:G19)</f>
        <v>0</v>
      </c>
      <c r="H18" s="90">
        <f>SUM(H19)</f>
        <v>10000</v>
      </c>
      <c r="I18" s="90">
        <f>SUM(I19)</f>
        <v>10000</v>
      </c>
      <c r="J18" s="90">
        <f>SUM(J19)</f>
        <v>10000</v>
      </c>
      <c r="K18" s="207">
        <f>J18/I18*100</f>
        <v>100</v>
      </c>
    </row>
    <row r="19" spans="1:11" s="24" customFormat="1" ht="60">
      <c r="A19" s="73"/>
      <c r="B19" s="91"/>
      <c r="C19" s="55">
        <v>6300</v>
      </c>
      <c r="D19" s="12" t="s">
        <v>231</v>
      </c>
      <c r="E19" s="90">
        <v>10000</v>
      </c>
      <c r="F19" s="127"/>
      <c r="G19" s="127"/>
      <c r="H19" s="94">
        <f>SUM(E19+F19-G19)</f>
        <v>10000</v>
      </c>
      <c r="I19" s="155">
        <v>10000</v>
      </c>
      <c r="J19" s="155">
        <v>10000</v>
      </c>
      <c r="K19" s="207">
        <f aca="true" t="shared" si="3" ref="K19:K53">J19/I19*100</f>
        <v>100</v>
      </c>
    </row>
    <row r="20" spans="1:11" s="24" customFormat="1" ht="21.75" customHeight="1">
      <c r="A20" s="78"/>
      <c r="B20" s="78" t="s">
        <v>136</v>
      </c>
      <c r="C20" s="55"/>
      <c r="D20" s="12" t="s">
        <v>65</v>
      </c>
      <c r="E20" s="90">
        <f>SUM(E23:E27)</f>
        <v>111466</v>
      </c>
      <c r="F20" s="90">
        <f>SUM(F23:F27)</f>
        <v>6906</v>
      </c>
      <c r="G20" s="90">
        <f>SUM(G23:G27)</f>
        <v>500</v>
      </c>
      <c r="H20" s="90">
        <f>SUM(H21:H27)</f>
        <v>117872</v>
      </c>
      <c r="I20" s="90">
        <f>SUM(I21:I27)</f>
        <v>142172</v>
      </c>
      <c r="J20" s="90">
        <f>SUM(J21:J27)</f>
        <v>140471</v>
      </c>
      <c r="K20" s="207">
        <f t="shared" si="3"/>
        <v>98.80356188278986</v>
      </c>
    </row>
    <row r="21" spans="1:11" s="24" customFormat="1" ht="36">
      <c r="A21" s="78"/>
      <c r="B21" s="78"/>
      <c r="C21" s="55">
        <v>2630</v>
      </c>
      <c r="D21" s="12" t="s">
        <v>274</v>
      </c>
      <c r="E21" s="90"/>
      <c r="F21" s="90"/>
      <c r="G21" s="90"/>
      <c r="H21" s="90">
        <v>0</v>
      </c>
      <c r="I21" s="155">
        <v>49972</v>
      </c>
      <c r="J21" s="155">
        <v>49972</v>
      </c>
      <c r="K21" s="207">
        <f t="shared" si="3"/>
        <v>100</v>
      </c>
    </row>
    <row r="22" spans="1:11" s="24" customFormat="1" ht="48">
      <c r="A22" s="78"/>
      <c r="B22" s="78"/>
      <c r="C22" s="55">
        <v>2710</v>
      </c>
      <c r="D22" s="12" t="s">
        <v>349</v>
      </c>
      <c r="E22" s="90"/>
      <c r="F22" s="90"/>
      <c r="G22" s="90"/>
      <c r="H22" s="90">
        <v>0</v>
      </c>
      <c r="I22" s="155">
        <v>12285</v>
      </c>
      <c r="J22" s="155">
        <v>12285</v>
      </c>
      <c r="K22" s="207">
        <f t="shared" si="3"/>
        <v>100</v>
      </c>
    </row>
    <row r="23" spans="1:11" s="24" customFormat="1" ht="12">
      <c r="A23" s="78"/>
      <c r="B23" s="55"/>
      <c r="C23" s="55">
        <v>3030</v>
      </c>
      <c r="D23" s="12" t="s">
        <v>102</v>
      </c>
      <c r="E23" s="90">
        <v>16500</v>
      </c>
      <c r="F23" s="127"/>
      <c r="G23" s="94">
        <v>500</v>
      </c>
      <c r="H23" s="94">
        <f aca="true" t="shared" si="4" ref="H23:H52">SUM(E23+F23-G23)</f>
        <v>16000</v>
      </c>
      <c r="I23" s="155">
        <v>0</v>
      </c>
      <c r="J23" s="155">
        <v>0</v>
      </c>
      <c r="K23" s="207">
        <v>0</v>
      </c>
    </row>
    <row r="24" spans="1:11" s="24" customFormat="1" ht="21.75" customHeight="1">
      <c r="A24" s="78"/>
      <c r="B24" s="55"/>
      <c r="C24" s="55">
        <v>4170</v>
      </c>
      <c r="D24" s="12" t="s">
        <v>242</v>
      </c>
      <c r="E24" s="90"/>
      <c r="F24" s="127"/>
      <c r="G24" s="94"/>
      <c r="H24" s="94">
        <v>0</v>
      </c>
      <c r="I24" s="155">
        <v>13715</v>
      </c>
      <c r="J24" s="155">
        <v>12022</v>
      </c>
      <c r="K24" s="207">
        <f t="shared" si="3"/>
        <v>87.655851257747</v>
      </c>
    </row>
    <row r="25" spans="1:11" s="24" customFormat="1" ht="20.25" customHeight="1">
      <c r="A25" s="78"/>
      <c r="B25" s="55"/>
      <c r="C25" s="55">
        <v>4210</v>
      </c>
      <c r="D25" s="12" t="s">
        <v>105</v>
      </c>
      <c r="E25" s="90">
        <v>5000</v>
      </c>
      <c r="F25" s="127"/>
      <c r="G25" s="127"/>
      <c r="H25" s="94">
        <f t="shared" si="4"/>
        <v>5000</v>
      </c>
      <c r="I25" s="155">
        <v>5000</v>
      </c>
      <c r="J25" s="155">
        <v>4999</v>
      </c>
      <c r="K25" s="207">
        <f t="shared" si="3"/>
        <v>99.98</v>
      </c>
    </row>
    <row r="26" spans="1:11" s="24" customFormat="1" ht="21.75" customHeight="1">
      <c r="A26" s="78"/>
      <c r="B26" s="55"/>
      <c r="C26" s="55">
        <v>4300</v>
      </c>
      <c r="D26" s="12" t="s">
        <v>92</v>
      </c>
      <c r="E26" s="90">
        <f>12566+12000+4000+31400</f>
        <v>59966</v>
      </c>
      <c r="F26" s="94">
        <f>4606+1440+860</f>
        <v>6906</v>
      </c>
      <c r="G26" s="127"/>
      <c r="H26" s="94">
        <f t="shared" si="4"/>
        <v>66872</v>
      </c>
      <c r="I26" s="155">
        <v>19900</v>
      </c>
      <c r="J26" s="155">
        <v>19900</v>
      </c>
      <c r="K26" s="207">
        <f t="shared" si="3"/>
        <v>100</v>
      </c>
    </row>
    <row r="27" spans="1:11" s="24" customFormat="1" ht="24">
      <c r="A27" s="78"/>
      <c r="B27" s="55"/>
      <c r="C27" s="55">
        <v>6060</v>
      </c>
      <c r="D27" s="39" t="s">
        <v>109</v>
      </c>
      <c r="E27" s="90">
        <v>30000</v>
      </c>
      <c r="F27" s="127"/>
      <c r="G27" s="127"/>
      <c r="H27" s="94">
        <f t="shared" si="4"/>
        <v>30000</v>
      </c>
      <c r="I27" s="155">
        <v>41300</v>
      </c>
      <c r="J27" s="155">
        <v>41293</v>
      </c>
      <c r="K27" s="207">
        <f t="shared" si="3"/>
        <v>99.98305084745762</v>
      </c>
    </row>
    <row r="28" spans="1:11" s="6" customFormat="1" ht="23.25" customHeight="1">
      <c r="A28" s="33">
        <v>852</v>
      </c>
      <c r="B28" s="3"/>
      <c r="C28" s="3"/>
      <c r="D28" s="19" t="s">
        <v>230</v>
      </c>
      <c r="E28" s="18" t="e">
        <f>SUM(#REF!,E31)</f>
        <v>#REF!</v>
      </c>
      <c r="F28" s="18" t="e">
        <f>SUM(#REF!,F31)</f>
        <v>#REF!</v>
      </c>
      <c r="G28" s="18" t="e">
        <f>SUM(#REF!,G31)</f>
        <v>#REF!</v>
      </c>
      <c r="H28" s="18">
        <f>SUM(H29,H31)</f>
        <v>103128</v>
      </c>
      <c r="I28" s="18">
        <f>SUM(I29,I31)</f>
        <v>89144</v>
      </c>
      <c r="J28" s="18">
        <f>SUM(J29,J31)</f>
        <v>89144</v>
      </c>
      <c r="K28" s="208">
        <f t="shared" si="3"/>
        <v>100</v>
      </c>
    </row>
    <row r="29" spans="1:11" s="24" customFormat="1" ht="24">
      <c r="A29" s="78"/>
      <c r="B29" s="78">
        <v>85214</v>
      </c>
      <c r="C29" s="55"/>
      <c r="D29" s="12" t="s">
        <v>309</v>
      </c>
      <c r="E29" s="90"/>
      <c r="F29" s="127"/>
      <c r="G29" s="127"/>
      <c r="H29" s="94">
        <f>SUM(H30)</f>
        <v>19000</v>
      </c>
      <c r="I29" s="94">
        <f>SUM(I30)</f>
        <v>3000</v>
      </c>
      <c r="J29" s="94">
        <f>SUM(J30)</f>
        <v>3000</v>
      </c>
      <c r="K29" s="207">
        <f t="shared" si="3"/>
        <v>100</v>
      </c>
    </row>
    <row r="30" spans="1:11" s="24" customFormat="1" ht="21.75" customHeight="1">
      <c r="A30" s="78"/>
      <c r="B30" s="78"/>
      <c r="C30" s="55">
        <v>3110</v>
      </c>
      <c r="D30" s="12" t="s">
        <v>128</v>
      </c>
      <c r="E30" s="90"/>
      <c r="F30" s="127"/>
      <c r="G30" s="127"/>
      <c r="H30" s="94">
        <v>19000</v>
      </c>
      <c r="I30" s="155">
        <v>3000</v>
      </c>
      <c r="J30" s="155">
        <v>3000</v>
      </c>
      <c r="K30" s="207">
        <f t="shared" si="3"/>
        <v>100</v>
      </c>
    </row>
    <row r="31" spans="1:11" s="24" customFormat="1" ht="21.75" customHeight="1">
      <c r="A31" s="78"/>
      <c r="B31" s="78">
        <v>85219</v>
      </c>
      <c r="C31" s="55"/>
      <c r="D31" s="39" t="s">
        <v>70</v>
      </c>
      <c r="E31" s="90">
        <f aca="true" t="shared" si="5" ref="E31:J31">SUM(E32:E41)</f>
        <v>90534</v>
      </c>
      <c r="F31" s="90">
        <f t="shared" si="5"/>
        <v>371</v>
      </c>
      <c r="G31" s="90">
        <f t="shared" si="5"/>
        <v>6777</v>
      </c>
      <c r="H31" s="90">
        <f t="shared" si="5"/>
        <v>84128</v>
      </c>
      <c r="I31" s="90">
        <f t="shared" si="5"/>
        <v>86144</v>
      </c>
      <c r="J31" s="90">
        <f t="shared" si="5"/>
        <v>86144</v>
      </c>
      <c r="K31" s="207">
        <f t="shared" si="3"/>
        <v>100</v>
      </c>
    </row>
    <row r="32" spans="1:11" s="24" customFormat="1" ht="21.75" customHeight="1">
      <c r="A32" s="78"/>
      <c r="B32" s="78"/>
      <c r="C32" s="91">
        <v>4010</v>
      </c>
      <c r="D32" s="39" t="s">
        <v>97</v>
      </c>
      <c r="E32" s="90">
        <v>21284</v>
      </c>
      <c r="F32" s="94"/>
      <c r="G32" s="94">
        <v>5640</v>
      </c>
      <c r="H32" s="94">
        <f t="shared" si="4"/>
        <v>15644</v>
      </c>
      <c r="I32" s="155">
        <v>15644</v>
      </c>
      <c r="J32" s="155">
        <v>15644</v>
      </c>
      <c r="K32" s="207">
        <f t="shared" si="3"/>
        <v>100</v>
      </c>
    </row>
    <row r="33" spans="1:11" s="24" customFormat="1" ht="21.75" customHeight="1">
      <c r="A33" s="78"/>
      <c r="B33" s="78"/>
      <c r="C33" s="91">
        <v>4040</v>
      </c>
      <c r="D33" s="39" t="s">
        <v>98</v>
      </c>
      <c r="E33" s="90">
        <v>1220</v>
      </c>
      <c r="F33" s="94">
        <v>11</v>
      </c>
      <c r="G33" s="107"/>
      <c r="H33" s="94">
        <f t="shared" si="4"/>
        <v>1231</v>
      </c>
      <c r="I33" s="155">
        <v>1231</v>
      </c>
      <c r="J33" s="155">
        <v>1231</v>
      </c>
      <c r="K33" s="207">
        <f t="shared" si="3"/>
        <v>100</v>
      </c>
    </row>
    <row r="34" spans="1:11" s="24" customFormat="1" ht="21.75" customHeight="1">
      <c r="A34" s="78"/>
      <c r="B34" s="78"/>
      <c r="C34" s="91">
        <v>4110</v>
      </c>
      <c r="D34" s="39" t="s">
        <v>99</v>
      </c>
      <c r="E34" s="90">
        <v>3990</v>
      </c>
      <c r="F34" s="94"/>
      <c r="G34" s="94">
        <v>998</v>
      </c>
      <c r="H34" s="94">
        <f t="shared" si="4"/>
        <v>2992</v>
      </c>
      <c r="I34" s="155">
        <v>2992</v>
      </c>
      <c r="J34" s="155">
        <v>2992</v>
      </c>
      <c r="K34" s="207">
        <f t="shared" si="3"/>
        <v>100</v>
      </c>
    </row>
    <row r="35" spans="1:11" s="24" customFormat="1" ht="21.75" customHeight="1">
      <c r="A35" s="78"/>
      <c r="B35" s="78"/>
      <c r="C35" s="91">
        <v>4120</v>
      </c>
      <c r="D35" s="39" t="s">
        <v>100</v>
      </c>
      <c r="E35" s="90">
        <v>552</v>
      </c>
      <c r="F35" s="94"/>
      <c r="G35" s="94">
        <v>139</v>
      </c>
      <c r="H35" s="94">
        <f t="shared" si="4"/>
        <v>413</v>
      </c>
      <c r="I35" s="155">
        <v>413</v>
      </c>
      <c r="J35" s="155">
        <v>413</v>
      </c>
      <c r="K35" s="207">
        <f t="shared" si="3"/>
        <v>100</v>
      </c>
    </row>
    <row r="36" spans="1:11" s="24" customFormat="1" ht="21.75" customHeight="1">
      <c r="A36" s="78"/>
      <c r="B36" s="78"/>
      <c r="C36" s="91">
        <v>4170</v>
      </c>
      <c r="D36" s="39" t="s">
        <v>242</v>
      </c>
      <c r="E36" s="90">
        <v>17000</v>
      </c>
      <c r="F36" s="94"/>
      <c r="G36" s="94"/>
      <c r="H36" s="94">
        <f t="shared" si="4"/>
        <v>17000</v>
      </c>
      <c r="I36" s="155">
        <v>16800</v>
      </c>
      <c r="J36" s="155">
        <v>16800</v>
      </c>
      <c r="K36" s="207">
        <f t="shared" si="3"/>
        <v>100</v>
      </c>
    </row>
    <row r="37" spans="1:11" s="24" customFormat="1" ht="21.75" customHeight="1">
      <c r="A37" s="78"/>
      <c r="B37" s="78"/>
      <c r="C37" s="91">
        <v>4210</v>
      </c>
      <c r="D37" s="12" t="s">
        <v>105</v>
      </c>
      <c r="E37" s="90">
        <v>5943</v>
      </c>
      <c r="F37" s="94"/>
      <c r="G37" s="94"/>
      <c r="H37" s="94">
        <f t="shared" si="4"/>
        <v>5943</v>
      </c>
      <c r="I37" s="155">
        <v>6702</v>
      </c>
      <c r="J37" s="155">
        <v>6702</v>
      </c>
      <c r="K37" s="207">
        <f t="shared" si="3"/>
        <v>100</v>
      </c>
    </row>
    <row r="38" spans="1:11" s="24" customFormat="1" ht="21.75" customHeight="1">
      <c r="A38" s="78"/>
      <c r="B38" s="78"/>
      <c r="C38" s="91">
        <v>4280</v>
      </c>
      <c r="D38" s="12" t="s">
        <v>261</v>
      </c>
      <c r="E38" s="90"/>
      <c r="F38" s="94"/>
      <c r="G38" s="94"/>
      <c r="H38" s="94">
        <v>0</v>
      </c>
      <c r="I38" s="155">
        <v>50</v>
      </c>
      <c r="J38" s="155">
        <v>50</v>
      </c>
      <c r="K38" s="207">
        <f t="shared" si="3"/>
        <v>100</v>
      </c>
    </row>
    <row r="39" spans="1:11" s="24" customFormat="1" ht="21.75" customHeight="1">
      <c r="A39" s="78"/>
      <c r="B39" s="78"/>
      <c r="C39" s="91">
        <v>4300</v>
      </c>
      <c r="D39" s="12" t="s">
        <v>92</v>
      </c>
      <c r="E39" s="90">
        <f>36325+3000</f>
        <v>39325</v>
      </c>
      <c r="F39" s="94">
        <v>360</v>
      </c>
      <c r="G39" s="94"/>
      <c r="H39" s="94">
        <f t="shared" si="4"/>
        <v>39685</v>
      </c>
      <c r="I39" s="155">
        <v>40518</v>
      </c>
      <c r="J39" s="155">
        <f>36760+3758</f>
        <v>40518</v>
      </c>
      <c r="K39" s="207">
        <f t="shared" si="3"/>
        <v>100</v>
      </c>
    </row>
    <row r="40" spans="1:11" s="24" customFormat="1" ht="21.75" customHeight="1">
      <c r="A40" s="78"/>
      <c r="B40" s="78"/>
      <c r="C40" s="91">
        <v>4410</v>
      </c>
      <c r="D40" s="39" t="s">
        <v>103</v>
      </c>
      <c r="E40" s="90">
        <v>500</v>
      </c>
      <c r="F40" s="94"/>
      <c r="G40" s="94"/>
      <c r="H40" s="94">
        <f t="shared" si="4"/>
        <v>500</v>
      </c>
      <c r="I40" s="155">
        <v>1061</v>
      </c>
      <c r="J40" s="155">
        <v>1061</v>
      </c>
      <c r="K40" s="207">
        <f t="shared" si="3"/>
        <v>100</v>
      </c>
    </row>
    <row r="41" spans="1:11" s="24" customFormat="1" ht="26.25" customHeight="1">
      <c r="A41" s="78"/>
      <c r="B41" s="78"/>
      <c r="C41" s="91">
        <v>4440</v>
      </c>
      <c r="D41" s="39" t="s">
        <v>101</v>
      </c>
      <c r="E41" s="90">
        <v>720</v>
      </c>
      <c r="F41" s="127"/>
      <c r="G41" s="127"/>
      <c r="H41" s="94">
        <f t="shared" si="4"/>
        <v>720</v>
      </c>
      <c r="I41" s="155">
        <v>733</v>
      </c>
      <c r="J41" s="155">
        <v>733</v>
      </c>
      <c r="K41" s="207">
        <f t="shared" si="3"/>
        <v>100</v>
      </c>
    </row>
    <row r="42" spans="1:11" s="6" customFormat="1" ht="24.75" customHeight="1">
      <c r="A42" s="33" t="s">
        <v>139</v>
      </c>
      <c r="B42" s="3"/>
      <c r="C42" s="3"/>
      <c r="D42" s="19" t="s">
        <v>71</v>
      </c>
      <c r="E42" s="18">
        <f aca="true" t="shared" si="6" ref="E42:J42">SUM(E43)</f>
        <v>45000</v>
      </c>
      <c r="F42" s="18">
        <f t="shared" si="6"/>
        <v>0</v>
      </c>
      <c r="G42" s="18">
        <f t="shared" si="6"/>
        <v>0</v>
      </c>
      <c r="H42" s="18">
        <f t="shared" si="6"/>
        <v>45000</v>
      </c>
      <c r="I42" s="18">
        <f t="shared" si="6"/>
        <v>85000</v>
      </c>
      <c r="J42" s="18">
        <f t="shared" si="6"/>
        <v>80752</v>
      </c>
      <c r="K42" s="208">
        <f t="shared" si="3"/>
        <v>95.00235294117647</v>
      </c>
    </row>
    <row r="43" spans="1:11" s="24" customFormat="1" ht="33.75">
      <c r="A43" s="78"/>
      <c r="B43" s="78" t="s">
        <v>143</v>
      </c>
      <c r="C43" s="55"/>
      <c r="D43" s="12" t="s">
        <v>144</v>
      </c>
      <c r="E43" s="90">
        <f>SUM(E46:E47)</f>
        <v>45000</v>
      </c>
      <c r="F43" s="90">
        <f>SUM(F46:F47)</f>
        <v>0</v>
      </c>
      <c r="G43" s="90">
        <f>SUM(G46:G47)</f>
        <v>0</v>
      </c>
      <c r="H43" s="90">
        <f>SUM(H44:H47)</f>
        <v>45000</v>
      </c>
      <c r="I43" s="90">
        <f>SUM(I44:I47)</f>
        <v>85000</v>
      </c>
      <c r="J43" s="90">
        <f>SUM(J44:J47)</f>
        <v>80752</v>
      </c>
      <c r="K43" s="207">
        <f t="shared" si="3"/>
        <v>95.00235294117647</v>
      </c>
    </row>
    <row r="44" spans="1:11" s="24" customFormat="1" ht="36" customHeight="1">
      <c r="A44" s="78"/>
      <c r="B44" s="78"/>
      <c r="C44" s="55">
        <v>2630</v>
      </c>
      <c r="D44" s="12" t="s">
        <v>274</v>
      </c>
      <c r="E44" s="90"/>
      <c r="F44" s="90"/>
      <c r="G44" s="90"/>
      <c r="H44" s="90">
        <v>0</v>
      </c>
      <c r="I44" s="155">
        <v>33929</v>
      </c>
      <c r="J44" s="155">
        <v>33062</v>
      </c>
      <c r="K44" s="207">
        <f t="shared" si="3"/>
        <v>97.4446638568776</v>
      </c>
    </row>
    <row r="45" spans="1:11" s="24" customFormat="1" ht="21.75" customHeight="1">
      <c r="A45" s="78"/>
      <c r="B45" s="78"/>
      <c r="C45" s="55">
        <v>4170</v>
      </c>
      <c r="D45" s="12" t="s">
        <v>242</v>
      </c>
      <c r="E45" s="90"/>
      <c r="F45" s="90"/>
      <c r="G45" s="90"/>
      <c r="H45" s="90">
        <v>0</v>
      </c>
      <c r="I45" s="155">
        <v>6000</v>
      </c>
      <c r="J45" s="155">
        <v>3220</v>
      </c>
      <c r="K45" s="207">
        <f t="shared" si="3"/>
        <v>53.666666666666664</v>
      </c>
    </row>
    <row r="46" spans="1:11" s="24" customFormat="1" ht="21" customHeight="1">
      <c r="A46" s="78"/>
      <c r="B46" s="78"/>
      <c r="C46" s="55">
        <v>4210</v>
      </c>
      <c r="D46" s="12" t="s">
        <v>105</v>
      </c>
      <c r="E46" s="90">
        <v>11000</v>
      </c>
      <c r="F46" s="127"/>
      <c r="G46" s="127"/>
      <c r="H46" s="94">
        <f t="shared" si="4"/>
        <v>11000</v>
      </c>
      <c r="I46" s="155">
        <v>5000</v>
      </c>
      <c r="J46" s="155">
        <v>4399</v>
      </c>
      <c r="K46" s="207">
        <f t="shared" si="3"/>
        <v>87.98</v>
      </c>
    </row>
    <row r="47" spans="1:11" s="24" customFormat="1" ht="21.75" customHeight="1">
      <c r="A47" s="55"/>
      <c r="B47" s="55"/>
      <c r="C47" s="55">
        <v>4300</v>
      </c>
      <c r="D47" s="12" t="s">
        <v>92</v>
      </c>
      <c r="E47" s="90">
        <v>34000</v>
      </c>
      <c r="F47" s="127"/>
      <c r="G47" s="130"/>
      <c r="H47" s="94">
        <f t="shared" si="4"/>
        <v>34000</v>
      </c>
      <c r="I47" s="155">
        <v>40071</v>
      </c>
      <c r="J47" s="155">
        <v>40071</v>
      </c>
      <c r="K47" s="207">
        <f t="shared" si="3"/>
        <v>100</v>
      </c>
    </row>
    <row r="48" spans="1:11" s="6" customFormat="1" ht="21.75" customHeight="1">
      <c r="A48" s="33" t="s">
        <v>162</v>
      </c>
      <c r="B48" s="3"/>
      <c r="C48" s="3"/>
      <c r="D48" s="19" t="s">
        <v>79</v>
      </c>
      <c r="E48" s="18">
        <f aca="true" t="shared" si="7" ref="E48:J48">E49</f>
        <v>4000</v>
      </c>
      <c r="F48" s="18">
        <f t="shared" si="7"/>
        <v>0</v>
      </c>
      <c r="G48" s="18">
        <f t="shared" si="7"/>
        <v>0</v>
      </c>
      <c r="H48" s="18">
        <f t="shared" si="7"/>
        <v>4000</v>
      </c>
      <c r="I48" s="18">
        <f t="shared" si="7"/>
        <v>14000</v>
      </c>
      <c r="J48" s="18">
        <f t="shared" si="7"/>
        <v>14000</v>
      </c>
      <c r="K48" s="208">
        <f t="shared" si="3"/>
        <v>100</v>
      </c>
    </row>
    <row r="49" spans="1:11" s="24" customFormat="1" ht="24" customHeight="1">
      <c r="A49" s="55"/>
      <c r="B49" s="88">
        <v>92605</v>
      </c>
      <c r="C49" s="55"/>
      <c r="D49" s="12" t="s">
        <v>80</v>
      </c>
      <c r="E49" s="90">
        <f>SUM(E52:E52)</f>
        <v>4000</v>
      </c>
      <c r="F49" s="127"/>
      <c r="G49" s="127"/>
      <c r="H49" s="94">
        <f>SUM(H50:H52)</f>
        <v>4000</v>
      </c>
      <c r="I49" s="94">
        <f>SUM(I50:I52)</f>
        <v>14000</v>
      </c>
      <c r="J49" s="94">
        <f>SUM(J50:J52)</f>
        <v>14000</v>
      </c>
      <c r="K49" s="207">
        <f t="shared" si="3"/>
        <v>100</v>
      </c>
    </row>
    <row r="50" spans="1:11" s="24" customFormat="1" ht="33.75">
      <c r="A50" s="55"/>
      <c r="B50" s="88"/>
      <c r="C50" s="55">
        <v>2630</v>
      </c>
      <c r="D50" s="12" t="s">
        <v>274</v>
      </c>
      <c r="E50" s="90"/>
      <c r="F50" s="127"/>
      <c r="G50" s="127"/>
      <c r="H50" s="94">
        <v>0</v>
      </c>
      <c r="I50" s="155">
        <v>4000</v>
      </c>
      <c r="J50" s="155">
        <v>4000</v>
      </c>
      <c r="K50" s="207">
        <f t="shared" si="3"/>
        <v>100</v>
      </c>
    </row>
    <row r="51" spans="1:11" s="24" customFormat="1" ht="19.5" customHeight="1">
      <c r="A51" s="55"/>
      <c r="B51" s="88"/>
      <c r="C51" s="55">
        <v>4170</v>
      </c>
      <c r="D51" s="12" t="s">
        <v>242</v>
      </c>
      <c r="E51" s="90"/>
      <c r="F51" s="127"/>
      <c r="G51" s="127"/>
      <c r="H51" s="94">
        <v>0</v>
      </c>
      <c r="I51" s="155">
        <v>10000</v>
      </c>
      <c r="J51" s="155">
        <v>10000</v>
      </c>
      <c r="K51" s="207">
        <f t="shared" si="3"/>
        <v>100</v>
      </c>
    </row>
    <row r="52" spans="1:11" s="24" customFormat="1" ht="19.5" customHeight="1">
      <c r="A52" s="55"/>
      <c r="B52" s="78"/>
      <c r="C52" s="55">
        <v>4300</v>
      </c>
      <c r="D52" s="12" t="s">
        <v>92</v>
      </c>
      <c r="E52" s="90">
        <v>4000</v>
      </c>
      <c r="F52" s="127"/>
      <c r="G52" s="127"/>
      <c r="H52" s="94">
        <f t="shared" si="4"/>
        <v>4000</v>
      </c>
      <c r="I52" s="155">
        <v>0</v>
      </c>
      <c r="J52" s="155">
        <v>0</v>
      </c>
      <c r="K52" s="207">
        <v>0</v>
      </c>
    </row>
    <row r="53" spans="1:11" s="42" customFormat="1" ht="22.5" customHeight="1">
      <c r="A53" s="173"/>
      <c r="B53" s="173"/>
      <c r="C53" s="173"/>
      <c r="D53" s="4" t="s">
        <v>81</v>
      </c>
      <c r="E53" s="18" t="e">
        <f aca="true" t="shared" si="8" ref="E53:J53">SUM(E17,E28,E42,E48,)</f>
        <v>#REF!</v>
      </c>
      <c r="F53" s="18" t="e">
        <f t="shared" si="8"/>
        <v>#REF!</v>
      </c>
      <c r="G53" s="18" t="e">
        <f t="shared" si="8"/>
        <v>#REF!</v>
      </c>
      <c r="H53" s="18">
        <f t="shared" si="8"/>
        <v>280000</v>
      </c>
      <c r="I53" s="18">
        <f t="shared" si="8"/>
        <v>340316</v>
      </c>
      <c r="J53" s="18">
        <f t="shared" si="8"/>
        <v>334367</v>
      </c>
      <c r="K53" s="208">
        <f t="shared" si="3"/>
        <v>98.25191880487547</v>
      </c>
    </row>
    <row r="55" ht="12.75">
      <c r="E55" s="26"/>
    </row>
    <row r="56" ht="12.75">
      <c r="E56" s="26" t="e">
        <f>SUM(E53)</f>
        <v>#REF!</v>
      </c>
    </row>
    <row r="57" ht="12.75">
      <c r="E57" s="40" t="e">
        <f>SUM(E55:E56)</f>
        <v>#REF!</v>
      </c>
    </row>
  </sheetData>
  <mergeCells count="17">
    <mergeCell ref="H7:H8"/>
    <mergeCell ref="I7:I8"/>
    <mergeCell ref="J7:K7"/>
    <mergeCell ref="A15:A16"/>
    <mergeCell ref="B15:B16"/>
    <mergeCell ref="C15:C16"/>
    <mergeCell ref="D15:D16"/>
    <mergeCell ref="H15:H16"/>
    <mergeCell ref="I15:I16"/>
    <mergeCell ref="J15:K15"/>
    <mergeCell ref="A5:E5"/>
    <mergeCell ref="A6:E6"/>
    <mergeCell ref="A14:E14"/>
    <mergeCell ref="A7:A8"/>
    <mergeCell ref="B7:B8"/>
    <mergeCell ref="C7:C8"/>
    <mergeCell ref="D7:D8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2006-03-17T09:06:36Z</cp:lastPrinted>
  <dcterms:created xsi:type="dcterms:W3CDTF">2002-10-21T08:56:44Z</dcterms:created>
  <dcterms:modified xsi:type="dcterms:W3CDTF">2006-05-04T10:16:34Z</dcterms:modified>
  <cp:category/>
  <cp:version/>
  <cp:contentType/>
  <cp:contentStatus/>
</cp:coreProperties>
</file>