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firstSheet="6" activeTab="7"/>
  </bookViews>
  <sheets>
    <sheet name="dochody 2007 zał.1" sheetId="1" r:id="rId1"/>
    <sheet name="wydatki 2007 zał.2 " sheetId="2" r:id="rId2"/>
    <sheet name="dot. otrzym.2007 zał.9" sheetId="3" r:id="rId3"/>
    <sheet name="zał. 4 dotacje przek " sheetId="4" r:id="rId4"/>
    <sheet name="wyd.maj.zał 4" sheetId="5" r:id="rId5"/>
    <sheet name="GKRPA zał. 5" sheetId="6" r:id="rId6"/>
    <sheet name="deficyt zał. 7 " sheetId="7" r:id="rId7"/>
    <sheet name="Zał.8 zakł.budż." sheetId="8" r:id="rId8"/>
  </sheets>
  <definedNames>
    <definedName name="_xlnm.Print_Area" localSheetId="5">'GKRPA zał. 5'!$A:$IV</definedName>
    <definedName name="_xlnm.Print_Titles" localSheetId="0">'dochody 2007 zał.1'!$8:$8</definedName>
    <definedName name="_xlnm.Print_Titles" localSheetId="2">'dot. otrzym.2007 zał.9'!$8:$8</definedName>
    <definedName name="_xlnm.Print_Titles" localSheetId="5">'GKRPA zał. 5'!$8:$8</definedName>
    <definedName name="_xlnm.Print_Titles" localSheetId="4">'wyd.maj.zał 4'!$7:$7</definedName>
    <definedName name="_xlnm.Print_Titles" localSheetId="1">'wydatki 2007 zał.2 '!$9:$9</definedName>
  </definedNames>
  <calcPr fullCalcOnLoad="1"/>
</workbook>
</file>

<file path=xl/comments1.xml><?xml version="1.0" encoding="utf-8"?>
<comments xmlns="http://schemas.openxmlformats.org/spreadsheetml/2006/main">
  <authors>
    <author>Zawalniak</author>
  </authors>
  <commentList>
    <comment ref="M12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76.000 sprzedaz gruntów rolnych</t>
        </r>
      </text>
    </comment>
    <comment ref="M11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4.720 obwody łowieckie
80.000 dzierżawa gruntów rolnych
</t>
        </r>
      </text>
    </comment>
    <comment ref="M22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80.000 dzierżwa gr.rol.</t>
        </r>
      </text>
    </comment>
    <comment ref="M23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76.000 sprzedaz gr,.rol.</t>
        </r>
      </text>
    </comment>
  </commentList>
</comments>
</file>

<file path=xl/comments2.xml><?xml version="1.0" encoding="utf-8"?>
<comments xmlns="http://schemas.openxmlformats.org/spreadsheetml/2006/main">
  <authors>
    <author>Zawalniak</author>
  </authors>
  <commentList>
    <comment ref="F38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150.000 termomodernizacja TDK,Muzeum, Biblioteka obiekty oświatowe
</t>
        </r>
      </text>
    </comment>
    <comment ref="F141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20.000 PT monitoring w mieście
</t>
        </r>
      </text>
    </comment>
    <comment ref="F216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PT sala gimnastyczna przy G 2 50.000 zł</t>
        </r>
      </text>
    </comment>
    <comment ref="F349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50.000  PT wodociągów Biernatowo, Osiniec II, Siedlisko zatorze
</t>
        </r>
      </text>
    </comment>
    <comment ref="F352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250.000 kanalizacja sanitarna i deszczowa Łomnica
150.000 Sarcz 
110.000 Stobno
</t>
        </r>
      </text>
    </comment>
    <comment ref="F21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100.000 modernizacja dróg gminnych
</t>
        </r>
      </text>
    </comment>
    <comment ref="F14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250.000 program PAOW
</t>
        </r>
      </text>
    </comment>
    <comment ref="F183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150.000 budowa boiska sportowego przy SP 3
</t>
        </r>
      </text>
    </comment>
    <comment ref="I400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600
 porozumienie
</t>
        </r>
      </text>
    </comment>
    <comment ref="K120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900 soł.</t>
        </r>
      </text>
    </comment>
    <comment ref="K95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-300 soł.</t>
        </r>
      </text>
    </comment>
    <comment ref="K19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4772 soł.</t>
        </r>
      </text>
    </comment>
    <comment ref="K21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-1772 soł.</t>
        </r>
      </text>
    </comment>
    <comment ref="K356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-400 soł.</t>
        </r>
      </text>
    </comment>
    <comment ref="K358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-3000 soł.</t>
        </r>
      </text>
    </comment>
    <comment ref="K341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252197 dotacja stypendia
</t>
        </r>
      </text>
    </comment>
  </commentList>
</comments>
</file>

<file path=xl/sharedStrings.xml><?xml version="1.0" encoding="utf-8"?>
<sst xmlns="http://schemas.openxmlformats.org/spreadsheetml/2006/main" count="1302" uniqueCount="548">
  <si>
    <t>dział</t>
  </si>
  <si>
    <t>rozdział</t>
  </si>
  <si>
    <t>§</t>
  </si>
  <si>
    <t>nazwa</t>
  </si>
  <si>
    <t>010</t>
  </si>
  <si>
    <t>Rolnictwo i łowiectwo</t>
  </si>
  <si>
    <t>pozostała działalność</t>
  </si>
  <si>
    <t>wpływy z innych lokalnych opłat pobieranych przez jednostki samorządu terytorialnego na podstawie odrębnych ustaw</t>
  </si>
  <si>
    <t>020</t>
  </si>
  <si>
    <t>Leśnictwo</t>
  </si>
  <si>
    <t>02095</t>
  </si>
  <si>
    <t>700</t>
  </si>
  <si>
    <t>Gospodarka mieszkaniowa</t>
  </si>
  <si>
    <t>70005</t>
  </si>
  <si>
    <t>pozostałe odsetki</t>
  </si>
  <si>
    <t>wpływy z różnych dochodów</t>
  </si>
  <si>
    <t>710</t>
  </si>
  <si>
    <t>cmentarze</t>
  </si>
  <si>
    <t>750</t>
  </si>
  <si>
    <t xml:space="preserve">Administracja publiczna </t>
  </si>
  <si>
    <t>urzędy wojewódzkie</t>
  </si>
  <si>
    <t>75023</t>
  </si>
  <si>
    <t>urzędy gmin (miast i miast na prawach powiatu)</t>
  </si>
  <si>
    <t xml:space="preserve">Urzędy naczelnych organów władzy państwowej, kontroli i ochrony prawa oraz sądownictwa </t>
  </si>
  <si>
    <t>urzędy naczelnych organów władzy państwowej, kontroli i ochrony prawa</t>
  </si>
  <si>
    <t>754</t>
  </si>
  <si>
    <t>Bezpieczeństwo publiczne i ochrona przeciwpożarowa</t>
  </si>
  <si>
    <t>75416</t>
  </si>
  <si>
    <t>straż miejska</t>
  </si>
  <si>
    <t xml:space="preserve">grzywny, mandaty i inne kary pieniężne od ludności </t>
  </si>
  <si>
    <t>756</t>
  </si>
  <si>
    <t>Dochody od osób prawnych, od osób fizycznych i od innych jednostek nie posiadających osobowości prawnej</t>
  </si>
  <si>
    <t xml:space="preserve">wpływy z podatku dochodowego od osób fizycznych </t>
  </si>
  <si>
    <t>podatek od działalności gospodarczej osób fizycznych, opłacany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</si>
  <si>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</si>
  <si>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</si>
  <si>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</si>
  <si>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</si>
  <si>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</si>
  <si>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wpływy z opłaty eksploatacyjnej</t>
  </si>
  <si>
    <t>odsetki z tytułu nieterminowych wpłat z tytułu podatków i opłat</t>
  </si>
  <si>
    <t>podatek od spadków i darowizn</t>
  </si>
  <si>
    <t>podatek od posiadania psów</t>
  </si>
  <si>
    <t>wpływy z opłaty targowej</t>
  </si>
  <si>
    <t>wpływy z opłaty miejscowej</t>
  </si>
  <si>
    <t>wpływy z opłaty administracyjnej za czynności urzędowe</t>
  </si>
  <si>
    <t>podatek od czynności cywilnoprawnych</t>
  </si>
  <si>
    <t>75618</t>
  </si>
  <si>
    <t>wpływy z innych opłat stanowiących dochody jednostek samorządu terytorialnego na podstawie ustaw</t>
  </si>
  <si>
    <t>wpływy z opłaty skarbowej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</si>
  <si>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</si>
  <si>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</si>
  <si>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</si>
  <si>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</si>
  <si>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</si>
  <si>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</si>
  <si>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</si>
  <si>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</si>
  <si>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subwencje ogólne z budżetu państwa</t>
  </si>
  <si>
    <t>różne rozliczenia finansowe</t>
  </si>
  <si>
    <t>szkoły podstawowe</t>
  </si>
  <si>
    <t>gimnazja</t>
  </si>
  <si>
    <t>Ochrona zdrowia</t>
  </si>
  <si>
    <t>przeciwdziałanie alkoholizmowi</t>
  </si>
  <si>
    <t>wpływy z opłat za zezwolenia na sprzedaż alkoholu</t>
  </si>
  <si>
    <t>dochody z najmu i dzierżawy składników majątkowych Skarbu Państwa, jednostek samorządu terytorialnego lub  innych jednostek zaliczanych do sektora finansów publicznych oraz innych umów o podobnym charakterze</t>
  </si>
  <si>
    <t xml:space="preserve">zasiłki i pomoc w naturze oraz składki na ubezpieczenia społeczne </t>
  </si>
  <si>
    <t>dodatki mieszkaniowe</t>
  </si>
  <si>
    <t>ośrodki pomocy społecznej</t>
  </si>
  <si>
    <t>Edukacyjna opieka wychowawcza</t>
  </si>
  <si>
    <t>świetlice szkolne</t>
  </si>
  <si>
    <t>Gospodarka komunalna i ochrona środowiska</t>
  </si>
  <si>
    <t>gospodarka ściekowa i ochrona wód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</si>
  <si>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</si>
  <si>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</si>
  <si>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</si>
  <si>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</si>
  <si>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</si>
  <si>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</si>
  <si>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 xml:space="preserve">Kultura i ochrona dziedzictwa narodowego </t>
  </si>
  <si>
    <t>01030</t>
  </si>
  <si>
    <t>izby rolnicze</t>
  </si>
  <si>
    <t>wpłaty gmin na rzecz izb rolniczych w wysokości 2% uzyskanych wpływów z podatku rolnego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</si>
  <si>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</si>
  <si>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</si>
  <si>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</si>
  <si>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</si>
  <si>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</si>
  <si>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</si>
  <si>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</si>
  <si>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</si>
  <si>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</si>
  <si>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71004</t>
  </si>
  <si>
    <t>plany zagospodarowania przestrzennego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</si>
  <si>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</si>
  <si>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</si>
  <si>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</si>
  <si>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</si>
  <si>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</si>
  <si>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</si>
  <si>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różne wydatki na rzecz osób fizycznych</t>
  </si>
  <si>
    <t>podróże służbowe krajowe</t>
  </si>
  <si>
    <t>75022</t>
  </si>
  <si>
    <t xml:space="preserve">zakup materiałów i wyposażenia </t>
  </si>
  <si>
    <t>podróże służbowe zagraniczne</t>
  </si>
  <si>
    <t>różne opłaty i składki</t>
  </si>
  <si>
    <t>zakup energii</t>
  </si>
  <si>
    <t>wydatki na zakupy inwestycyjne jednostek budżetowych</t>
  </si>
  <si>
    <t>wynagrodzenia agencyjno-prowizyjne</t>
  </si>
  <si>
    <t>Urzędy naczelnych organów władzy państwowej, kontroli i ochrony prawa oraz sądownictwa</t>
  </si>
  <si>
    <t>Bezpieczeństwo publiczne                                                                       i ochrona przeciwpożarowa</t>
  </si>
  <si>
    <t>75412</t>
  </si>
  <si>
    <t>ochotnicze straże pożarne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</si>
  <si>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</si>
  <si>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</si>
  <si>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</si>
  <si>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</si>
  <si>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</si>
  <si>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odsetki i dyskonto od krajowych skarbowych papierów wartościowych oraz pożyczek i kredytów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</si>
  <si>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</si>
  <si>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</si>
  <si>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</si>
  <si>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</si>
  <si>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</si>
  <si>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</si>
  <si>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</si>
  <si>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80104</t>
  </si>
  <si>
    <t>odpisy na zakłdowy fundusz świadczeń socjalnych</t>
  </si>
  <si>
    <t xml:space="preserve">80110 </t>
  </si>
  <si>
    <t>80113</t>
  </si>
  <si>
    <t>dowożenie uczniów do szkół</t>
  </si>
  <si>
    <t>851</t>
  </si>
  <si>
    <t>85154</t>
  </si>
  <si>
    <t>składki na ubezpieczenia zdrowotne</t>
  </si>
  <si>
    <t>usługi opiekuńcze i specjalistyczne usługi opiekuńcze</t>
  </si>
  <si>
    <t>854</t>
  </si>
  <si>
    <t>zakup pomocy naukowych, dydaktycznych i książek</t>
  </si>
  <si>
    <t xml:space="preserve">przedszkola </t>
  </si>
  <si>
    <t xml:space="preserve">dotacja podmiotowa z budżetu dla zakładu budżetowego </t>
  </si>
  <si>
    <t>85412</t>
  </si>
  <si>
    <t>kolonie i obozy  oraz inne formy wypoczynku dzieci i młodzieży szkolnej</t>
  </si>
  <si>
    <t>900</t>
  </si>
  <si>
    <t>90001</t>
  </si>
  <si>
    <t>90003</t>
  </si>
  <si>
    <t>oczyszczanie miast i wsi</t>
  </si>
  <si>
    <t>90004</t>
  </si>
  <si>
    <t>90005</t>
  </si>
  <si>
    <t>ochrona powietrza atmosferycznego i klimatu</t>
  </si>
  <si>
    <t>opłaty na rzecz budżetów jednostek samorządu terytorialnego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</si>
  <si>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</si>
  <si>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</si>
  <si>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</si>
  <si>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</si>
  <si>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</si>
  <si>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</si>
  <si>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</si>
  <si>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92118</t>
  </si>
  <si>
    <t>muzea</t>
  </si>
  <si>
    <t>926</t>
  </si>
  <si>
    <t>plan</t>
  </si>
  <si>
    <t xml:space="preserve">plan </t>
  </si>
  <si>
    <t>przychody</t>
  </si>
  <si>
    <t>rozchody</t>
  </si>
  <si>
    <t>saldo</t>
  </si>
  <si>
    <t>spłaty otrzymanych krajowych pożyczek i kredytów</t>
  </si>
  <si>
    <t>wykup gruntów</t>
  </si>
  <si>
    <t>wpływy z różnych opłat</t>
  </si>
  <si>
    <t xml:space="preserve">wpływy z innych opłat stanowiacych dochody jednostek samorządu terytorialnego na podstawie ustaw </t>
  </si>
  <si>
    <t>opłaty na rzecz budżetu państwa</t>
  </si>
  <si>
    <t>Rady Miejskiej Trzcianki</t>
  </si>
  <si>
    <t>przychody z zaciagniętych pożyczek i kredytów na rynku krajowym</t>
  </si>
  <si>
    <t>dokształcanie i doskonalenie nauczycieli</t>
  </si>
  <si>
    <t>gospodarka gruntami i nieruchomościami</t>
  </si>
  <si>
    <t>rady gmin (miast i miast na prawach powiatu)</t>
  </si>
  <si>
    <t>dotacje celowe przekazane dla powiatu na zadania bieżące realizowane na podstawie porozumień (umów) między jednostkami samorządu terytorialnego</t>
  </si>
  <si>
    <t>domy i ośrodki kultury, świetlice i kluby</t>
  </si>
  <si>
    <t>utrzymanie zieleni w miastach i gminach</t>
  </si>
  <si>
    <t>Dochody od osób prawnych, od osób fizycznych i od innych jednostek nieposiadających osobowości prawnej oraz wydatki związane z ich poborem</t>
  </si>
  <si>
    <t xml:space="preserve">wpływy z podatku rolnego, podatku leśnego, podatku od czynności cywilnoprawnych, podatku od spadków i darowizn oraz podatków i opłat lokalnych </t>
  </si>
  <si>
    <t>852</t>
  </si>
  <si>
    <t>85214</t>
  </si>
  <si>
    <t>85219</t>
  </si>
  <si>
    <t>85295</t>
  </si>
  <si>
    <t>kolonie i obozy  oraz inne formy wypoczynku dzieci i młodzieży szkolnej, a także szkolenia młodzieży</t>
  </si>
  <si>
    <t>0490</t>
  </si>
  <si>
    <t>0470</t>
  </si>
  <si>
    <t>0750</t>
  </si>
  <si>
    <t>0920</t>
  </si>
  <si>
    <t>0970</t>
  </si>
  <si>
    <t>0570</t>
  </si>
  <si>
    <t>0350</t>
  </si>
  <si>
    <t>0910</t>
  </si>
  <si>
    <t>0310</t>
  </si>
  <si>
    <t>0320</t>
  </si>
  <si>
    <t>0330</t>
  </si>
  <si>
    <t>0340</t>
  </si>
  <si>
    <t>0360</t>
  </si>
  <si>
    <t>0370</t>
  </si>
  <si>
    <t>0430</t>
  </si>
  <si>
    <t>0440</t>
  </si>
  <si>
    <t>0450</t>
  </si>
  <si>
    <t>0460</t>
  </si>
  <si>
    <t>0500</t>
  </si>
  <si>
    <t>0410</t>
  </si>
  <si>
    <t>0010</t>
  </si>
  <si>
    <t>0020</t>
  </si>
  <si>
    <t>0740</t>
  </si>
  <si>
    <t>0480</t>
  </si>
  <si>
    <t>2010</t>
  </si>
  <si>
    <t>zakup środków żywności</t>
  </si>
  <si>
    <t>pobór podatków, opłat i niepodatkowych należności budżetowych</t>
  </si>
  <si>
    <t>Towarzystwa budownictwa społecznego</t>
  </si>
  <si>
    <t>koszty postępowania sądowego i prokuratorskiego</t>
  </si>
  <si>
    <t>0690</t>
  </si>
  <si>
    <t xml:space="preserve">dotacja podmiotowa z budżetu dla niepublicznej jednostki systemu oświaty </t>
  </si>
  <si>
    <t>dochody jednostek samorządu terytorialnego związane z realizacją zadań z zakresu administracji rządowej oraz innych zadań zleconych ustawami</t>
  </si>
  <si>
    <t>dotacje otrzymane z funduszy celowych na realizację zadań bieżących jednostek sektora finansów publicznych</t>
  </si>
  <si>
    <t>część wyrównawcza subwencji ogólnej dla gmin</t>
  </si>
  <si>
    <t>75807</t>
  </si>
  <si>
    <t>składki na ubezpieczenie zdrowotne opłacane za osoby pobierające niektóre świadczenia z pomocy społecznej oraz niektóre świadczenia rodzinne</t>
  </si>
  <si>
    <t xml:space="preserve">Pomoc społeczna </t>
  </si>
  <si>
    <t>Pomoc społeczna</t>
  </si>
  <si>
    <t>wpływy ze sprzedaży składników majątkowych</t>
  </si>
  <si>
    <t>dotacja podmiotowa z budżetu dla samorządowej instytucji kultury</t>
  </si>
  <si>
    <t xml:space="preserve"> wydatki osobowe niezaliczone do wynagrodzeń</t>
  </si>
  <si>
    <t xml:space="preserve">wynagrodzenia bezosobowe </t>
  </si>
  <si>
    <t xml:space="preserve">wpływy z podatku rolnego, podatku leśnego, podatku od czynności cywilnoprawnych, podatków i opłat lokalnych od osób prawnych i innych jednostek organizacyjnych </t>
  </si>
  <si>
    <t xml:space="preserve">wpływy z podatku rolnego, podatku leśnego,podatku od spadków i darowizn, podatku od czynności cywilnoprawnych oraz podatków i opłat lokalnych od osób fizycznych </t>
  </si>
  <si>
    <t>wynagrodzenia bezosobowe</t>
  </si>
  <si>
    <t>zakup elementów do monitorowania miasta</t>
  </si>
  <si>
    <t>0830</t>
  </si>
  <si>
    <t>wpływy z usług</t>
  </si>
  <si>
    <t>wynagrodzenie bezosobowe</t>
  </si>
  <si>
    <t>0870</t>
  </si>
  <si>
    <t>zwiększenia</t>
  </si>
  <si>
    <t>zmniejszenia</t>
  </si>
  <si>
    <t>instytucje kultury fizycznej</t>
  </si>
  <si>
    <t>zmiany</t>
  </si>
  <si>
    <t>wykup innych papierów wartościowych</t>
  </si>
  <si>
    <t>zakup usług zdrowotnych</t>
  </si>
  <si>
    <t>budowa chodnika w Siedlisku</t>
  </si>
  <si>
    <t>różne jednostki obsługi gospodarki mieszkaniowej</t>
  </si>
  <si>
    <t>świadczenia rodzinne oraz składki na ubezpieczenia emerytalne i rentowe z ubezpieczenia społecznego</t>
  </si>
  <si>
    <t>plan po zmianach</t>
  </si>
  <si>
    <t>Załącznik Nr 10 do uchwały nr XXXIII/233/05</t>
  </si>
  <si>
    <t>Rady Miejskiej trzcianki z dnia 10.02.2005 r.</t>
  </si>
  <si>
    <t>odsetki od nieterminowych wpłat 
z tytułu podatków i opłat</t>
  </si>
  <si>
    <t>składki na ubezpieczenie zdrowotne opłacane za osoby pobierające niektóre świadczenia 
z pomocy społecznej oraz niektóre świadczenia rodzinne</t>
  </si>
  <si>
    <t>dotacje celowe otrzymane 
z budżetu państwa na realizację własnych zadań bieżących gmin (związków gmin)</t>
  </si>
  <si>
    <t xml:space="preserve">pozostała działalność </t>
  </si>
  <si>
    <t>Rady Miejskiej Trzcianki z dnia 28.04.2005 r. zmieniający</t>
  </si>
  <si>
    <t>Załącznik Nr 6 do Uchwały Nr XXXVII/255/05</t>
  </si>
  <si>
    <t>oddziały przedszkolne w szkołach podstawowych</t>
  </si>
  <si>
    <t>promocja jednostek samorządu terytorialnego</t>
  </si>
  <si>
    <t xml:space="preserve">zasiłki i pomoc w naturze oraz składki na ubezpieczenia emerytalne i rentowe </t>
  </si>
  <si>
    <t>zakup usług dostępu do sieci Internet</t>
  </si>
  <si>
    <t xml:space="preserve">zasiłki i pomoc w naturze oraz składki na ubezpieczenia emerytalne i rentowe  </t>
  </si>
  <si>
    <t>przychody z zaciągniętych pożyczek na finansowanie zadań realizowanych z udziałem środków pochodzących z budżetu Unii Eropejskiej</t>
  </si>
  <si>
    <t>budowa remizy w Niekursku</t>
  </si>
  <si>
    <t>zakup usług dostepu do sieci Internet</t>
  </si>
  <si>
    <t xml:space="preserve"> </t>
  </si>
  <si>
    <t xml:space="preserve">       </t>
  </si>
  <si>
    <t>wydatki osobowe niezaliczone do wynagrodzeń</t>
  </si>
  <si>
    <t>wpływy z opłat za zarząd, użytkowanie i użytkowanie wieczyste nieruchomości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</si>
  <si>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</si>
  <si>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</si>
  <si>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dotacje celowe otrzymane z powiatu na zadania bieżące realizowane na podstawie porozumień  między jednostkami samorządu terytorialnego</t>
  </si>
  <si>
    <t>75831</t>
  </si>
  <si>
    <t>część równoważąca subwencji ogólnej dla gmin</t>
  </si>
  <si>
    <t>dotacje celowe otrzymane z budżetu państwa na realizację zadań bieżących z zakresu administracji rządowej oraz innych zadań zleconych gminie (zwiazkom gmin) ustawami</t>
  </si>
  <si>
    <t>dotacje celowe otrzymane z budżetu państwa na realizację zadań bieżących z zakresu administracji rządowej oraz innych zadań zleconych gminie(zwiazkom gmin) ustawami</t>
  </si>
  <si>
    <t>zakup usług medycznych</t>
  </si>
  <si>
    <t>składki na fundusz pracy</t>
  </si>
  <si>
    <t>zakup usług dostepu do sieci interet</t>
  </si>
  <si>
    <t>budowa chodnika w Stobnie</t>
  </si>
  <si>
    <t xml:space="preserve">      Ochrona zdrowia</t>
  </si>
  <si>
    <t>zasiłki i pomoc w naturze oraz składki na ubezpieczenia emerytalne i rentowe</t>
  </si>
  <si>
    <t xml:space="preserve">                </t>
  </si>
  <si>
    <t>Dochody z tytułu opłat za wydawanie zezwoleń na sprzedaż napojów alkoholowych</t>
  </si>
  <si>
    <t>Wydatki na realizację zadań określonych w programie profilaktyki i rozwiązywania problemów alkoholowych</t>
  </si>
  <si>
    <t>Załącznik Nr 11</t>
  </si>
  <si>
    <t>świadczenia rodzinne, zaliczka alimentacyjna oraz składki na ubezpieczenia emerytalne i rentowe z ubezpieczenia społecznego</t>
  </si>
  <si>
    <t>dotacja przedmiotowa z budżetu dla jednostek nie zaliczanych do sektora finansów publicznych</t>
  </si>
  <si>
    <t>przeciwdziałanie narkomanii</t>
  </si>
  <si>
    <t>zwalczanie narkomanii</t>
  </si>
  <si>
    <t>wpływy z opłat za wydawanie zezwoleń na sprzedaż alkoholu</t>
  </si>
  <si>
    <t>0760</t>
  </si>
  <si>
    <t>wpływy z tytułu przekształcenia prawa użytkowania wieczystego przysługującego osobom fizycznym w prawo własności</t>
  </si>
  <si>
    <t>opłaty z tytułu zakupu usług telekomunikacyjnych telefonii stacjonarnej</t>
  </si>
  <si>
    <t>opłaty czynszowe za pomieszczenia biurowe</t>
  </si>
  <si>
    <t>zakup materiałów papierniczych do sprzętu drukarskiego i urządzeń kesrograficznych</t>
  </si>
  <si>
    <t>szkolenia pracowników niebędących członkami służby cywilnej</t>
  </si>
  <si>
    <t>zakup akcesoriów komputerowych, w tym programów i licencji</t>
  </si>
  <si>
    <t>opłaty z tytułu zakupu usług telekomunikacyjnych telefonii komórkowej</t>
  </si>
  <si>
    <t>zakup usług obejmujących wykonanie ekspertyz, analiz i opinii</t>
  </si>
  <si>
    <t>dotacja przedmiotowa dla jednostek nie zaliczanych do sektora finansów publicznych</t>
  </si>
  <si>
    <t>wydatki na zakup i objęcie akcji, wniesienie wkładów do spółek prawa handlowego oraz na uzupełnienie funduszy statutowych banków państwowych i innych instytucji finansowych</t>
  </si>
  <si>
    <t xml:space="preserve">pomoc materialna dla uczniów </t>
  </si>
  <si>
    <t>stypendia dla uczniów</t>
  </si>
  <si>
    <t>dotacje celowe otrzymane z gminy na zadania bieżące realizowane na podstawie porozumień  (umów) między jednostkami samorządu terytorialnego</t>
  </si>
  <si>
    <t>obiekty sportowe</t>
  </si>
  <si>
    <t>budowa chodnika na ul. Staszica</t>
  </si>
  <si>
    <t xml:space="preserve">modernizacja dróg na ul. Konopnickiej i Wita Stwosza </t>
  </si>
  <si>
    <t>modernizacja ulicy Ogrodowej</t>
  </si>
  <si>
    <t xml:space="preserve">budowa ciągu pieszo - rowerowego przy ul. Ogrodowej </t>
  </si>
  <si>
    <t>budowa chodnika przy ul. Kopernika i Wiosny Ludów</t>
  </si>
  <si>
    <t>modernizacja drogi ul. Mickiewicza</t>
  </si>
  <si>
    <t>budowa chodnika przy ul. Mickiewicza</t>
  </si>
  <si>
    <t>zakup równiarki na potrzeby sołectwa Rychlik</t>
  </si>
  <si>
    <t>budowa chodnika w Białej ul. Radolińska oraz utwardzenie drogi na cmentarz</t>
  </si>
  <si>
    <t>budowa chodnika w Biernatowie</t>
  </si>
  <si>
    <t>budowa chodnika w Radolinie</t>
  </si>
  <si>
    <t>budowa chodnika w Runowie</t>
  </si>
  <si>
    <t>budowa chodnika w Teresinie</t>
  </si>
  <si>
    <t xml:space="preserve">zakup sprzętu komputerowego </t>
  </si>
  <si>
    <t>zakup sprzętu komputerowego</t>
  </si>
  <si>
    <t>budowa placów zabaw</t>
  </si>
  <si>
    <t>budowa wodociągu w Stobnie</t>
  </si>
  <si>
    <t>budowa wodociągu w Sarczu</t>
  </si>
  <si>
    <t>budowa oświetlenia na ul. Ogrodowej</t>
  </si>
  <si>
    <t>budowa oświetlenia Nowa Wieś</t>
  </si>
  <si>
    <t>budowa oświetlenia Przyłęki</t>
  </si>
  <si>
    <t>budowa oświetlenia Wapniarnia III</t>
  </si>
  <si>
    <t>budowa oświetlenia Siedlisko</t>
  </si>
  <si>
    <t>modernizacja instalacji grzewczej sali wiejskiej w Straduniu</t>
  </si>
  <si>
    <t>budowa pływalni (kryty basen)</t>
  </si>
  <si>
    <t>budowa sali sportowej we wsi Siedlisko</t>
  </si>
  <si>
    <t>Załącznik Nr 6</t>
  </si>
  <si>
    <t>Wydatki</t>
  </si>
  <si>
    <t>1.</t>
  </si>
  <si>
    <t>2.</t>
  </si>
  <si>
    <t>l.p.</t>
  </si>
  <si>
    <t>Wyszczególnienie</t>
  </si>
  <si>
    <t>Przychody</t>
  </si>
  <si>
    <t>ogółem</t>
  </si>
  <si>
    <t>w tym: dotacja z budżetu</t>
  </si>
  <si>
    <t>wydatki osobowe</t>
  </si>
  <si>
    <t>wydatki rzeczowe</t>
  </si>
  <si>
    <t>wydatki inwestycyjne</t>
  </si>
  <si>
    <t>I</t>
  </si>
  <si>
    <t>1. Gminne Przedszkole Publiczne Nr 1</t>
  </si>
  <si>
    <t>2. Gminne Przedszkole Publiczne Nr 2</t>
  </si>
  <si>
    <t>3. Gminne Przedszkole Publiczne Nr 3</t>
  </si>
  <si>
    <t>4. Gminne Przedszkole Publiczne Nr 4</t>
  </si>
  <si>
    <t>5. Gminne Przedszkole Publiczne w Białej</t>
  </si>
  <si>
    <t>6. Gminne Przedszkole Publiczne w Siedlisku</t>
  </si>
  <si>
    <t>7. Gminne Przedszkole Publiczne w Runowie</t>
  </si>
  <si>
    <t>II.</t>
  </si>
  <si>
    <t>1. Gimnazjum Nr 2</t>
  </si>
  <si>
    <t>2. Gimnazjum w Siedlisku</t>
  </si>
  <si>
    <t>3. Szkoła Podstawowa Nr 2</t>
  </si>
  <si>
    <t>4. Szkoła Podstawowa Nr 3</t>
  </si>
  <si>
    <t>5. Szkoła Podstawowa w Białej</t>
  </si>
  <si>
    <t>6. Szkoła Podstawowa w Łomnicy</t>
  </si>
  <si>
    <t>7. Szkoła Podstawowa w Rychliku</t>
  </si>
  <si>
    <t>1. Dotacje podmiotowe</t>
  </si>
  <si>
    <t>Nazwa jednostki</t>
  </si>
  <si>
    <t>Zakres dotacji</t>
  </si>
  <si>
    <t>I. Zakłady budżetowe</t>
  </si>
  <si>
    <t>Gminne Przedszkola Publiczne</t>
  </si>
  <si>
    <t>prowadzenie przedszkoli</t>
  </si>
  <si>
    <t>dokształcanie i doskonalenie zawodowe nauczycieli</t>
  </si>
  <si>
    <t xml:space="preserve">II. Niepubliczne jednostki systemu oświaty </t>
  </si>
  <si>
    <t xml:space="preserve">Katolicka Szkoła Podstawowa im. św. Siostry Faustyny w Trzciance  </t>
  </si>
  <si>
    <t>prowadzenie szkoły</t>
  </si>
  <si>
    <t>Oddział Przedszkolny przy Katolickiej Szkole Podstawowej św. Siostry Faustyny w Trzciance</t>
  </si>
  <si>
    <t>prowadzenie oddziału przedszkolnego</t>
  </si>
  <si>
    <t xml:space="preserve">III. Samorządowe instytucje kultury </t>
  </si>
  <si>
    <t>Trzcianecki Dom Kultury</t>
  </si>
  <si>
    <t>działalność instytucji kultury</t>
  </si>
  <si>
    <t>Biblioteka Publiczna Miasta i Gminy im. Kazimiery Iłłakowiczówny</t>
  </si>
  <si>
    <t>działalność instytucji kultury - porozumienie</t>
  </si>
  <si>
    <t>Muzeum Ziemi Nadnoteckiej im. Wiktora Stachowiaka</t>
  </si>
  <si>
    <t>konkurs</t>
  </si>
  <si>
    <t xml:space="preserve">prowadzenie świetlic środwiskowych </t>
  </si>
  <si>
    <t>realizacja programów o charakterze profilaktyczno - edukacyjnym</t>
  </si>
  <si>
    <t>Caritas Parafii p.w. Św. Jana Chrzciciela</t>
  </si>
  <si>
    <t>Stowarzyszenie "Pomagajmy Dzieciom"</t>
  </si>
  <si>
    <t>Towarzystwo Przyjaciół Dzieci Koło Przyjaciół Dzieci Niepełnosprawnych w Trzciance</t>
  </si>
  <si>
    <t>Olimpiady Specjalne Polska Oodział Regionalny Olimpiady Specjalne Polska Wielkopolskie</t>
  </si>
  <si>
    <t xml:space="preserve">organizacja wypoczynku </t>
  </si>
  <si>
    <t>MKS "Lubuszanin"</t>
  </si>
  <si>
    <t>MKS MDK</t>
  </si>
  <si>
    <t>UKS "Dysk" przy SP nr 3</t>
  </si>
  <si>
    <t>UKS " Kajak"przy Gimnazjum nr 1</t>
  </si>
  <si>
    <t>Sekcja Olimpiad Specjalnych "Olimpijczyk"</t>
  </si>
  <si>
    <t>UKS "Fortuna" Biała</t>
  </si>
  <si>
    <t>LKS "Zuch" Rychlik</t>
  </si>
  <si>
    <t>Trzcianeckie Stowarzyszenie LZS</t>
  </si>
  <si>
    <t>ZHP</t>
  </si>
  <si>
    <t>Oddział Olimpiad Specjalnych "Olimpijczyk"</t>
  </si>
  <si>
    <t>PTSS "Sprawni Razem"</t>
  </si>
  <si>
    <t xml:space="preserve">3. Dotacje celowe na realizację porozumień  </t>
  </si>
  <si>
    <t xml:space="preserve">Starostwo Powiatowe </t>
  </si>
  <si>
    <t>utrzymanie hali sportowo-widowiskowej przy L.O. w Trzciance</t>
  </si>
  <si>
    <t>Starostwo Powiatowe</t>
  </si>
  <si>
    <t>utrzymanie pracownika ZNP</t>
  </si>
  <si>
    <t>rozdział 80104- przedszkola</t>
  </si>
  <si>
    <t>rozdział 80146 - dokształcanie i doskonalenie zawodowe nauczycieli</t>
  </si>
  <si>
    <t>rekompensaty utraconych dochodów w podatkach i opłatach lokalnych</t>
  </si>
  <si>
    <t>z dnia 8 lutego 2007 r.</t>
  </si>
  <si>
    <t>wniesienie udziałów do TTBS na budowę budynku mieszkalnego przy ul. Matejki</t>
  </si>
  <si>
    <t>rezerwa na inwestycje i zakupy inwestycyjne</t>
  </si>
  <si>
    <t>budowa kanalizacji sanitarnej i deszczowej w Łomnicy</t>
  </si>
  <si>
    <t>budowa boiska sportowego przy szkole Podstawowej nr 3</t>
  </si>
  <si>
    <t>budowa oświetlenia w Niekursku
( 20.000 środki budżetu gminy, 4.000 zł środki sołectwa Niekursko)</t>
  </si>
  <si>
    <t>do Uchwały Nr V/25/07</t>
  </si>
  <si>
    <t>01038</t>
  </si>
  <si>
    <t>Rozwój obszarów wiejskich</t>
  </si>
  <si>
    <t>współpraca z WZDW - dokończenie budowy chodnika w Siedlisku oraz budowa chodnika  we Wrzącej</t>
  </si>
  <si>
    <t xml:space="preserve">budowa chodnika przy ul. Konopnickiej i Wita Stwosza </t>
  </si>
  <si>
    <t>Rady Miejskiej Trzcianki z dnia 15.03.2007 r. zmieniający</t>
  </si>
  <si>
    <t>załącznik Nr 1 do Uchwały Nr V/25/07</t>
  </si>
  <si>
    <t>Rady Miejskiej Trzcianki z dnia 8.02.2007 r.</t>
  </si>
  <si>
    <t>załącznik Nr 2 do Uchwały Nr V/25/07</t>
  </si>
  <si>
    <t>Wydatki  budżetu gminy Trzcianka na 2007 rok - plan po zmianach</t>
  </si>
  <si>
    <t>plan po 
zmianach</t>
  </si>
  <si>
    <t xml:space="preserve">Dotacje na 2007 rok - otrzymywane do budżetu- plan po zmianach                                     </t>
  </si>
  <si>
    <t xml:space="preserve">Rady Miejskiej Trzcianki z dnia 08.02.2007 r. </t>
  </si>
  <si>
    <t>porozumienia</t>
  </si>
  <si>
    <t>852.85212.2010</t>
  </si>
  <si>
    <t>852.85213.2010</t>
  </si>
  <si>
    <t>852.85214.2010</t>
  </si>
  <si>
    <t>852.85214.2030</t>
  </si>
  <si>
    <t>udziały os.fiz.</t>
  </si>
  <si>
    <t>subw.oświat.</t>
  </si>
  <si>
    <t>porozumienie</t>
  </si>
  <si>
    <t>852.85212.201</t>
  </si>
  <si>
    <t>852.85213.201</t>
  </si>
  <si>
    <t>852.85214.201</t>
  </si>
  <si>
    <t>852.85214.203</t>
  </si>
  <si>
    <t>subw.równow.</t>
  </si>
  <si>
    <t>dotacja celowa z budżetu na finansowanie lub dofinansowanie zadań zleconych do realizacji pozostałym jednostkom niezaliczanym do sektora finansów publicznych</t>
  </si>
  <si>
    <t>dotacja celowa z budżetu na finansowanie lub dofinansowanie zadań zleconych do realizacji stowarzyszeniom</t>
  </si>
  <si>
    <t>Plan przychodów i rozchodów 2007 - plan po zmianach</t>
  </si>
  <si>
    <t>nadwyżki z lat ubiegłych</t>
  </si>
  <si>
    <t>zmiana</t>
  </si>
  <si>
    <t>plan przed zmianą</t>
  </si>
  <si>
    <t>plan po zmianie</t>
  </si>
  <si>
    <t xml:space="preserve">plan przed zmianą </t>
  </si>
  <si>
    <t>Wydatki majątkowe na 2007 rok - plan po zmianach</t>
  </si>
  <si>
    <t>Załącznik Nr 6 do Uchwały Nr V/25/07</t>
  </si>
  <si>
    <t>plan 
po zmianie</t>
  </si>
  <si>
    <t>Dochody i wydatki na rok 2007 z tytułu opłat za wydawanie zezwoleń na sprzedaż napojów alkoholowych oraz wydatki na realizację zadań określonych w programie profilaktyki i rozwiązywania problemów alkoholowych - plan po zmianach</t>
  </si>
  <si>
    <t>plan 
przed zmianą</t>
  </si>
  <si>
    <t>plan po  zmianach</t>
  </si>
  <si>
    <t>treść</t>
  </si>
  <si>
    <t>Załącznik Nr 4 do Uchwały Nr V/25/07</t>
  </si>
  <si>
    <t>Zakres i kwoty dotacji dla zakładów budżetowych, niepublicznych jednostek oświaty, samorządowych instytucji kultury, jednostek niezaliczanych do sektora finansów publicznych oraz na realizację porozumień zawartych między jednostami samorządu terytorialnego - plan po zmianach</t>
  </si>
  <si>
    <t>MKS Lubuszanin</t>
  </si>
  <si>
    <t>Klub Sportów Motorowych i Motorowodnych</t>
  </si>
  <si>
    <t>UKS Kajak</t>
  </si>
  <si>
    <t>UKS Dysk</t>
  </si>
  <si>
    <t>Sekcja "Olompijczyk"</t>
  </si>
  <si>
    <t>UKS Forma</t>
  </si>
  <si>
    <t>UKS Fortuna Biała</t>
  </si>
  <si>
    <t>Trzciancekie Stowarzyszenie Ludowych Zespołów Sportowych</t>
  </si>
  <si>
    <t>LKS Zuch Rychlik</t>
  </si>
  <si>
    <t>"Sprawni razem"</t>
  </si>
  <si>
    <t>I. Jendostki niezaliczane do sektora finansów publicznych oraz stowarzyszenia</t>
  </si>
  <si>
    <t>2. Dotacje przedmiotowe i celowe</t>
  </si>
  <si>
    <t>budowa boiska wielofunkcyjnego przy ul. Broniewskiego w Trzciance</t>
  </si>
  <si>
    <t>budowa boiska piłkarskiego przy ul. Chopina w Trzciance</t>
  </si>
  <si>
    <t>teść</t>
  </si>
  <si>
    <t>Załącznik Nr 10 do Uchwały Nr V/25/07</t>
  </si>
  <si>
    <t>kary i odszkodowania wypłacane na rzecz osób prawnych i innych jednostek organizacyjnych</t>
  </si>
  <si>
    <t>Załącznik Nr 11 do Uchwały Nr V/25/07</t>
  </si>
  <si>
    <t>Załącznik Nr 1 do Uchwały Nr VI/26/07</t>
  </si>
  <si>
    <t>Załącznik Nr 2 do Uchwały Nr VI/26/07</t>
  </si>
  <si>
    <t>Załącznik Nr 3 do Uchwały Nr VI/26/07</t>
  </si>
  <si>
    <t>Załącznik Nr 4 do Uchwały Nr VI/26/07</t>
  </si>
  <si>
    <t>budowa kanalizacji sanitarnej i deszczowej w Trzciance oraz kanalizacji sanitarnej we wsiach Siedlisko, Rychlik, Stobno, Wrząca, Przyłęki, Górnica, Biernatowo i Łomnica</t>
  </si>
  <si>
    <t>Załącznik Nr 5 do Uchwały Nr VI/26/07</t>
  </si>
  <si>
    <t>Załącznik Nr 8 do Uchwały Nr VI/26/07</t>
  </si>
  <si>
    <t>Załącznik Nr 10 do Uchwały Nr VI/26/07</t>
  </si>
  <si>
    <t>Dochody budżetu gminy Trzcianka na 2007 rok - plan po zmianach</t>
  </si>
  <si>
    <t>Burmistrza Trzcianki z dnia 30.03.2007 r. zmieniający</t>
  </si>
  <si>
    <t xml:space="preserve">Rady Miejskiej Trzcianki z dnia 15.03.2007 r. </t>
  </si>
  <si>
    <t>Załącznik Nr 1 do Zarządzenia Nr 47/07</t>
  </si>
  <si>
    <t xml:space="preserve">Burmistrza Trzcianki z dnia 30.03.2007 r. </t>
  </si>
  <si>
    <t>drogi publiczne wojewódzkie</t>
  </si>
  <si>
    <t>dotacja celowa na pomoc finansową udzieloną między jednostkami samorządu terytorialnego na dofiannsowanie własnych zadań inwestycyjnych i zakupów inwestycyjnych</t>
  </si>
  <si>
    <t>dotacaj celowa na pomoc finansową udzielaną między jednostkami samorzadu terytorialnego na dofinansowanie własnych zadań bieżących</t>
  </si>
  <si>
    <t>4. Dotacje celowe na pomoc finansową udzielaną między jednostkami samorządu terytorialnego</t>
  </si>
  <si>
    <t>oczyszczanie</t>
  </si>
  <si>
    <t>schronisko</t>
  </si>
  <si>
    <t>odszkodowanie spółdzielnia</t>
  </si>
  <si>
    <t>ZIK</t>
  </si>
  <si>
    <t>Izba Wytrzeźwien</t>
  </si>
  <si>
    <t>sala wiejska</t>
  </si>
  <si>
    <t>rezerwa</t>
  </si>
  <si>
    <t xml:space="preserve">pomoc finansowa </t>
  </si>
  <si>
    <t>M</t>
  </si>
  <si>
    <t>M, D</t>
  </si>
  <si>
    <t>B</t>
  </si>
  <si>
    <t>B, D</t>
  </si>
  <si>
    <t xml:space="preserve">pomoc finansowa dla Województwa Wielkopolskiego na wspólne sfinansowanie kontynuacji przebudowy ciągu pieszo - rowerowego po prawej stronie drogi wojewódzkiej nr 180 relacji Kocien Wielki - Piła w miejscowości Siedlisko </t>
  </si>
  <si>
    <t>podwyższenie udziałów w spółce  Z.I.K. Sp z o.o.</t>
  </si>
  <si>
    <t>plan przed
 zmianą</t>
  </si>
  <si>
    <t>dotacja celowa na pomoc finansową udzielaną między jednostkami samorzadu terytorialnego na dofinansowanie własnych zadań bieżących</t>
  </si>
  <si>
    <t>AA IZBA</t>
  </si>
  <si>
    <t xml:space="preserve">Gmina Piła </t>
  </si>
  <si>
    <t>pomoc finansowa na zakup usług w Ośrodku Profilaktyki i Rozwiązywania Problemów Alkoholowych w Pile</t>
  </si>
  <si>
    <t>Województwo Wielkopolskie</t>
  </si>
  <si>
    <t>pomoc finansowa na wspólne sfinansowanie kontynuacji przebudowy ciągu pieszo - rowerowego po prawiej stronie drogi wojewódzkiej nr 180 relacji Kocien Wielki - Piła 
w miejscowości Siedlisko</t>
  </si>
  <si>
    <t>01095</t>
  </si>
  <si>
    <t>0770</t>
  </si>
  <si>
    <t>wpływy z dywidend</t>
  </si>
  <si>
    <t>wpłaty z tytułu odpłatnego nabycia prawa własności oraz prawa użytkowania wieczystego nieruchomości</t>
  </si>
  <si>
    <t>zakup leków, wyrobów medycznych i produktów biobójczych</t>
  </si>
  <si>
    <t>B,D</t>
  </si>
  <si>
    <t>świetlice AA</t>
  </si>
  <si>
    <t>delegacje AA</t>
  </si>
  <si>
    <t>szkolenia grup AA</t>
  </si>
  <si>
    <t>SP sr.obrotowe</t>
  </si>
  <si>
    <t>Gim.śr.obrotowe</t>
  </si>
  <si>
    <t>specjaliści AA</t>
  </si>
  <si>
    <t>wynagr.PPK</t>
  </si>
  <si>
    <t>broszury</t>
  </si>
  <si>
    <t>wpływy do budżetu nadwyzki dochodów własnych lub środków obrotowych</t>
  </si>
  <si>
    <t>Rady Miejskiej Trzcianki z dnia 26.04.2007 r. zmieniający</t>
  </si>
  <si>
    <t>rozbudowa sieci wodociagowej we wsi Siedlisko - "wybudowanie"  w kierunku Trzcianki</t>
  </si>
  <si>
    <t>I. DOTACJE NA ZADANIA BIEŻĄCE</t>
  </si>
  <si>
    <t>II. DOTACJE NA ZADANIA INWESTYCYJNE</t>
  </si>
  <si>
    <t>1. Dotacje celowe na pomoc finansową udzielaną między jednostkami samorządu terytorialnego</t>
  </si>
  <si>
    <t>Dotacje przekazywane na zadnia bieżące- ogółem (1+2+3+4)</t>
  </si>
  <si>
    <t>Dotacje przekazywane na zadania inwestycyjne- ogółem (1)</t>
  </si>
  <si>
    <t>opłaty za administrowanie i czynsze za budynki, lokale i pomieszczenia garażowe</t>
  </si>
  <si>
    <t>Ogółem dotacje przekazywane (I + II)</t>
  </si>
  <si>
    <t>przedszkola - zmiana</t>
  </si>
  <si>
    <t>przedszkola - plan po zmianach</t>
  </si>
  <si>
    <t>Rachunek dochodów własnych - plan</t>
  </si>
  <si>
    <t>Załącznik Nr 12 do Uchwały Nr V/25/07</t>
  </si>
  <si>
    <t>Przychody i wydatki zakładów budżetowych oraz rachunek dochodów własnych w 2007 roku - plan po zmianach</t>
  </si>
  <si>
    <t>a)</t>
  </si>
  <si>
    <t>b)</t>
  </si>
  <si>
    <t>c)</t>
  </si>
  <si>
    <t>Zakłady budżetowe (1c.+2.)</t>
  </si>
  <si>
    <t>Załącznik Nr 8 do Uchwały Nr VIII/44/07</t>
  </si>
  <si>
    <t>Załącznik Nr 5 do Uchwały Nr VIIII/44/07</t>
  </si>
  <si>
    <t>Załącznik Nr 3 do Uchwały Nr VIII/44/07</t>
  </si>
  <si>
    <t>pomoc materialna dla uczniów</t>
  </si>
  <si>
    <t>Załącznik Nr 9 do Uchwały Nr VIII/44/07</t>
  </si>
  <si>
    <t>Załącznik Nr 2 do Uchwały Nr VIII/44/07</t>
  </si>
  <si>
    <t>Załącznik Nr 7 do Uchwały Nr VIII/44/07</t>
  </si>
  <si>
    <t>Załącznik Nr 1 do Uchwały Nr VIII/44/07</t>
  </si>
  <si>
    <t>Załącznik Nr 4 do Uchwały Nr VIII/44/07</t>
  </si>
  <si>
    <t>budowa kanalizacji sanitarnej 
w ul. Gorzowskiej do firmy "Joskin" i "Northstar"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</si>
</sst>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21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10"/>
      <name val="Arial CE"/>
      <family val="2"/>
    </font>
    <font>
      <sz val="8"/>
      <color indexed="8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 CE"/>
      <family val="2"/>
    </font>
    <font>
      <b/>
      <sz val="16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 quotePrefix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Fill="1" applyBorder="1" applyAlignment="1" quotePrefix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 indent="1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 horizontal="left" vertical="center" inden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 indent="1"/>
    </xf>
    <xf numFmtId="4" fontId="3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 indent="1"/>
    </xf>
    <xf numFmtId="4" fontId="3" fillId="0" borderId="0" xfId="0" applyNumberFormat="1" applyFont="1" applyAlignment="1">
      <alignment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" fontId="3" fillId="0" borderId="1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indent="1"/>
    </xf>
    <xf numFmtId="0" fontId="8" fillId="0" borderId="3" xfId="0" applyFont="1" applyFill="1" applyBorder="1" applyAlignment="1" quotePrefix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 indent="1"/>
    </xf>
    <xf numFmtId="4" fontId="8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 indent="1"/>
    </xf>
    <xf numFmtId="4" fontId="0" fillId="0" borderId="0" xfId="0" applyNumberFormat="1" applyAlignment="1">
      <alignment/>
    </xf>
    <xf numFmtId="0" fontId="2" fillId="0" borderId="1" xfId="0" applyFont="1" applyBorder="1" applyAlignment="1">
      <alignment horizontal="left" vertical="center" indent="1"/>
    </xf>
    <xf numFmtId="4" fontId="3" fillId="0" borderId="0" xfId="0" applyNumberFormat="1" applyFont="1" applyAlignment="1">
      <alignment vertical="center"/>
    </xf>
    <xf numFmtId="4" fontId="3" fillId="0" borderId="6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quotePrefix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quotePrefix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quotePrefix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/>
    </xf>
    <xf numFmtId="0" fontId="2" fillId="0" borderId="3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2" xfId="0" applyFont="1" applyFill="1" applyBorder="1" applyAlignment="1" quotePrefix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 quotePrefix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quotePrefix="1">
      <alignment horizontal="center" vertical="center" wrapText="1"/>
    </xf>
    <xf numFmtId="0" fontId="2" fillId="2" borderId="1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indent="1"/>
    </xf>
    <xf numFmtId="164" fontId="2" fillId="2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  <xf numFmtId="0" fontId="3" fillId="2" borderId="2" xfId="0" applyFont="1" applyFill="1" applyBorder="1" applyAlignment="1" quotePrefix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 quotePrefix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/>
    </xf>
    <xf numFmtId="0" fontId="3" fillId="2" borderId="3" xfId="0" applyFont="1" applyFill="1" applyBorder="1" applyAlignment="1">
      <alignment horizontal="left" vertical="center" wrapText="1" indent="1"/>
    </xf>
    <xf numFmtId="4" fontId="2" fillId="0" borderId="0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4" fontId="7" fillId="0" borderId="0" xfId="0" applyNumberFormat="1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 quotePrefix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" fontId="4" fillId="3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indent="1"/>
    </xf>
    <xf numFmtId="0" fontId="10" fillId="0" borderId="0" xfId="0" applyFont="1" applyFill="1" applyAlignment="1">
      <alignment horizontal="left" vertical="center" wrapText="1"/>
    </xf>
    <xf numFmtId="0" fontId="6" fillId="0" borderId="4" xfId="0" applyFont="1" applyFill="1" applyBorder="1" applyAlignment="1" quotePrefix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 quotePrefix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0" borderId="8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0" fontId="13" fillId="0" borderId="1" xfId="0" applyFont="1" applyFill="1" applyBorder="1" applyAlignment="1" quotePrefix="1">
      <alignment horizontal="center" vertical="center"/>
    </xf>
    <xf numFmtId="0" fontId="2" fillId="2" borderId="2" xfId="0" applyFont="1" applyFill="1" applyBorder="1" applyAlignment="1" quotePrefix="1">
      <alignment horizontal="center" vertical="center"/>
    </xf>
    <xf numFmtId="0" fontId="5" fillId="2" borderId="1" xfId="0" applyFont="1" applyFill="1" applyBorder="1" applyAlignment="1" quotePrefix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 indent="1"/>
    </xf>
    <xf numFmtId="164" fontId="5" fillId="2" borderId="1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left" vertical="center" wrapText="1" indent="1"/>
    </xf>
    <xf numFmtId="4" fontId="2" fillId="2" borderId="6" xfId="0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left" vertical="center" wrapText="1" indent="1"/>
    </xf>
    <xf numFmtId="4" fontId="8" fillId="2" borderId="6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14" fillId="0" borderId="2" xfId="0" applyFont="1" applyFill="1" applyBorder="1" applyAlignment="1" quotePrefix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 indent="1"/>
    </xf>
    <xf numFmtId="4" fontId="14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 indent="1"/>
    </xf>
    <xf numFmtId="3" fontId="0" fillId="0" borderId="9" xfId="0" applyNumberForma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3" fontId="0" fillId="0" borderId="10" xfId="0" applyNumberForma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3" fontId="0" fillId="0" borderId="6" xfId="0" applyNumberForma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4" fontId="2" fillId="0" borderId="2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 quotePrefix="1">
      <alignment horizontal="center" vertical="center" wrapText="1"/>
    </xf>
    <xf numFmtId="0" fontId="10" fillId="0" borderId="3" xfId="0" applyFont="1" applyBorder="1" applyAlignment="1">
      <alignment vertical="center"/>
    </xf>
    <xf numFmtId="0" fontId="15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 quotePrefix="1">
      <alignment horizontal="right" vertical="center" wrapText="1"/>
    </xf>
    <xf numFmtId="0" fontId="16" fillId="0" borderId="0" xfId="0" applyFont="1" applyAlignment="1">
      <alignment/>
    </xf>
    <xf numFmtId="4" fontId="2" fillId="0" borderId="2" xfId="0" applyNumberFormat="1" applyFont="1" applyFill="1" applyBorder="1" applyAlignment="1" quotePrefix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1" xfId="0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164" fontId="10" fillId="0" borderId="0" xfId="0" applyNumberFormat="1" applyFont="1" applyFill="1" applyAlignment="1">
      <alignment horizontal="left" vertical="center"/>
    </xf>
    <xf numFmtId="4" fontId="8" fillId="0" borderId="1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4" fontId="8" fillId="0" borderId="6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wrapText="1" indent="1"/>
    </xf>
    <xf numFmtId="4" fontId="6" fillId="0" borderId="1" xfId="0" applyNumberFormat="1" applyFont="1" applyFill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4" fontId="6" fillId="0" borderId="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indent="1"/>
    </xf>
    <xf numFmtId="3" fontId="4" fillId="0" borderId="1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10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19" fillId="0" borderId="0" xfId="0" applyNumberFormat="1" applyFont="1" applyAlignment="1">
      <alignment/>
    </xf>
    <xf numFmtId="0" fontId="4" fillId="0" borderId="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4" fontId="8" fillId="0" borderId="6" xfId="0" applyNumberFormat="1" applyFont="1" applyFill="1" applyBorder="1" applyAlignment="1">
      <alignment horizontal="right" vertical="center"/>
    </xf>
    <xf numFmtId="4" fontId="5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6"/>
  <sheetViews>
    <sheetView workbookViewId="0" topLeftCell="A125">
      <selection activeCell="A1" sqref="A1:N126"/>
    </sheetView>
  </sheetViews>
  <sheetFormatPr defaultColWidth="9.00390625" defaultRowHeight="12.75"/>
  <cols>
    <col min="1" max="1" width="5.25390625" style="9" customWidth="1"/>
    <col min="2" max="2" width="7.625" style="9" customWidth="1"/>
    <col min="3" max="3" width="5.00390625" style="9" bestFit="1" customWidth="1"/>
    <col min="4" max="4" width="25.00390625" style="9" customWidth="1"/>
    <col min="5" max="5" width="12.25390625" style="35" hidden="1" customWidth="1"/>
    <col min="6" max="6" width="11.00390625" style="35" hidden="1" customWidth="1"/>
    <col min="7" max="7" width="11.625" style="35" hidden="1" customWidth="1"/>
    <col min="8" max="9" width="12.25390625" style="35" hidden="1" customWidth="1"/>
    <col min="10" max="10" width="12.875" style="35" hidden="1" customWidth="1"/>
    <col min="11" max="11" width="32.375" style="35" hidden="1" customWidth="1"/>
    <col min="12" max="12" width="13.125" style="35" customWidth="1"/>
    <col min="13" max="13" width="12.25390625" style="35" customWidth="1"/>
    <col min="14" max="14" width="12.875" style="35" customWidth="1"/>
  </cols>
  <sheetData>
    <row r="1" spans="1:14" ht="12.75">
      <c r="A1" s="73"/>
      <c r="B1" s="73"/>
      <c r="C1" s="73"/>
      <c r="D1" s="73"/>
      <c r="E1" s="74"/>
      <c r="F1" s="74"/>
      <c r="G1" s="74"/>
      <c r="H1" s="130" t="s">
        <v>467</v>
      </c>
      <c r="I1" s="130"/>
      <c r="J1" s="74"/>
      <c r="K1" s="130" t="s">
        <v>478</v>
      </c>
      <c r="L1" s="130" t="s">
        <v>545</v>
      </c>
      <c r="M1" s="130"/>
      <c r="N1" s="74"/>
    </row>
    <row r="2" spans="1:14" ht="12.75">
      <c r="A2" s="73"/>
      <c r="B2" s="73"/>
      <c r="C2" s="73"/>
      <c r="D2" s="73"/>
      <c r="E2" s="74"/>
      <c r="F2" s="74"/>
      <c r="G2" s="74"/>
      <c r="H2" s="130" t="s">
        <v>411</v>
      </c>
      <c r="I2" s="130"/>
      <c r="J2" s="74"/>
      <c r="K2" s="130" t="s">
        <v>476</v>
      </c>
      <c r="L2" s="130" t="s">
        <v>520</v>
      </c>
      <c r="M2" s="130"/>
      <c r="N2" s="74"/>
    </row>
    <row r="3" spans="1:14" ht="12.75">
      <c r="A3" s="73"/>
      <c r="B3" s="73"/>
      <c r="C3" s="73"/>
      <c r="D3" s="73"/>
      <c r="E3" s="74"/>
      <c r="F3" s="74"/>
      <c r="G3" s="74"/>
      <c r="H3" s="130" t="s">
        <v>412</v>
      </c>
      <c r="I3" s="130"/>
      <c r="J3" s="74"/>
      <c r="K3" s="130" t="s">
        <v>467</v>
      </c>
      <c r="L3" s="130" t="s">
        <v>478</v>
      </c>
      <c r="M3" s="130"/>
      <c r="N3" s="74"/>
    </row>
    <row r="4" spans="1:14" ht="12.75">
      <c r="A4" s="73"/>
      <c r="B4" s="73"/>
      <c r="C4" s="73"/>
      <c r="D4" s="73"/>
      <c r="E4" s="74"/>
      <c r="F4" s="74"/>
      <c r="G4" s="74"/>
      <c r="H4" s="130" t="s">
        <v>413</v>
      </c>
      <c r="I4" s="130"/>
      <c r="J4" s="74"/>
      <c r="K4" s="130" t="s">
        <v>477</v>
      </c>
      <c r="L4" s="130" t="s">
        <v>479</v>
      </c>
      <c r="M4" s="130"/>
      <c r="N4" s="74"/>
    </row>
    <row r="5" spans="1:14" ht="12.75">
      <c r="A5" s="73"/>
      <c r="B5" s="73"/>
      <c r="C5" s="73"/>
      <c r="D5" s="73" t="s">
        <v>260</v>
      </c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ht="18.75" customHeight="1">
      <c r="A6" s="220" t="s">
        <v>475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</row>
    <row r="7" spans="1:14" ht="8.25" customHeight="1">
      <c r="A7" s="12"/>
      <c r="B7" s="12"/>
      <c r="C7" s="12"/>
      <c r="D7" s="76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4" s="9" customFormat="1" ht="24.75" customHeight="1">
      <c r="A8" s="7" t="s">
        <v>0</v>
      </c>
      <c r="B8" s="6" t="s">
        <v>1</v>
      </c>
      <c r="C8" s="26" t="s">
        <v>2</v>
      </c>
      <c r="D8" s="7" t="s">
        <v>446</v>
      </c>
      <c r="E8" s="10" t="s">
        <v>159</v>
      </c>
      <c r="F8" s="10" t="s">
        <v>234</v>
      </c>
      <c r="G8" s="10" t="s">
        <v>235</v>
      </c>
      <c r="H8" s="176" t="s">
        <v>437</v>
      </c>
      <c r="I8" s="10" t="s">
        <v>436</v>
      </c>
      <c r="J8" s="176" t="s">
        <v>160</v>
      </c>
      <c r="K8" s="10" t="s">
        <v>436</v>
      </c>
      <c r="L8" s="176" t="s">
        <v>437</v>
      </c>
      <c r="M8" s="10" t="s">
        <v>237</v>
      </c>
      <c r="N8" s="176" t="s">
        <v>438</v>
      </c>
    </row>
    <row r="9" spans="1:14" s="9" customFormat="1" ht="24.75" customHeight="1">
      <c r="A9" s="123" t="s">
        <v>4</v>
      </c>
      <c r="B9" s="6"/>
      <c r="C9" s="26"/>
      <c r="D9" s="250" t="s">
        <v>5</v>
      </c>
      <c r="E9" s="10"/>
      <c r="F9" s="10"/>
      <c r="G9" s="10"/>
      <c r="H9" s="176"/>
      <c r="I9" s="10"/>
      <c r="J9" s="176"/>
      <c r="K9" s="10"/>
      <c r="L9" s="50">
        <f>SUM(L10)</f>
        <v>0</v>
      </c>
      <c r="M9" s="50">
        <f>SUM(M10)</f>
        <v>160720</v>
      </c>
      <c r="N9" s="50">
        <f>SUM(N10)</f>
        <v>160720</v>
      </c>
    </row>
    <row r="10" spans="1:14" s="30" customFormat="1" ht="24.75" customHeight="1">
      <c r="A10" s="98"/>
      <c r="B10" s="96" t="s">
        <v>505</v>
      </c>
      <c r="C10" s="100"/>
      <c r="D10" s="251" t="s">
        <v>6</v>
      </c>
      <c r="E10" s="248"/>
      <c r="F10" s="248"/>
      <c r="G10" s="248"/>
      <c r="H10" s="249"/>
      <c r="I10" s="248"/>
      <c r="J10" s="249"/>
      <c r="K10" s="248"/>
      <c r="L10" s="71">
        <f>SUM(L11:L12)</f>
        <v>0</v>
      </c>
      <c r="M10" s="71">
        <f>SUM(M11:M12)</f>
        <v>160720</v>
      </c>
      <c r="N10" s="71">
        <f>SUM(N11:N12)</f>
        <v>160720</v>
      </c>
    </row>
    <row r="11" spans="1:14" s="30" customFormat="1" ht="84">
      <c r="A11" s="98"/>
      <c r="B11" s="64"/>
      <c r="C11" s="99" t="s">
        <v>186</v>
      </c>
      <c r="D11" s="97" t="s">
        <v>65</v>
      </c>
      <c r="E11" s="248"/>
      <c r="F11" s="248"/>
      <c r="G11" s="248"/>
      <c r="H11" s="249"/>
      <c r="I11" s="248"/>
      <c r="J11" s="249"/>
      <c r="K11" s="248"/>
      <c r="L11" s="71">
        <v>0</v>
      </c>
      <c r="M11" s="106">
        <f>80000+4720</f>
        <v>84720</v>
      </c>
      <c r="N11" s="71">
        <f>SUM(L11:M11)</f>
        <v>84720</v>
      </c>
    </row>
    <row r="12" spans="1:14" s="30" customFormat="1" ht="48">
      <c r="A12" s="98"/>
      <c r="B12" s="64"/>
      <c r="C12" s="99" t="s">
        <v>506</v>
      </c>
      <c r="D12" s="97" t="s">
        <v>508</v>
      </c>
      <c r="E12" s="248"/>
      <c r="F12" s="248"/>
      <c r="G12" s="248"/>
      <c r="H12" s="249"/>
      <c r="I12" s="248"/>
      <c r="J12" s="249"/>
      <c r="K12" s="248"/>
      <c r="L12" s="71">
        <v>0</v>
      </c>
      <c r="M12" s="106">
        <v>76000</v>
      </c>
      <c r="N12" s="71">
        <f>SUM(L12:M12)</f>
        <v>76000</v>
      </c>
    </row>
    <row r="13" spans="1:14" s="9" customFormat="1" ht="24.75" customHeight="1">
      <c r="A13" s="37" t="s">
        <v>8</v>
      </c>
      <c r="B13" s="3"/>
      <c r="C13" s="21"/>
      <c r="D13" s="38" t="s">
        <v>9</v>
      </c>
      <c r="E13" s="77">
        <f aca="true" t="shared" si="0" ref="E13:G14">SUM(E14)</f>
        <v>4720</v>
      </c>
      <c r="F13" s="77">
        <f t="shared" si="0"/>
        <v>0</v>
      </c>
      <c r="G13" s="77">
        <f t="shared" si="0"/>
        <v>0</v>
      </c>
      <c r="H13" s="77">
        <f aca="true" t="shared" si="1" ref="H13:H44">E13+F13-G13</f>
        <v>4720</v>
      </c>
      <c r="I13" s="77">
        <f>SUM(I14)</f>
        <v>0</v>
      </c>
      <c r="J13" s="77">
        <f>SUM(H13:I13)</f>
        <v>4720</v>
      </c>
      <c r="K13" s="77">
        <f>SUM(K14)</f>
        <v>0</v>
      </c>
      <c r="L13" s="77">
        <f>SUM(J13:K13)</f>
        <v>4720</v>
      </c>
      <c r="M13" s="77">
        <f>SUM(M14)</f>
        <v>-4720</v>
      </c>
      <c r="N13" s="77">
        <f>SUM(L13:M13)</f>
        <v>0</v>
      </c>
    </row>
    <row r="14" spans="1:14" s="30" customFormat="1" ht="21" customHeight="1">
      <c r="A14" s="95"/>
      <c r="B14" s="92" t="s">
        <v>10</v>
      </c>
      <c r="C14" s="100"/>
      <c r="D14" s="97" t="s">
        <v>6</v>
      </c>
      <c r="E14" s="90">
        <f t="shared" si="0"/>
        <v>4720</v>
      </c>
      <c r="F14" s="90">
        <f t="shared" si="0"/>
        <v>0</v>
      </c>
      <c r="G14" s="90">
        <f t="shared" si="0"/>
        <v>0</v>
      </c>
      <c r="H14" s="90">
        <f t="shared" si="1"/>
        <v>4720</v>
      </c>
      <c r="I14" s="90">
        <f>SUM(I15)</f>
        <v>0</v>
      </c>
      <c r="J14" s="90">
        <f aca="true" t="shared" si="2" ref="J14:J77">SUM(H14:I14)</f>
        <v>4720</v>
      </c>
      <c r="K14" s="90">
        <f>SUM(K15)</f>
        <v>0</v>
      </c>
      <c r="L14" s="90">
        <f>SUM(L15:L15)</f>
        <v>4720</v>
      </c>
      <c r="M14" s="90">
        <f>SUM(M15:M15)</f>
        <v>-4720</v>
      </c>
      <c r="N14" s="90">
        <f>SUM(N15:N15)</f>
        <v>0</v>
      </c>
    </row>
    <row r="15" spans="1:14" s="30" customFormat="1" ht="48">
      <c r="A15" s="95"/>
      <c r="B15" s="96"/>
      <c r="C15" s="93" t="s">
        <v>184</v>
      </c>
      <c r="D15" s="97" t="s">
        <v>7</v>
      </c>
      <c r="E15" s="90">
        <v>4720</v>
      </c>
      <c r="F15" s="90"/>
      <c r="G15" s="90"/>
      <c r="H15" s="90">
        <f t="shared" si="1"/>
        <v>4720</v>
      </c>
      <c r="I15" s="90">
        <v>0</v>
      </c>
      <c r="J15" s="90">
        <f t="shared" si="2"/>
        <v>4720</v>
      </c>
      <c r="K15" s="90">
        <v>0</v>
      </c>
      <c r="L15" s="90">
        <f aca="true" t="shared" si="3" ref="L15:L77">SUM(J15:K15)</f>
        <v>4720</v>
      </c>
      <c r="M15" s="90">
        <v>-4720</v>
      </c>
      <c r="N15" s="90">
        <f aca="true" t="shared" si="4" ref="N15:N77">SUM(L15:M15)</f>
        <v>0</v>
      </c>
    </row>
    <row r="16" spans="1:14" s="51" customFormat="1" ht="24.75" customHeight="1">
      <c r="A16" s="123">
        <v>600</v>
      </c>
      <c r="B16" s="44"/>
      <c r="C16" s="45"/>
      <c r="D16" s="46" t="s">
        <v>86</v>
      </c>
      <c r="E16" s="77">
        <f aca="true" t="shared" si="5" ref="E16:G17">SUM(E17)</f>
        <v>4000</v>
      </c>
      <c r="F16" s="77">
        <f t="shared" si="5"/>
        <v>0</v>
      </c>
      <c r="G16" s="77">
        <f t="shared" si="5"/>
        <v>0</v>
      </c>
      <c r="H16" s="77">
        <f t="shared" si="1"/>
        <v>4000</v>
      </c>
      <c r="I16" s="77">
        <f>SUM(I17)</f>
        <v>0</v>
      </c>
      <c r="J16" s="77">
        <f t="shared" si="2"/>
        <v>4000</v>
      </c>
      <c r="K16" s="77">
        <f>SUM(K17)</f>
        <v>0</v>
      </c>
      <c r="L16" s="77">
        <f t="shared" si="3"/>
        <v>4000</v>
      </c>
      <c r="M16" s="77">
        <f>SUM(M17)</f>
        <v>0</v>
      </c>
      <c r="N16" s="77">
        <f t="shared" si="4"/>
        <v>4000</v>
      </c>
    </row>
    <row r="17" spans="1:14" s="30" customFormat="1" ht="22.5" customHeight="1">
      <c r="A17" s="95"/>
      <c r="B17" s="103" t="s">
        <v>87</v>
      </c>
      <c r="C17" s="107"/>
      <c r="D17" s="48" t="s">
        <v>88</v>
      </c>
      <c r="E17" s="90">
        <f t="shared" si="5"/>
        <v>4000</v>
      </c>
      <c r="F17" s="90">
        <f t="shared" si="5"/>
        <v>0</v>
      </c>
      <c r="G17" s="90">
        <f t="shared" si="5"/>
        <v>0</v>
      </c>
      <c r="H17" s="90">
        <f t="shared" si="1"/>
        <v>4000</v>
      </c>
      <c r="I17" s="90">
        <f>SUM(I18)</f>
        <v>0</v>
      </c>
      <c r="J17" s="90">
        <f t="shared" si="2"/>
        <v>4000</v>
      </c>
      <c r="K17" s="90">
        <f>SUM(K18)</f>
        <v>0</v>
      </c>
      <c r="L17" s="90">
        <f t="shared" si="3"/>
        <v>4000</v>
      </c>
      <c r="M17" s="90">
        <f>SUM(M18)</f>
        <v>0</v>
      </c>
      <c r="N17" s="90">
        <f t="shared" si="4"/>
        <v>4000</v>
      </c>
    </row>
    <row r="18" spans="1:14" s="30" customFormat="1" ht="21.75" customHeight="1">
      <c r="A18" s="95"/>
      <c r="B18" s="161"/>
      <c r="C18" s="173" t="s">
        <v>213</v>
      </c>
      <c r="D18" s="174" t="s">
        <v>166</v>
      </c>
      <c r="E18" s="175">
        <v>4000</v>
      </c>
      <c r="F18" s="175"/>
      <c r="G18" s="175"/>
      <c r="H18" s="90">
        <f t="shared" si="1"/>
        <v>4000</v>
      </c>
      <c r="I18" s="175">
        <v>0</v>
      </c>
      <c r="J18" s="90">
        <f t="shared" si="2"/>
        <v>4000</v>
      </c>
      <c r="K18" s="175">
        <v>0</v>
      </c>
      <c r="L18" s="90">
        <f t="shared" si="3"/>
        <v>4000</v>
      </c>
      <c r="M18" s="175">
        <v>0</v>
      </c>
      <c r="N18" s="90">
        <f t="shared" si="4"/>
        <v>4000</v>
      </c>
    </row>
    <row r="19" spans="1:14" s="8" customFormat="1" ht="24.75" customHeight="1">
      <c r="A19" s="37" t="s">
        <v>11</v>
      </c>
      <c r="B19" s="4"/>
      <c r="C19" s="5"/>
      <c r="D19" s="38" t="s">
        <v>12</v>
      </c>
      <c r="E19" s="77">
        <f>SUM(E20,)</f>
        <v>1691508</v>
      </c>
      <c r="F19" s="77">
        <f>SUM(F20,)</f>
        <v>0</v>
      </c>
      <c r="G19" s="77">
        <f>SUM(G20,)</f>
        <v>0</v>
      </c>
      <c r="H19" s="77">
        <f t="shared" si="1"/>
        <v>1691508</v>
      </c>
      <c r="I19" s="77">
        <f>SUM(I20,)</f>
        <v>0</v>
      </c>
      <c r="J19" s="77">
        <f t="shared" si="2"/>
        <v>1691508</v>
      </c>
      <c r="K19" s="77">
        <f>SUM(K20,)</f>
        <v>0</v>
      </c>
      <c r="L19" s="77">
        <f t="shared" si="3"/>
        <v>1691508</v>
      </c>
      <c r="M19" s="77">
        <f>SUM(M20,)</f>
        <v>-156000</v>
      </c>
      <c r="N19" s="77">
        <f t="shared" si="4"/>
        <v>1535508</v>
      </c>
    </row>
    <row r="20" spans="1:14" s="30" customFormat="1" ht="21.75" customHeight="1">
      <c r="A20" s="91"/>
      <c r="B20" s="92" t="s">
        <v>13</v>
      </c>
      <c r="C20" s="100"/>
      <c r="D20" s="97" t="s">
        <v>172</v>
      </c>
      <c r="E20" s="90">
        <f>SUM(E21:E25)</f>
        <v>1691508</v>
      </c>
      <c r="F20" s="90">
        <f>SUM(F21:F25)</f>
        <v>0</v>
      </c>
      <c r="G20" s="90">
        <f>SUM(G21:G25)</f>
        <v>0</v>
      </c>
      <c r="H20" s="90">
        <f t="shared" si="1"/>
        <v>1691508</v>
      </c>
      <c r="I20" s="90">
        <f>SUM(I21:I25)</f>
        <v>0</v>
      </c>
      <c r="J20" s="90">
        <f t="shared" si="2"/>
        <v>1691508</v>
      </c>
      <c r="K20" s="90">
        <f>SUM(K21:K25)</f>
        <v>0</v>
      </c>
      <c r="L20" s="90">
        <f t="shared" si="3"/>
        <v>1691508</v>
      </c>
      <c r="M20" s="90">
        <f>SUM(M21:M25)</f>
        <v>-156000</v>
      </c>
      <c r="N20" s="90">
        <f t="shared" si="4"/>
        <v>1535508</v>
      </c>
    </row>
    <row r="21" spans="1:14" s="30" customFormat="1" ht="36">
      <c r="A21" s="91"/>
      <c r="B21" s="64"/>
      <c r="C21" s="99" t="s">
        <v>185</v>
      </c>
      <c r="D21" s="97" t="s">
        <v>263</v>
      </c>
      <c r="E21" s="90">
        <v>164000</v>
      </c>
      <c r="F21" s="90"/>
      <c r="G21" s="90"/>
      <c r="H21" s="90">
        <f t="shared" si="1"/>
        <v>164000</v>
      </c>
      <c r="I21" s="90">
        <v>0</v>
      </c>
      <c r="J21" s="90">
        <f t="shared" si="2"/>
        <v>164000</v>
      </c>
      <c r="K21" s="90">
        <v>0</v>
      </c>
      <c r="L21" s="90">
        <f t="shared" si="3"/>
        <v>164000</v>
      </c>
      <c r="M21" s="90">
        <v>0</v>
      </c>
      <c r="N21" s="90">
        <f t="shared" si="4"/>
        <v>164000</v>
      </c>
    </row>
    <row r="22" spans="1:14" s="30" customFormat="1" ht="84">
      <c r="A22" s="91"/>
      <c r="B22" s="64"/>
      <c r="C22" s="93" t="s">
        <v>186</v>
      </c>
      <c r="D22" s="97" t="s">
        <v>65</v>
      </c>
      <c r="E22" s="90">
        <f>181008+4000</f>
        <v>185008</v>
      </c>
      <c r="F22" s="90"/>
      <c r="G22" s="90"/>
      <c r="H22" s="90">
        <f t="shared" si="1"/>
        <v>185008</v>
      </c>
      <c r="I22" s="90">
        <v>0</v>
      </c>
      <c r="J22" s="90">
        <f t="shared" si="2"/>
        <v>185008</v>
      </c>
      <c r="K22" s="90">
        <v>0</v>
      </c>
      <c r="L22" s="90">
        <f t="shared" si="3"/>
        <v>185008</v>
      </c>
      <c r="M22" s="90">
        <v>-80000</v>
      </c>
      <c r="N22" s="90">
        <f t="shared" si="4"/>
        <v>105008</v>
      </c>
    </row>
    <row r="23" spans="1:14" s="30" customFormat="1" ht="24">
      <c r="A23" s="91"/>
      <c r="B23" s="64"/>
      <c r="C23" s="93" t="s">
        <v>233</v>
      </c>
      <c r="D23" s="97" t="s">
        <v>222</v>
      </c>
      <c r="E23" s="90">
        <f>400000+80000+775000+76000</f>
        <v>1331000</v>
      </c>
      <c r="F23" s="90"/>
      <c r="G23" s="90"/>
      <c r="H23" s="90">
        <f t="shared" si="1"/>
        <v>1331000</v>
      </c>
      <c r="I23" s="90">
        <v>0</v>
      </c>
      <c r="J23" s="90">
        <f t="shared" si="2"/>
        <v>1331000</v>
      </c>
      <c r="K23" s="90">
        <v>0</v>
      </c>
      <c r="L23" s="90">
        <f t="shared" si="3"/>
        <v>1331000</v>
      </c>
      <c r="M23" s="90">
        <f>-76000</f>
        <v>-76000</v>
      </c>
      <c r="N23" s="90">
        <f t="shared" si="4"/>
        <v>1255000</v>
      </c>
    </row>
    <row r="24" spans="1:14" s="30" customFormat="1" ht="48">
      <c r="A24" s="91"/>
      <c r="B24" s="64"/>
      <c r="C24" s="93" t="s">
        <v>286</v>
      </c>
      <c r="D24" s="97" t="s">
        <v>287</v>
      </c>
      <c r="E24" s="90">
        <v>1500</v>
      </c>
      <c r="F24" s="90"/>
      <c r="G24" s="90"/>
      <c r="H24" s="90">
        <f t="shared" si="1"/>
        <v>1500</v>
      </c>
      <c r="I24" s="90">
        <v>0</v>
      </c>
      <c r="J24" s="90">
        <f t="shared" si="2"/>
        <v>1500</v>
      </c>
      <c r="K24" s="90">
        <v>0</v>
      </c>
      <c r="L24" s="90">
        <f t="shared" si="3"/>
        <v>1500</v>
      </c>
      <c r="M24" s="90">
        <v>0</v>
      </c>
      <c r="N24" s="90">
        <f t="shared" si="4"/>
        <v>1500</v>
      </c>
    </row>
    <row r="25" spans="1:14" s="30" customFormat="1" ht="21.75" customHeight="1">
      <c r="A25" s="91"/>
      <c r="B25" s="64"/>
      <c r="C25" s="93" t="s">
        <v>187</v>
      </c>
      <c r="D25" s="97" t="s">
        <v>14</v>
      </c>
      <c r="E25" s="90">
        <v>10000</v>
      </c>
      <c r="F25" s="90"/>
      <c r="G25" s="90"/>
      <c r="H25" s="90">
        <f t="shared" si="1"/>
        <v>10000</v>
      </c>
      <c r="I25" s="90">
        <v>0</v>
      </c>
      <c r="J25" s="90">
        <f t="shared" si="2"/>
        <v>10000</v>
      </c>
      <c r="K25" s="90">
        <v>0</v>
      </c>
      <c r="L25" s="90">
        <f t="shared" si="3"/>
        <v>10000</v>
      </c>
      <c r="M25" s="90">
        <v>0</v>
      </c>
      <c r="N25" s="90">
        <f t="shared" si="4"/>
        <v>10000</v>
      </c>
    </row>
    <row r="26" spans="1:14" s="8" customFormat="1" ht="24.75" customHeight="1">
      <c r="A26" s="37" t="s">
        <v>18</v>
      </c>
      <c r="B26" s="4"/>
      <c r="C26" s="5"/>
      <c r="D26" s="38" t="s">
        <v>19</v>
      </c>
      <c r="E26" s="77">
        <f>SUM(E27,E30)</f>
        <v>180050</v>
      </c>
      <c r="F26" s="77">
        <f>SUM(F27,F30)</f>
        <v>0</v>
      </c>
      <c r="G26" s="77">
        <f>SUM(G27,G30)</f>
        <v>0</v>
      </c>
      <c r="H26" s="77">
        <f t="shared" si="1"/>
        <v>180050</v>
      </c>
      <c r="I26" s="77">
        <f>SUM(I27,I30)</f>
        <v>0</v>
      </c>
      <c r="J26" s="77">
        <f t="shared" si="2"/>
        <v>180050</v>
      </c>
      <c r="K26" s="77">
        <f>SUM(K27,K30)</f>
        <v>0</v>
      </c>
      <c r="L26" s="77">
        <f t="shared" si="3"/>
        <v>180050</v>
      </c>
      <c r="M26" s="77">
        <f>SUM(M27,M30)</f>
        <v>0</v>
      </c>
      <c r="N26" s="77">
        <f t="shared" si="4"/>
        <v>180050</v>
      </c>
    </row>
    <row r="27" spans="1:14" s="30" customFormat="1" ht="21" customHeight="1">
      <c r="A27" s="91"/>
      <c r="B27" s="92">
        <v>75011</v>
      </c>
      <c r="C27" s="100"/>
      <c r="D27" s="97" t="s">
        <v>20</v>
      </c>
      <c r="E27" s="90">
        <f>SUM(E28:E29)</f>
        <v>150050</v>
      </c>
      <c r="F27" s="90">
        <f>SUM(F28:F29)</f>
        <v>0</v>
      </c>
      <c r="G27" s="90">
        <f>SUM(G28:G29)</f>
        <v>0</v>
      </c>
      <c r="H27" s="90">
        <f t="shared" si="1"/>
        <v>150050</v>
      </c>
      <c r="I27" s="90">
        <f>SUM(I28:I29)</f>
        <v>0</v>
      </c>
      <c r="J27" s="90">
        <f t="shared" si="2"/>
        <v>150050</v>
      </c>
      <c r="K27" s="90">
        <f>SUM(K28:K29)</f>
        <v>0</v>
      </c>
      <c r="L27" s="90">
        <f t="shared" si="3"/>
        <v>150050</v>
      </c>
      <c r="M27" s="90">
        <f>SUM(M28:M29)</f>
        <v>0</v>
      </c>
      <c r="N27" s="90">
        <f t="shared" si="4"/>
        <v>150050</v>
      </c>
    </row>
    <row r="28" spans="1:14" s="30" customFormat="1" ht="67.5">
      <c r="A28" s="91"/>
      <c r="B28" s="64"/>
      <c r="C28" s="93">
        <v>2010</v>
      </c>
      <c r="D28" s="97" t="s">
        <v>264</v>
      </c>
      <c r="E28" s="106">
        <v>144800</v>
      </c>
      <c r="F28" s="106"/>
      <c r="G28" s="106"/>
      <c r="H28" s="90">
        <f t="shared" si="1"/>
        <v>144800</v>
      </c>
      <c r="I28" s="106">
        <v>0</v>
      </c>
      <c r="J28" s="90">
        <f t="shared" si="2"/>
        <v>144800</v>
      </c>
      <c r="K28" s="106">
        <v>0</v>
      </c>
      <c r="L28" s="90">
        <f t="shared" si="3"/>
        <v>144800</v>
      </c>
      <c r="M28" s="106">
        <v>0</v>
      </c>
      <c r="N28" s="90">
        <f t="shared" si="4"/>
        <v>144800</v>
      </c>
    </row>
    <row r="29" spans="1:14" s="30" customFormat="1" ht="67.5">
      <c r="A29" s="91"/>
      <c r="B29" s="64"/>
      <c r="C29" s="93">
        <v>2360</v>
      </c>
      <c r="D29" s="97" t="s">
        <v>215</v>
      </c>
      <c r="E29" s="90">
        <v>5250</v>
      </c>
      <c r="F29" s="90"/>
      <c r="G29" s="90"/>
      <c r="H29" s="90">
        <f t="shared" si="1"/>
        <v>5250</v>
      </c>
      <c r="I29" s="90">
        <v>0</v>
      </c>
      <c r="J29" s="90">
        <f t="shared" si="2"/>
        <v>5250</v>
      </c>
      <c r="K29" s="90">
        <v>0</v>
      </c>
      <c r="L29" s="90">
        <f t="shared" si="3"/>
        <v>5250</v>
      </c>
      <c r="M29" s="90">
        <v>0</v>
      </c>
      <c r="N29" s="90">
        <f t="shared" si="4"/>
        <v>5250</v>
      </c>
    </row>
    <row r="30" spans="1:14" s="30" customFormat="1" ht="23.25" customHeight="1">
      <c r="A30" s="98"/>
      <c r="B30" s="92" t="s">
        <v>21</v>
      </c>
      <c r="C30" s="100"/>
      <c r="D30" s="97" t="s">
        <v>22</v>
      </c>
      <c r="E30" s="90">
        <f>SUM(E31)</f>
        <v>30000</v>
      </c>
      <c r="F30" s="90">
        <f>SUM(F31)</f>
        <v>0</v>
      </c>
      <c r="G30" s="90">
        <f>SUM(G31)</f>
        <v>0</v>
      </c>
      <c r="H30" s="90">
        <f t="shared" si="1"/>
        <v>30000</v>
      </c>
      <c r="I30" s="90">
        <f>SUM(I31)</f>
        <v>0</v>
      </c>
      <c r="J30" s="90">
        <f t="shared" si="2"/>
        <v>30000</v>
      </c>
      <c r="K30" s="90">
        <f>SUM(K31)</f>
        <v>0</v>
      </c>
      <c r="L30" s="90">
        <f t="shared" si="3"/>
        <v>30000</v>
      </c>
      <c r="M30" s="90">
        <f>SUM(M31)</f>
        <v>0</v>
      </c>
      <c r="N30" s="90">
        <f t="shared" si="4"/>
        <v>30000</v>
      </c>
    </row>
    <row r="31" spans="1:14" s="30" customFormat="1" ht="21.75" customHeight="1">
      <c r="A31" s="98"/>
      <c r="B31" s="92"/>
      <c r="C31" s="99" t="s">
        <v>188</v>
      </c>
      <c r="D31" s="97" t="s">
        <v>15</v>
      </c>
      <c r="E31" s="90">
        <v>30000</v>
      </c>
      <c r="F31" s="90"/>
      <c r="G31" s="90"/>
      <c r="H31" s="90">
        <f t="shared" si="1"/>
        <v>30000</v>
      </c>
      <c r="I31" s="90">
        <v>0</v>
      </c>
      <c r="J31" s="90">
        <f t="shared" si="2"/>
        <v>30000</v>
      </c>
      <c r="K31" s="90">
        <v>0</v>
      </c>
      <c r="L31" s="90">
        <f t="shared" si="3"/>
        <v>30000</v>
      </c>
      <c r="M31" s="90">
        <v>0</v>
      </c>
      <c r="N31" s="90">
        <f t="shared" si="4"/>
        <v>30000</v>
      </c>
    </row>
    <row r="32" spans="1:14" s="8" customFormat="1" ht="60">
      <c r="A32" s="37">
        <v>751</v>
      </c>
      <c r="B32" s="6"/>
      <c r="C32" s="26"/>
      <c r="D32" s="38" t="s">
        <v>23</v>
      </c>
      <c r="E32" s="77">
        <f aca="true" t="shared" si="6" ref="E32:G33">SUM(E33)</f>
        <v>3809</v>
      </c>
      <c r="F32" s="77">
        <f t="shared" si="6"/>
        <v>0</v>
      </c>
      <c r="G32" s="77">
        <f t="shared" si="6"/>
        <v>0</v>
      </c>
      <c r="H32" s="77">
        <f t="shared" si="1"/>
        <v>3809</v>
      </c>
      <c r="I32" s="77">
        <f>SUM(I33)</f>
        <v>0</v>
      </c>
      <c r="J32" s="77">
        <f t="shared" si="2"/>
        <v>3809</v>
      </c>
      <c r="K32" s="77">
        <f>SUM(K33)</f>
        <v>0</v>
      </c>
      <c r="L32" s="77">
        <f t="shared" si="3"/>
        <v>3809</v>
      </c>
      <c r="M32" s="77">
        <f>SUM(M33)</f>
        <v>0</v>
      </c>
      <c r="N32" s="77">
        <f t="shared" si="4"/>
        <v>3809</v>
      </c>
    </row>
    <row r="33" spans="1:14" s="30" customFormat="1" ht="33.75">
      <c r="A33" s="98"/>
      <c r="B33" s="92">
        <v>75101</v>
      </c>
      <c r="C33" s="100"/>
      <c r="D33" s="97" t="s">
        <v>24</v>
      </c>
      <c r="E33" s="90">
        <f t="shared" si="6"/>
        <v>3809</v>
      </c>
      <c r="F33" s="90">
        <f t="shared" si="6"/>
        <v>0</v>
      </c>
      <c r="G33" s="90">
        <f t="shared" si="6"/>
        <v>0</v>
      </c>
      <c r="H33" s="90">
        <f t="shared" si="1"/>
        <v>3809</v>
      </c>
      <c r="I33" s="90">
        <f>SUM(I34)</f>
        <v>0</v>
      </c>
      <c r="J33" s="90">
        <f t="shared" si="2"/>
        <v>3809</v>
      </c>
      <c r="K33" s="90">
        <f>SUM(K34)</f>
        <v>0</v>
      </c>
      <c r="L33" s="90">
        <f t="shared" si="3"/>
        <v>3809</v>
      </c>
      <c r="M33" s="90">
        <f>SUM(M34)</f>
        <v>0</v>
      </c>
      <c r="N33" s="90">
        <f t="shared" si="4"/>
        <v>3809</v>
      </c>
    </row>
    <row r="34" spans="1:14" s="30" customFormat="1" ht="67.5">
      <c r="A34" s="98"/>
      <c r="B34" s="92"/>
      <c r="C34" s="100">
        <v>2010</v>
      </c>
      <c r="D34" s="97" t="s">
        <v>264</v>
      </c>
      <c r="E34" s="90">
        <v>3809</v>
      </c>
      <c r="F34" s="90"/>
      <c r="G34" s="90"/>
      <c r="H34" s="90">
        <f t="shared" si="1"/>
        <v>3809</v>
      </c>
      <c r="I34" s="90">
        <v>0</v>
      </c>
      <c r="J34" s="90">
        <f t="shared" si="2"/>
        <v>3809</v>
      </c>
      <c r="K34" s="90">
        <v>0</v>
      </c>
      <c r="L34" s="90">
        <f t="shared" si="3"/>
        <v>3809</v>
      </c>
      <c r="M34" s="90">
        <v>0</v>
      </c>
      <c r="N34" s="90">
        <f t="shared" si="4"/>
        <v>3809</v>
      </c>
    </row>
    <row r="35" spans="1:14" s="8" customFormat="1" ht="24.75" customHeight="1">
      <c r="A35" s="37" t="s">
        <v>25</v>
      </c>
      <c r="B35" s="4"/>
      <c r="C35" s="5"/>
      <c r="D35" s="38" t="s">
        <v>26</v>
      </c>
      <c r="E35" s="77">
        <f>SUM(E36)</f>
        <v>3700</v>
      </c>
      <c r="F35" s="77">
        <f>SUM(F36)</f>
        <v>0</v>
      </c>
      <c r="G35" s="77">
        <f>SUM(G36)</f>
        <v>0</v>
      </c>
      <c r="H35" s="235">
        <f t="shared" si="1"/>
        <v>3700</v>
      </c>
      <c r="I35" s="77">
        <f>SUM(I36)</f>
        <v>0</v>
      </c>
      <c r="J35" s="77">
        <f t="shared" si="2"/>
        <v>3700</v>
      </c>
      <c r="K35" s="77">
        <f>SUM(K36)</f>
        <v>0</v>
      </c>
      <c r="L35" s="77">
        <f t="shared" si="3"/>
        <v>3700</v>
      </c>
      <c r="M35" s="77">
        <f>SUM(M36)</f>
        <v>0</v>
      </c>
      <c r="N35" s="77">
        <f t="shared" si="4"/>
        <v>3700</v>
      </c>
    </row>
    <row r="36" spans="1:14" s="30" customFormat="1" ht="21.75" customHeight="1">
      <c r="A36" s="98"/>
      <c r="B36" s="92" t="s">
        <v>27</v>
      </c>
      <c r="C36" s="100"/>
      <c r="D36" s="97" t="s">
        <v>28</v>
      </c>
      <c r="E36" s="90">
        <f>SUM(E37:E38)</f>
        <v>3700</v>
      </c>
      <c r="F36" s="90">
        <f>SUM(F37:F38)</f>
        <v>0</v>
      </c>
      <c r="G36" s="90">
        <f>SUM(G37:G38)</f>
        <v>0</v>
      </c>
      <c r="H36" s="90">
        <f t="shared" si="1"/>
        <v>3700</v>
      </c>
      <c r="I36" s="90">
        <f>SUM(I37:I38)</f>
        <v>0</v>
      </c>
      <c r="J36" s="90">
        <f t="shared" si="2"/>
        <v>3700</v>
      </c>
      <c r="K36" s="90">
        <f>SUM(K37:K38)</f>
        <v>0</v>
      </c>
      <c r="L36" s="90">
        <f t="shared" si="3"/>
        <v>3700</v>
      </c>
      <c r="M36" s="90">
        <f>SUM(M37:M38)</f>
        <v>0</v>
      </c>
      <c r="N36" s="90">
        <f t="shared" si="4"/>
        <v>3700</v>
      </c>
    </row>
    <row r="37" spans="1:14" s="30" customFormat="1" ht="24" customHeight="1">
      <c r="A37" s="98"/>
      <c r="B37" s="64"/>
      <c r="C37" s="93" t="s">
        <v>189</v>
      </c>
      <c r="D37" s="97" t="s">
        <v>29</v>
      </c>
      <c r="E37" s="90">
        <v>3500</v>
      </c>
      <c r="F37" s="90"/>
      <c r="G37" s="90"/>
      <c r="H37" s="90">
        <f t="shared" si="1"/>
        <v>3500</v>
      </c>
      <c r="I37" s="90">
        <v>0</v>
      </c>
      <c r="J37" s="90">
        <f t="shared" si="2"/>
        <v>3500</v>
      </c>
      <c r="K37" s="90">
        <v>0</v>
      </c>
      <c r="L37" s="90">
        <f t="shared" si="3"/>
        <v>3500</v>
      </c>
      <c r="M37" s="90">
        <v>0</v>
      </c>
      <c r="N37" s="90">
        <f t="shared" si="4"/>
        <v>3500</v>
      </c>
    </row>
    <row r="38" spans="1:14" s="30" customFormat="1" ht="21.75" customHeight="1">
      <c r="A38" s="98"/>
      <c r="B38" s="64"/>
      <c r="C38" s="93" t="s">
        <v>187</v>
      </c>
      <c r="D38" s="97" t="s">
        <v>14</v>
      </c>
      <c r="E38" s="90">
        <v>200</v>
      </c>
      <c r="F38" s="90"/>
      <c r="G38" s="90"/>
      <c r="H38" s="90">
        <f t="shared" si="1"/>
        <v>200</v>
      </c>
      <c r="I38" s="90">
        <v>0</v>
      </c>
      <c r="J38" s="90">
        <f t="shared" si="2"/>
        <v>200</v>
      </c>
      <c r="K38" s="90">
        <v>0</v>
      </c>
      <c r="L38" s="90">
        <f t="shared" si="3"/>
        <v>200</v>
      </c>
      <c r="M38" s="90">
        <v>0</v>
      </c>
      <c r="N38" s="90">
        <f t="shared" si="4"/>
        <v>200</v>
      </c>
    </row>
    <row r="39" spans="1:14" s="8" customFormat="1" ht="96">
      <c r="A39" s="37" t="s">
        <v>30</v>
      </c>
      <c r="B39" s="4"/>
      <c r="C39" s="5"/>
      <c r="D39" s="38" t="s">
        <v>177</v>
      </c>
      <c r="E39" s="77">
        <f>SUM(E40,E43,E51,E63,E68,)</f>
        <v>19302834</v>
      </c>
      <c r="F39" s="77">
        <f>SUM(F40,F43,F51,F63,F68,)</f>
        <v>228717</v>
      </c>
      <c r="G39" s="77">
        <f>SUM(G40,G43,G51,G63,G68,)</f>
        <v>228717</v>
      </c>
      <c r="H39" s="77">
        <f t="shared" si="1"/>
        <v>19302834</v>
      </c>
      <c r="I39" s="77">
        <f>SUM(I40,I43,I51,I63,I68,)</f>
        <v>-98931</v>
      </c>
      <c r="J39" s="77">
        <f t="shared" si="2"/>
        <v>19203903</v>
      </c>
      <c r="K39" s="77">
        <f>SUM(K40,K43,K51,K63,K68,)</f>
        <v>0</v>
      </c>
      <c r="L39" s="77">
        <f t="shared" si="3"/>
        <v>19203903</v>
      </c>
      <c r="M39" s="77">
        <f>SUM(M40,M43,M51,M63,M68,)</f>
        <v>0</v>
      </c>
      <c r="N39" s="77">
        <f t="shared" si="4"/>
        <v>19203903</v>
      </c>
    </row>
    <row r="40" spans="1:14" s="30" customFormat="1" ht="33.75">
      <c r="A40" s="91"/>
      <c r="B40" s="64">
        <v>75601</v>
      </c>
      <c r="C40" s="100"/>
      <c r="D40" s="97" t="s">
        <v>32</v>
      </c>
      <c r="E40" s="90">
        <f>SUM(E41:E42)</f>
        <v>40426</v>
      </c>
      <c r="F40" s="90">
        <f>SUM(F41:F42)</f>
        <v>0</v>
      </c>
      <c r="G40" s="90">
        <f>SUM(G41:G42)</f>
        <v>0</v>
      </c>
      <c r="H40" s="90">
        <f t="shared" si="1"/>
        <v>40426</v>
      </c>
      <c r="I40" s="90">
        <f>SUM(I41:I42)</f>
        <v>0</v>
      </c>
      <c r="J40" s="90">
        <f t="shared" si="2"/>
        <v>40426</v>
      </c>
      <c r="K40" s="90">
        <f>SUM(K41:K42)</f>
        <v>0</v>
      </c>
      <c r="L40" s="90">
        <f t="shared" si="3"/>
        <v>40426</v>
      </c>
      <c r="M40" s="90">
        <f>SUM(M41:M42)</f>
        <v>0</v>
      </c>
      <c r="N40" s="90">
        <f t="shared" si="4"/>
        <v>40426</v>
      </c>
    </row>
    <row r="41" spans="1:14" s="30" customFormat="1" ht="45">
      <c r="A41" s="91"/>
      <c r="B41" s="64"/>
      <c r="C41" s="99" t="s">
        <v>190</v>
      </c>
      <c r="D41" s="97" t="s">
        <v>33</v>
      </c>
      <c r="E41" s="90">
        <v>40000</v>
      </c>
      <c r="F41" s="90"/>
      <c r="G41" s="90"/>
      <c r="H41" s="90">
        <f t="shared" si="1"/>
        <v>40000</v>
      </c>
      <c r="I41" s="90">
        <v>0</v>
      </c>
      <c r="J41" s="90">
        <f t="shared" si="2"/>
        <v>40000</v>
      </c>
      <c r="K41" s="90">
        <v>0</v>
      </c>
      <c r="L41" s="90">
        <f t="shared" si="3"/>
        <v>40000</v>
      </c>
      <c r="M41" s="90">
        <v>0</v>
      </c>
      <c r="N41" s="90">
        <f t="shared" si="4"/>
        <v>40000</v>
      </c>
    </row>
    <row r="42" spans="1:14" s="30" customFormat="1" ht="22.5">
      <c r="A42" s="91"/>
      <c r="B42" s="64"/>
      <c r="C42" s="99" t="s">
        <v>191</v>
      </c>
      <c r="D42" s="97" t="s">
        <v>40</v>
      </c>
      <c r="E42" s="90">
        <v>426</v>
      </c>
      <c r="F42" s="90"/>
      <c r="G42" s="90"/>
      <c r="H42" s="90">
        <f t="shared" si="1"/>
        <v>426</v>
      </c>
      <c r="I42" s="90">
        <v>0</v>
      </c>
      <c r="J42" s="90">
        <f t="shared" si="2"/>
        <v>426</v>
      </c>
      <c r="K42" s="90">
        <v>0</v>
      </c>
      <c r="L42" s="90">
        <f t="shared" si="3"/>
        <v>426</v>
      </c>
      <c r="M42" s="90">
        <v>0</v>
      </c>
      <c r="N42" s="90">
        <f t="shared" si="4"/>
        <v>426</v>
      </c>
    </row>
    <row r="43" spans="1:14" s="30" customFormat="1" ht="67.5">
      <c r="A43" s="91"/>
      <c r="B43" s="92" t="s">
        <v>34</v>
      </c>
      <c r="C43" s="100"/>
      <c r="D43" s="97" t="s">
        <v>226</v>
      </c>
      <c r="E43" s="90">
        <f>SUM(E44:E50)</f>
        <v>6978961</v>
      </c>
      <c r="F43" s="90">
        <f>SUM(F44:F50)</f>
        <v>228717</v>
      </c>
      <c r="G43" s="90">
        <f>SUM(G44:G50)</f>
        <v>228717</v>
      </c>
      <c r="H43" s="90">
        <f t="shared" si="1"/>
        <v>6978961</v>
      </c>
      <c r="I43" s="90">
        <f>SUM(I44:I50)</f>
        <v>0</v>
      </c>
      <c r="J43" s="90">
        <f t="shared" si="2"/>
        <v>6978961</v>
      </c>
      <c r="K43" s="90">
        <f>SUM(K44:K50)</f>
        <v>0</v>
      </c>
      <c r="L43" s="90">
        <f t="shared" si="3"/>
        <v>6978961</v>
      </c>
      <c r="M43" s="90">
        <f>SUM(M44:M50)</f>
        <v>0</v>
      </c>
      <c r="N43" s="90">
        <f t="shared" si="4"/>
        <v>6978961</v>
      </c>
    </row>
    <row r="44" spans="1:14" s="30" customFormat="1" ht="21.75" customHeight="1">
      <c r="A44" s="91"/>
      <c r="B44" s="92"/>
      <c r="C44" s="93" t="s">
        <v>192</v>
      </c>
      <c r="D44" s="97" t="s">
        <v>35</v>
      </c>
      <c r="E44" s="90">
        <v>6371350</v>
      </c>
      <c r="F44" s="90"/>
      <c r="G44" s="90"/>
      <c r="H44" s="90">
        <f t="shared" si="1"/>
        <v>6371350</v>
      </c>
      <c r="I44" s="90">
        <v>0</v>
      </c>
      <c r="J44" s="90">
        <f t="shared" si="2"/>
        <v>6371350</v>
      </c>
      <c r="K44" s="90">
        <v>0</v>
      </c>
      <c r="L44" s="90">
        <f t="shared" si="3"/>
        <v>6371350</v>
      </c>
      <c r="M44" s="90">
        <v>0</v>
      </c>
      <c r="N44" s="90">
        <f t="shared" si="4"/>
        <v>6371350</v>
      </c>
    </row>
    <row r="45" spans="1:14" s="30" customFormat="1" ht="21.75" customHeight="1">
      <c r="A45" s="91"/>
      <c r="B45" s="92"/>
      <c r="C45" s="93" t="s">
        <v>193</v>
      </c>
      <c r="D45" s="97" t="s">
        <v>36</v>
      </c>
      <c r="E45" s="90">
        <v>27402</v>
      </c>
      <c r="F45" s="90"/>
      <c r="G45" s="90"/>
      <c r="H45" s="90">
        <f aca="true" t="shared" si="7" ref="H45:H76">E45+F45-G45</f>
        <v>27402</v>
      </c>
      <c r="I45" s="90">
        <v>0</v>
      </c>
      <c r="J45" s="90">
        <f t="shared" si="2"/>
        <v>27402</v>
      </c>
      <c r="K45" s="90">
        <v>0</v>
      </c>
      <c r="L45" s="90">
        <f t="shared" si="3"/>
        <v>27402</v>
      </c>
      <c r="M45" s="90">
        <v>0</v>
      </c>
      <c r="N45" s="90">
        <f t="shared" si="4"/>
        <v>27402</v>
      </c>
    </row>
    <row r="46" spans="1:14" s="30" customFormat="1" ht="21.75" customHeight="1">
      <c r="A46" s="91"/>
      <c r="B46" s="92"/>
      <c r="C46" s="93" t="s">
        <v>194</v>
      </c>
      <c r="D46" s="97" t="s">
        <v>37</v>
      </c>
      <c r="E46" s="90">
        <v>306492</v>
      </c>
      <c r="F46" s="90"/>
      <c r="G46" s="90"/>
      <c r="H46" s="90">
        <f t="shared" si="7"/>
        <v>306492</v>
      </c>
      <c r="I46" s="90">
        <v>0</v>
      </c>
      <c r="J46" s="90">
        <f t="shared" si="2"/>
        <v>306492</v>
      </c>
      <c r="K46" s="90">
        <v>0</v>
      </c>
      <c r="L46" s="90">
        <f t="shared" si="3"/>
        <v>306492</v>
      </c>
      <c r="M46" s="90">
        <v>0</v>
      </c>
      <c r="N46" s="90">
        <f t="shared" si="4"/>
        <v>306492</v>
      </c>
    </row>
    <row r="47" spans="1:14" s="30" customFormat="1" ht="21.75" customHeight="1">
      <c r="A47" s="91"/>
      <c r="B47" s="92"/>
      <c r="C47" s="93" t="s">
        <v>195</v>
      </c>
      <c r="D47" s="97" t="s">
        <v>38</v>
      </c>
      <c r="E47" s="90">
        <v>38000</v>
      </c>
      <c r="F47" s="90"/>
      <c r="G47" s="90"/>
      <c r="H47" s="90">
        <f t="shared" si="7"/>
        <v>38000</v>
      </c>
      <c r="I47" s="90">
        <v>0</v>
      </c>
      <c r="J47" s="90">
        <f t="shared" si="2"/>
        <v>38000</v>
      </c>
      <c r="K47" s="90">
        <v>0</v>
      </c>
      <c r="L47" s="90">
        <f t="shared" si="3"/>
        <v>38000</v>
      </c>
      <c r="M47" s="90">
        <v>0</v>
      </c>
      <c r="N47" s="90">
        <f t="shared" si="4"/>
        <v>38000</v>
      </c>
    </row>
    <row r="48" spans="1:14" s="30" customFormat="1" ht="21.75" customHeight="1">
      <c r="A48" s="91"/>
      <c r="B48" s="92"/>
      <c r="C48" s="88" t="s">
        <v>191</v>
      </c>
      <c r="D48" s="85" t="s">
        <v>246</v>
      </c>
      <c r="E48" s="101">
        <v>7000</v>
      </c>
      <c r="F48" s="101"/>
      <c r="G48" s="101"/>
      <c r="H48" s="90">
        <f t="shared" si="7"/>
        <v>7000</v>
      </c>
      <c r="I48" s="101">
        <v>0</v>
      </c>
      <c r="J48" s="90">
        <f t="shared" si="2"/>
        <v>7000</v>
      </c>
      <c r="K48" s="101">
        <v>0</v>
      </c>
      <c r="L48" s="90">
        <f t="shared" si="3"/>
        <v>7000</v>
      </c>
      <c r="M48" s="101">
        <v>0</v>
      </c>
      <c r="N48" s="90">
        <f t="shared" si="4"/>
        <v>7000</v>
      </c>
    </row>
    <row r="49" spans="1:14" s="30" customFormat="1" ht="45" hidden="1">
      <c r="A49" s="91"/>
      <c r="B49" s="92"/>
      <c r="C49" s="93">
        <v>2440</v>
      </c>
      <c r="D49" s="97" t="s">
        <v>216</v>
      </c>
      <c r="E49" s="90">
        <v>228717</v>
      </c>
      <c r="F49" s="90"/>
      <c r="G49" s="90">
        <v>228717</v>
      </c>
      <c r="H49" s="90">
        <f t="shared" si="7"/>
        <v>0</v>
      </c>
      <c r="I49" s="90"/>
      <c r="J49" s="90">
        <f t="shared" si="2"/>
        <v>0</v>
      </c>
      <c r="K49" s="90"/>
      <c r="L49" s="90">
        <f t="shared" si="3"/>
        <v>0</v>
      </c>
      <c r="M49" s="90"/>
      <c r="N49" s="90">
        <f t="shared" si="4"/>
        <v>0</v>
      </c>
    </row>
    <row r="50" spans="1:14" s="30" customFormat="1" ht="33.75">
      <c r="A50" s="91"/>
      <c r="B50" s="92"/>
      <c r="C50" s="93">
        <v>2680</v>
      </c>
      <c r="D50" s="97" t="s">
        <v>399</v>
      </c>
      <c r="E50" s="90">
        <v>0</v>
      </c>
      <c r="F50" s="90">
        <v>228717</v>
      </c>
      <c r="G50" s="90"/>
      <c r="H50" s="90">
        <f t="shared" si="7"/>
        <v>228717</v>
      </c>
      <c r="I50" s="90">
        <v>0</v>
      </c>
      <c r="J50" s="90">
        <f t="shared" si="2"/>
        <v>228717</v>
      </c>
      <c r="K50" s="90">
        <v>0</v>
      </c>
      <c r="L50" s="90">
        <f t="shared" si="3"/>
        <v>228717</v>
      </c>
      <c r="M50" s="90">
        <v>0</v>
      </c>
      <c r="N50" s="90">
        <f t="shared" si="4"/>
        <v>228717</v>
      </c>
    </row>
    <row r="51" spans="1:14" s="30" customFormat="1" ht="67.5">
      <c r="A51" s="91"/>
      <c r="B51" s="92">
        <v>75616</v>
      </c>
      <c r="C51" s="93"/>
      <c r="D51" s="97" t="s">
        <v>227</v>
      </c>
      <c r="E51" s="90">
        <f>SUM(E52:E62)</f>
        <v>3276006</v>
      </c>
      <c r="F51" s="90">
        <f>SUM(F52:F62)</f>
        <v>0</v>
      </c>
      <c r="G51" s="90">
        <f>SUM(G52:G62)</f>
        <v>0</v>
      </c>
      <c r="H51" s="90">
        <f t="shared" si="7"/>
        <v>3276006</v>
      </c>
      <c r="I51" s="90">
        <f>SUM(I52:I62)</f>
        <v>-2000</v>
      </c>
      <c r="J51" s="90">
        <f t="shared" si="2"/>
        <v>3274006</v>
      </c>
      <c r="K51" s="90">
        <f>SUM(K52:K62)</f>
        <v>0</v>
      </c>
      <c r="L51" s="90">
        <f t="shared" si="3"/>
        <v>3274006</v>
      </c>
      <c r="M51" s="90">
        <f>SUM(M52:M62)</f>
        <v>0</v>
      </c>
      <c r="N51" s="90">
        <f t="shared" si="4"/>
        <v>3274006</v>
      </c>
    </row>
    <row r="52" spans="1:14" s="30" customFormat="1" ht="21.75" customHeight="1">
      <c r="A52" s="91"/>
      <c r="B52" s="92"/>
      <c r="C52" s="93" t="s">
        <v>192</v>
      </c>
      <c r="D52" s="97" t="s">
        <v>35</v>
      </c>
      <c r="E52" s="90">
        <v>2188575</v>
      </c>
      <c r="F52" s="90"/>
      <c r="G52" s="90"/>
      <c r="H52" s="90">
        <f t="shared" si="7"/>
        <v>2188575</v>
      </c>
      <c r="I52" s="90">
        <v>0</v>
      </c>
      <c r="J52" s="90">
        <f t="shared" si="2"/>
        <v>2188575</v>
      </c>
      <c r="K52" s="90">
        <v>0</v>
      </c>
      <c r="L52" s="90">
        <f t="shared" si="3"/>
        <v>2188575</v>
      </c>
      <c r="M52" s="90">
        <v>0</v>
      </c>
      <c r="N52" s="90">
        <f t="shared" si="4"/>
        <v>2188575</v>
      </c>
    </row>
    <row r="53" spans="1:14" s="30" customFormat="1" ht="21.75" customHeight="1">
      <c r="A53" s="91"/>
      <c r="B53" s="92"/>
      <c r="C53" s="93" t="s">
        <v>193</v>
      </c>
      <c r="D53" s="97" t="s">
        <v>36</v>
      </c>
      <c r="E53" s="90">
        <v>366931</v>
      </c>
      <c r="F53" s="90"/>
      <c r="G53" s="90"/>
      <c r="H53" s="90">
        <f t="shared" si="7"/>
        <v>366931</v>
      </c>
      <c r="I53" s="90">
        <v>0</v>
      </c>
      <c r="J53" s="90">
        <f t="shared" si="2"/>
        <v>366931</v>
      </c>
      <c r="K53" s="90">
        <v>0</v>
      </c>
      <c r="L53" s="90">
        <f t="shared" si="3"/>
        <v>366931</v>
      </c>
      <c r="M53" s="90">
        <v>0</v>
      </c>
      <c r="N53" s="90">
        <f t="shared" si="4"/>
        <v>366931</v>
      </c>
    </row>
    <row r="54" spans="1:14" s="30" customFormat="1" ht="21.75" customHeight="1">
      <c r="A54" s="91"/>
      <c r="B54" s="92"/>
      <c r="C54" s="93" t="s">
        <v>194</v>
      </c>
      <c r="D54" s="97" t="s">
        <v>37</v>
      </c>
      <c r="E54" s="90">
        <v>7200</v>
      </c>
      <c r="F54" s="90"/>
      <c r="G54" s="90"/>
      <c r="H54" s="90">
        <f t="shared" si="7"/>
        <v>7200</v>
      </c>
      <c r="I54" s="90">
        <v>0</v>
      </c>
      <c r="J54" s="90">
        <f t="shared" si="2"/>
        <v>7200</v>
      </c>
      <c r="K54" s="90">
        <v>0</v>
      </c>
      <c r="L54" s="90">
        <f t="shared" si="3"/>
        <v>7200</v>
      </c>
      <c r="M54" s="90">
        <v>0</v>
      </c>
      <c r="N54" s="90">
        <f t="shared" si="4"/>
        <v>7200</v>
      </c>
    </row>
    <row r="55" spans="1:14" s="30" customFormat="1" ht="21" customHeight="1">
      <c r="A55" s="91"/>
      <c r="B55" s="92"/>
      <c r="C55" s="93" t="s">
        <v>195</v>
      </c>
      <c r="D55" s="97" t="s">
        <v>38</v>
      </c>
      <c r="E55" s="90">
        <v>195000</v>
      </c>
      <c r="F55" s="90"/>
      <c r="G55" s="90"/>
      <c r="H55" s="90">
        <f t="shared" si="7"/>
        <v>195000</v>
      </c>
      <c r="I55" s="90">
        <v>0</v>
      </c>
      <c r="J55" s="90">
        <f t="shared" si="2"/>
        <v>195000</v>
      </c>
      <c r="K55" s="90">
        <v>0</v>
      </c>
      <c r="L55" s="90">
        <f t="shared" si="3"/>
        <v>195000</v>
      </c>
      <c r="M55" s="90">
        <v>0</v>
      </c>
      <c r="N55" s="90">
        <f t="shared" si="4"/>
        <v>195000</v>
      </c>
    </row>
    <row r="56" spans="1:14" s="30" customFormat="1" ht="21.75" customHeight="1" hidden="1">
      <c r="A56" s="91"/>
      <c r="B56" s="92"/>
      <c r="C56" s="93" t="s">
        <v>196</v>
      </c>
      <c r="D56" s="97" t="s">
        <v>41</v>
      </c>
      <c r="E56" s="90"/>
      <c r="F56" s="90"/>
      <c r="G56" s="90"/>
      <c r="H56" s="90">
        <f t="shared" si="7"/>
        <v>0</v>
      </c>
      <c r="I56" s="90"/>
      <c r="J56" s="90">
        <f t="shared" si="2"/>
        <v>0</v>
      </c>
      <c r="K56" s="90"/>
      <c r="L56" s="90">
        <f t="shared" si="3"/>
        <v>0</v>
      </c>
      <c r="M56" s="90"/>
      <c r="N56" s="90">
        <f t="shared" si="4"/>
        <v>0</v>
      </c>
    </row>
    <row r="57" spans="1:14" s="30" customFormat="1" ht="21.75" customHeight="1">
      <c r="A57" s="91"/>
      <c r="B57" s="92"/>
      <c r="C57" s="93" t="s">
        <v>197</v>
      </c>
      <c r="D57" s="97" t="s">
        <v>42</v>
      </c>
      <c r="E57" s="90">
        <v>6000</v>
      </c>
      <c r="F57" s="90"/>
      <c r="G57" s="90"/>
      <c r="H57" s="90">
        <f t="shared" si="7"/>
        <v>6000</v>
      </c>
      <c r="I57" s="90">
        <v>0</v>
      </c>
      <c r="J57" s="90">
        <f t="shared" si="2"/>
        <v>6000</v>
      </c>
      <c r="K57" s="90">
        <v>0</v>
      </c>
      <c r="L57" s="90">
        <f t="shared" si="3"/>
        <v>6000</v>
      </c>
      <c r="M57" s="90">
        <v>0</v>
      </c>
      <c r="N57" s="90">
        <f t="shared" si="4"/>
        <v>6000</v>
      </c>
    </row>
    <row r="58" spans="1:14" s="30" customFormat="1" ht="21.75" customHeight="1">
      <c r="A58" s="91"/>
      <c r="B58" s="92"/>
      <c r="C58" s="93" t="s">
        <v>198</v>
      </c>
      <c r="D58" s="97" t="s">
        <v>43</v>
      </c>
      <c r="E58" s="90">
        <v>70000</v>
      </c>
      <c r="F58" s="90"/>
      <c r="G58" s="90"/>
      <c r="H58" s="90">
        <f t="shared" si="7"/>
        <v>70000</v>
      </c>
      <c r="I58" s="90">
        <v>0</v>
      </c>
      <c r="J58" s="90">
        <f t="shared" si="2"/>
        <v>70000</v>
      </c>
      <c r="K58" s="90">
        <v>0</v>
      </c>
      <c r="L58" s="90">
        <f t="shared" si="3"/>
        <v>70000</v>
      </c>
      <c r="M58" s="90">
        <v>0</v>
      </c>
      <c r="N58" s="90">
        <f t="shared" si="4"/>
        <v>70000</v>
      </c>
    </row>
    <row r="59" spans="1:14" s="30" customFormat="1" ht="21.75" customHeight="1">
      <c r="A59" s="91"/>
      <c r="B59" s="92"/>
      <c r="C59" s="93" t="s">
        <v>199</v>
      </c>
      <c r="D59" s="97" t="s">
        <v>44</v>
      </c>
      <c r="E59" s="90">
        <v>300</v>
      </c>
      <c r="F59" s="90"/>
      <c r="G59" s="90"/>
      <c r="H59" s="90">
        <f t="shared" si="7"/>
        <v>300</v>
      </c>
      <c r="I59" s="90">
        <v>0</v>
      </c>
      <c r="J59" s="90">
        <f t="shared" si="2"/>
        <v>300</v>
      </c>
      <c r="K59" s="90">
        <v>0</v>
      </c>
      <c r="L59" s="90">
        <f t="shared" si="3"/>
        <v>300</v>
      </c>
      <c r="M59" s="90">
        <v>0</v>
      </c>
      <c r="N59" s="90">
        <f t="shared" si="4"/>
        <v>300</v>
      </c>
    </row>
    <row r="60" spans="1:14" s="30" customFormat="1" ht="33.75">
      <c r="A60" s="91"/>
      <c r="B60" s="92"/>
      <c r="C60" s="93" t="s">
        <v>200</v>
      </c>
      <c r="D60" s="97" t="s">
        <v>45</v>
      </c>
      <c r="E60" s="90">
        <v>2000</v>
      </c>
      <c r="F60" s="90"/>
      <c r="G60" s="90"/>
      <c r="H60" s="90">
        <f t="shared" si="7"/>
        <v>2000</v>
      </c>
      <c r="I60" s="90">
        <v>-2000</v>
      </c>
      <c r="J60" s="90">
        <f t="shared" si="2"/>
        <v>0</v>
      </c>
      <c r="K60" s="90"/>
      <c r="L60" s="90">
        <f t="shared" si="3"/>
        <v>0</v>
      </c>
      <c r="M60" s="90">
        <v>0</v>
      </c>
      <c r="N60" s="90">
        <f t="shared" si="4"/>
        <v>0</v>
      </c>
    </row>
    <row r="61" spans="1:14" s="30" customFormat="1" ht="21.75" customHeight="1">
      <c r="A61" s="91"/>
      <c r="B61" s="92"/>
      <c r="C61" s="93" t="s">
        <v>202</v>
      </c>
      <c r="D61" s="97" t="s">
        <v>46</v>
      </c>
      <c r="E61" s="90">
        <v>400000</v>
      </c>
      <c r="F61" s="90"/>
      <c r="G61" s="90"/>
      <c r="H61" s="90">
        <f t="shared" si="7"/>
        <v>400000</v>
      </c>
      <c r="I61" s="90">
        <v>0</v>
      </c>
      <c r="J61" s="90">
        <f t="shared" si="2"/>
        <v>400000</v>
      </c>
      <c r="K61" s="90">
        <v>0</v>
      </c>
      <c r="L61" s="90">
        <f t="shared" si="3"/>
        <v>400000</v>
      </c>
      <c r="M61" s="90">
        <v>0</v>
      </c>
      <c r="N61" s="90">
        <f t="shared" si="4"/>
        <v>400000</v>
      </c>
    </row>
    <row r="62" spans="1:14" s="30" customFormat="1" ht="21.75" customHeight="1">
      <c r="A62" s="91"/>
      <c r="B62" s="92"/>
      <c r="C62" s="93" t="s">
        <v>191</v>
      </c>
      <c r="D62" s="97" t="s">
        <v>246</v>
      </c>
      <c r="E62" s="90">
        <v>40000</v>
      </c>
      <c r="F62" s="90"/>
      <c r="G62" s="90"/>
      <c r="H62" s="90">
        <f t="shared" si="7"/>
        <v>40000</v>
      </c>
      <c r="I62" s="90">
        <v>0</v>
      </c>
      <c r="J62" s="90">
        <f t="shared" si="2"/>
        <v>40000</v>
      </c>
      <c r="K62" s="90">
        <v>0</v>
      </c>
      <c r="L62" s="90">
        <f t="shared" si="3"/>
        <v>40000</v>
      </c>
      <c r="M62" s="90">
        <v>0</v>
      </c>
      <c r="N62" s="90">
        <f t="shared" si="4"/>
        <v>40000</v>
      </c>
    </row>
    <row r="63" spans="1:14" s="30" customFormat="1" ht="56.25">
      <c r="A63" s="91"/>
      <c r="B63" s="92" t="s">
        <v>47</v>
      </c>
      <c r="C63" s="100"/>
      <c r="D63" s="97" t="s">
        <v>48</v>
      </c>
      <c r="E63" s="90">
        <f>SUM(E64:E67)</f>
        <v>604000</v>
      </c>
      <c r="F63" s="90">
        <f>SUM(F64:F67)</f>
        <v>0</v>
      </c>
      <c r="G63" s="90">
        <f>SUM(G64:G67)</f>
        <v>0</v>
      </c>
      <c r="H63" s="90">
        <f t="shared" si="7"/>
        <v>604000</v>
      </c>
      <c r="I63" s="90">
        <f>SUM(I64:I67)</f>
        <v>2000</v>
      </c>
      <c r="J63" s="90">
        <f t="shared" si="2"/>
        <v>606000</v>
      </c>
      <c r="K63" s="90">
        <f>SUM(K64:K67)</f>
        <v>0</v>
      </c>
      <c r="L63" s="90">
        <f t="shared" si="3"/>
        <v>606000</v>
      </c>
      <c r="M63" s="90">
        <f>SUM(M64:M67)</f>
        <v>0</v>
      </c>
      <c r="N63" s="90">
        <f t="shared" si="4"/>
        <v>606000</v>
      </c>
    </row>
    <row r="64" spans="1:14" s="30" customFormat="1" ht="21.75" customHeight="1">
      <c r="A64" s="91"/>
      <c r="B64" s="92"/>
      <c r="C64" s="93" t="s">
        <v>203</v>
      </c>
      <c r="D64" s="97" t="s">
        <v>49</v>
      </c>
      <c r="E64" s="90">
        <v>200000</v>
      </c>
      <c r="F64" s="90"/>
      <c r="G64" s="90"/>
      <c r="H64" s="90">
        <f t="shared" si="7"/>
        <v>200000</v>
      </c>
      <c r="I64" s="90">
        <v>2000</v>
      </c>
      <c r="J64" s="90">
        <f t="shared" si="2"/>
        <v>202000</v>
      </c>
      <c r="K64" s="90"/>
      <c r="L64" s="90">
        <f t="shared" si="3"/>
        <v>202000</v>
      </c>
      <c r="M64" s="90">
        <v>0</v>
      </c>
      <c r="N64" s="90">
        <f t="shared" si="4"/>
        <v>202000</v>
      </c>
    </row>
    <row r="65" spans="1:14" s="30" customFormat="1" ht="21.75" customHeight="1">
      <c r="A65" s="91"/>
      <c r="B65" s="92"/>
      <c r="C65" s="93" t="s">
        <v>201</v>
      </c>
      <c r="D65" s="97" t="s">
        <v>39</v>
      </c>
      <c r="E65" s="90">
        <v>14000</v>
      </c>
      <c r="F65" s="90"/>
      <c r="G65" s="90"/>
      <c r="H65" s="90">
        <f t="shared" si="7"/>
        <v>14000</v>
      </c>
      <c r="I65" s="90">
        <v>0</v>
      </c>
      <c r="J65" s="90">
        <f t="shared" si="2"/>
        <v>14000</v>
      </c>
      <c r="K65" s="90">
        <v>0</v>
      </c>
      <c r="L65" s="90">
        <f t="shared" si="3"/>
        <v>14000</v>
      </c>
      <c r="M65" s="90">
        <v>0</v>
      </c>
      <c r="N65" s="90">
        <f t="shared" si="4"/>
        <v>14000</v>
      </c>
    </row>
    <row r="66" spans="1:14" s="30" customFormat="1" ht="22.5">
      <c r="A66" s="91"/>
      <c r="B66" s="92"/>
      <c r="C66" s="93" t="s">
        <v>207</v>
      </c>
      <c r="D66" s="97" t="s">
        <v>285</v>
      </c>
      <c r="E66" s="90">
        <v>290000</v>
      </c>
      <c r="F66" s="90"/>
      <c r="G66" s="90"/>
      <c r="H66" s="90">
        <f t="shared" si="7"/>
        <v>290000</v>
      </c>
      <c r="I66" s="90">
        <v>0</v>
      </c>
      <c r="J66" s="90">
        <f t="shared" si="2"/>
        <v>290000</v>
      </c>
      <c r="K66" s="90">
        <v>0</v>
      </c>
      <c r="L66" s="90">
        <f t="shared" si="3"/>
        <v>290000</v>
      </c>
      <c r="M66" s="90">
        <v>0</v>
      </c>
      <c r="N66" s="90">
        <f t="shared" si="4"/>
        <v>290000</v>
      </c>
    </row>
    <row r="67" spans="1:14" s="30" customFormat="1" ht="56.25">
      <c r="A67" s="91"/>
      <c r="B67" s="92"/>
      <c r="C67" s="93" t="s">
        <v>184</v>
      </c>
      <c r="D67" s="97" t="s">
        <v>7</v>
      </c>
      <c r="E67" s="90">
        <v>100000</v>
      </c>
      <c r="F67" s="90"/>
      <c r="G67" s="90"/>
      <c r="H67" s="90">
        <f t="shared" si="7"/>
        <v>100000</v>
      </c>
      <c r="I67" s="90">
        <v>0</v>
      </c>
      <c r="J67" s="90">
        <f t="shared" si="2"/>
        <v>100000</v>
      </c>
      <c r="K67" s="90">
        <v>0</v>
      </c>
      <c r="L67" s="90">
        <f t="shared" si="3"/>
        <v>100000</v>
      </c>
      <c r="M67" s="90">
        <v>0</v>
      </c>
      <c r="N67" s="90">
        <f t="shared" si="4"/>
        <v>100000</v>
      </c>
    </row>
    <row r="68" spans="1:14" s="30" customFormat="1" ht="33.75">
      <c r="A68" s="91"/>
      <c r="B68" s="92" t="s">
        <v>50</v>
      </c>
      <c r="C68" s="100"/>
      <c r="D68" s="97" t="s">
        <v>51</v>
      </c>
      <c r="E68" s="90">
        <f>SUM(E69:E70)</f>
        <v>8403441</v>
      </c>
      <c r="F68" s="90">
        <f>SUM(F69:F70)</f>
        <v>0</v>
      </c>
      <c r="G68" s="90">
        <f>SUM(G69:G70)</f>
        <v>0</v>
      </c>
      <c r="H68" s="90">
        <f t="shared" si="7"/>
        <v>8403441</v>
      </c>
      <c r="I68" s="90">
        <f>SUM(I69:I70)</f>
        <v>-98931</v>
      </c>
      <c r="J68" s="90">
        <f t="shared" si="2"/>
        <v>8304510</v>
      </c>
      <c r="K68" s="90">
        <f>SUM(K69:K70)</f>
        <v>0</v>
      </c>
      <c r="L68" s="90">
        <f t="shared" si="3"/>
        <v>8304510</v>
      </c>
      <c r="M68" s="90">
        <f>SUM(M69:M70)</f>
        <v>0</v>
      </c>
      <c r="N68" s="90">
        <f t="shared" si="4"/>
        <v>8304510</v>
      </c>
    </row>
    <row r="69" spans="1:14" s="30" customFormat="1" ht="21.75" customHeight="1">
      <c r="A69" s="91"/>
      <c r="B69" s="92"/>
      <c r="C69" s="93" t="s">
        <v>204</v>
      </c>
      <c r="D69" s="97" t="s">
        <v>52</v>
      </c>
      <c r="E69" s="90">
        <v>7728441</v>
      </c>
      <c r="F69" s="90"/>
      <c r="G69" s="90"/>
      <c r="H69" s="90">
        <f t="shared" si="7"/>
        <v>7728441</v>
      </c>
      <c r="I69" s="90">
        <v>-98931</v>
      </c>
      <c r="J69" s="90">
        <f t="shared" si="2"/>
        <v>7629510</v>
      </c>
      <c r="K69" s="90"/>
      <c r="L69" s="90">
        <f t="shared" si="3"/>
        <v>7629510</v>
      </c>
      <c r="M69" s="90"/>
      <c r="N69" s="90">
        <f t="shared" si="4"/>
        <v>7629510</v>
      </c>
    </row>
    <row r="70" spans="1:14" s="30" customFormat="1" ht="21.75" customHeight="1">
      <c r="A70" s="91"/>
      <c r="B70" s="92"/>
      <c r="C70" s="93" t="s">
        <v>205</v>
      </c>
      <c r="D70" s="97" t="s">
        <v>53</v>
      </c>
      <c r="E70" s="90">
        <v>675000</v>
      </c>
      <c r="F70" s="90"/>
      <c r="G70" s="90"/>
      <c r="H70" s="90">
        <f t="shared" si="7"/>
        <v>675000</v>
      </c>
      <c r="I70" s="90">
        <v>0</v>
      </c>
      <c r="J70" s="90">
        <f t="shared" si="2"/>
        <v>675000</v>
      </c>
      <c r="K70" s="90">
        <v>0</v>
      </c>
      <c r="L70" s="90">
        <f t="shared" si="3"/>
        <v>675000</v>
      </c>
      <c r="M70" s="90">
        <v>0</v>
      </c>
      <c r="N70" s="90">
        <f t="shared" si="4"/>
        <v>675000</v>
      </c>
    </row>
    <row r="71" spans="1:14" s="8" customFormat="1" ht="24.75" customHeight="1">
      <c r="A71" s="37" t="s">
        <v>54</v>
      </c>
      <c r="B71" s="4"/>
      <c r="C71" s="5"/>
      <c r="D71" s="38" t="s">
        <v>55</v>
      </c>
      <c r="E71" s="77">
        <f>SUM(E72,E74,E76,E78)</f>
        <v>15318162</v>
      </c>
      <c r="F71" s="77">
        <f>SUM(F72,F74,F76,F78)</f>
        <v>0</v>
      </c>
      <c r="G71" s="77">
        <f>SUM(G72,G74,G76,G78)</f>
        <v>0</v>
      </c>
      <c r="H71" s="77">
        <f t="shared" si="7"/>
        <v>15318162</v>
      </c>
      <c r="I71" s="77">
        <f>SUM(I72,I74,I76,I78)</f>
        <v>-340938</v>
      </c>
      <c r="J71" s="77">
        <f t="shared" si="2"/>
        <v>14977224</v>
      </c>
      <c r="K71" s="77">
        <f>SUM(K72,K74,K76,K78)</f>
        <v>0</v>
      </c>
      <c r="L71" s="77">
        <f t="shared" si="3"/>
        <v>14977224</v>
      </c>
      <c r="M71" s="77">
        <f>SUM(M72,M74,M76,M78)</f>
        <v>-25451</v>
      </c>
      <c r="N71" s="77">
        <f t="shared" si="4"/>
        <v>14951773</v>
      </c>
    </row>
    <row r="72" spans="1:14" s="30" customFormat="1" ht="33.75">
      <c r="A72" s="91"/>
      <c r="B72" s="92" t="s">
        <v>56</v>
      </c>
      <c r="C72" s="100"/>
      <c r="D72" s="97" t="s">
        <v>57</v>
      </c>
      <c r="E72" s="90">
        <f>SUM(E73)</f>
        <v>12093870</v>
      </c>
      <c r="F72" s="90">
        <f>SUM(F73)</f>
        <v>0</v>
      </c>
      <c r="G72" s="90">
        <f>SUM(G73)</f>
        <v>0</v>
      </c>
      <c r="H72" s="90">
        <f t="shared" si="7"/>
        <v>12093870</v>
      </c>
      <c r="I72" s="90">
        <f>SUM(I73)</f>
        <v>-366389</v>
      </c>
      <c r="J72" s="90">
        <f t="shared" si="2"/>
        <v>11727481</v>
      </c>
      <c r="K72" s="90">
        <f>SUM(K73)</f>
        <v>0</v>
      </c>
      <c r="L72" s="90">
        <f t="shared" si="3"/>
        <v>11727481</v>
      </c>
      <c r="M72" s="90">
        <f>SUM(M73)</f>
        <v>0</v>
      </c>
      <c r="N72" s="90">
        <f t="shared" si="4"/>
        <v>11727481</v>
      </c>
    </row>
    <row r="73" spans="1:14" s="30" customFormat="1" ht="24" customHeight="1">
      <c r="A73" s="91"/>
      <c r="B73" s="92"/>
      <c r="C73" s="93">
        <v>2920</v>
      </c>
      <c r="D73" s="97" t="s">
        <v>58</v>
      </c>
      <c r="E73" s="90">
        <v>12093870</v>
      </c>
      <c r="F73" s="90"/>
      <c r="G73" s="90"/>
      <c r="H73" s="90">
        <f t="shared" si="7"/>
        <v>12093870</v>
      </c>
      <c r="I73" s="90">
        <v>-366389</v>
      </c>
      <c r="J73" s="90">
        <f t="shared" si="2"/>
        <v>11727481</v>
      </c>
      <c r="K73" s="90"/>
      <c r="L73" s="90">
        <f t="shared" si="3"/>
        <v>11727481</v>
      </c>
      <c r="M73" s="90">
        <v>0</v>
      </c>
      <c r="N73" s="90">
        <f t="shared" si="4"/>
        <v>11727481</v>
      </c>
    </row>
    <row r="74" spans="1:14" s="30" customFormat="1" ht="22.5">
      <c r="A74" s="91"/>
      <c r="B74" s="92" t="s">
        <v>218</v>
      </c>
      <c r="C74" s="100"/>
      <c r="D74" s="97" t="s">
        <v>217</v>
      </c>
      <c r="E74" s="90">
        <f>SUM(E75)</f>
        <v>2424673</v>
      </c>
      <c r="F74" s="90">
        <f>SUM(F75)</f>
        <v>0</v>
      </c>
      <c r="G74" s="90">
        <f>SUM(G75)</f>
        <v>0</v>
      </c>
      <c r="H74" s="90">
        <f t="shared" si="7"/>
        <v>2424673</v>
      </c>
      <c r="I74" s="90">
        <f>SUM(I75)</f>
        <v>0</v>
      </c>
      <c r="J74" s="90">
        <f t="shared" si="2"/>
        <v>2424673</v>
      </c>
      <c r="K74" s="90">
        <f>SUM(K75)</f>
        <v>0</v>
      </c>
      <c r="L74" s="90">
        <f t="shared" si="3"/>
        <v>2424673</v>
      </c>
      <c r="M74" s="90">
        <f>SUM(M75)</f>
        <v>0</v>
      </c>
      <c r="N74" s="90">
        <f t="shared" si="4"/>
        <v>2424673</v>
      </c>
    </row>
    <row r="75" spans="1:14" s="30" customFormat="1" ht="25.5" customHeight="1">
      <c r="A75" s="91"/>
      <c r="B75" s="92"/>
      <c r="C75" s="93">
        <v>2920</v>
      </c>
      <c r="D75" s="97" t="s">
        <v>58</v>
      </c>
      <c r="E75" s="90">
        <v>2424673</v>
      </c>
      <c r="F75" s="90"/>
      <c r="G75" s="90"/>
      <c r="H75" s="90">
        <f t="shared" si="7"/>
        <v>2424673</v>
      </c>
      <c r="I75" s="90">
        <v>0</v>
      </c>
      <c r="J75" s="90">
        <f t="shared" si="2"/>
        <v>2424673</v>
      </c>
      <c r="K75" s="90">
        <v>0</v>
      </c>
      <c r="L75" s="90">
        <f t="shared" si="3"/>
        <v>2424673</v>
      </c>
      <c r="M75" s="90">
        <v>0</v>
      </c>
      <c r="N75" s="90">
        <f t="shared" si="4"/>
        <v>2424673</v>
      </c>
    </row>
    <row r="76" spans="1:14" s="30" customFormat="1" ht="21" customHeight="1">
      <c r="A76" s="91"/>
      <c r="B76" s="92">
        <v>75814</v>
      </c>
      <c r="C76" s="100"/>
      <c r="D76" s="97" t="s">
        <v>59</v>
      </c>
      <c r="E76" s="90">
        <f>SUM(E77)</f>
        <v>10000</v>
      </c>
      <c r="F76" s="90">
        <f>SUM(F77)</f>
        <v>0</v>
      </c>
      <c r="G76" s="90">
        <f>SUM(G77)</f>
        <v>0</v>
      </c>
      <c r="H76" s="90">
        <f t="shared" si="7"/>
        <v>10000</v>
      </c>
      <c r="I76" s="90">
        <f>SUM(I77)</f>
        <v>0</v>
      </c>
      <c r="J76" s="90">
        <f t="shared" si="2"/>
        <v>10000</v>
      </c>
      <c r="K76" s="90">
        <f>SUM(K77)</f>
        <v>0</v>
      </c>
      <c r="L76" s="90">
        <f t="shared" si="3"/>
        <v>10000</v>
      </c>
      <c r="M76" s="90">
        <f>SUM(M77)</f>
        <v>0</v>
      </c>
      <c r="N76" s="90">
        <f t="shared" si="4"/>
        <v>10000</v>
      </c>
    </row>
    <row r="77" spans="1:14" s="30" customFormat="1" ht="21.75" customHeight="1">
      <c r="A77" s="91"/>
      <c r="B77" s="92"/>
      <c r="C77" s="93" t="s">
        <v>187</v>
      </c>
      <c r="D77" s="97" t="s">
        <v>14</v>
      </c>
      <c r="E77" s="90">
        <v>10000</v>
      </c>
      <c r="F77" s="90"/>
      <c r="G77" s="90"/>
      <c r="H77" s="90">
        <f>E77+F77-G77</f>
        <v>10000</v>
      </c>
      <c r="I77" s="90">
        <v>0</v>
      </c>
      <c r="J77" s="90">
        <f t="shared" si="2"/>
        <v>10000</v>
      </c>
      <c r="K77" s="90">
        <v>0</v>
      </c>
      <c r="L77" s="90">
        <f t="shared" si="3"/>
        <v>10000</v>
      </c>
      <c r="M77" s="90">
        <v>0</v>
      </c>
      <c r="N77" s="90">
        <f t="shared" si="4"/>
        <v>10000</v>
      </c>
    </row>
    <row r="78" spans="1:14" s="30" customFormat="1" ht="22.5">
      <c r="A78" s="91"/>
      <c r="B78" s="92" t="s">
        <v>267</v>
      </c>
      <c r="C78" s="100"/>
      <c r="D78" s="97" t="s">
        <v>268</v>
      </c>
      <c r="E78" s="90">
        <f>SUM(E79)</f>
        <v>789619</v>
      </c>
      <c r="F78" s="90">
        <f>SUM(F79)</f>
        <v>0</v>
      </c>
      <c r="G78" s="90">
        <f>SUM(G79)</f>
        <v>0</v>
      </c>
      <c r="H78" s="90">
        <f>E78+F78-G78</f>
        <v>789619</v>
      </c>
      <c r="I78" s="90">
        <f>SUM(I79)</f>
        <v>25451</v>
      </c>
      <c r="J78" s="90">
        <f aca="true" t="shared" si="8" ref="J78:J126">SUM(H78:I78)</f>
        <v>815070</v>
      </c>
      <c r="K78" s="90">
        <f>SUM(K79)</f>
        <v>0</v>
      </c>
      <c r="L78" s="90">
        <f aca="true" t="shared" si="9" ref="L78:L125">SUM(J78:K78)</f>
        <v>815070</v>
      </c>
      <c r="M78" s="90">
        <f>SUM(M79)</f>
        <v>-25451</v>
      </c>
      <c r="N78" s="90">
        <f aca="true" t="shared" si="10" ref="N78:N125">SUM(L78:M78)</f>
        <v>789619</v>
      </c>
    </row>
    <row r="79" spans="1:14" s="30" customFormat="1" ht="25.5" customHeight="1">
      <c r="A79" s="91"/>
      <c r="B79" s="92"/>
      <c r="C79" s="93">
        <v>2920</v>
      </c>
      <c r="D79" s="97" t="s">
        <v>58</v>
      </c>
      <c r="E79" s="90">
        <v>789619</v>
      </c>
      <c r="F79" s="90"/>
      <c r="G79" s="90"/>
      <c r="H79" s="90">
        <f>E79+F79-G79</f>
        <v>789619</v>
      </c>
      <c r="I79" s="90">
        <v>25451</v>
      </c>
      <c r="J79" s="90">
        <f t="shared" si="8"/>
        <v>815070</v>
      </c>
      <c r="K79" s="90">
        <v>0</v>
      </c>
      <c r="L79" s="90">
        <f t="shared" si="9"/>
        <v>815070</v>
      </c>
      <c r="M79" s="90">
        <v>-25451</v>
      </c>
      <c r="N79" s="90">
        <f t="shared" si="10"/>
        <v>789619</v>
      </c>
    </row>
    <row r="80" spans="1:14" s="30" customFormat="1" ht="25.5" customHeight="1">
      <c r="A80" s="43" t="s">
        <v>122</v>
      </c>
      <c r="B80" s="44"/>
      <c r="C80" s="45"/>
      <c r="D80" s="46" t="s">
        <v>123</v>
      </c>
      <c r="E80" s="77">
        <f>SUM(E81,E86,E88,)</f>
        <v>56073</v>
      </c>
      <c r="F80" s="77">
        <f>SUM(F81,F86,F88,)</f>
        <v>0</v>
      </c>
      <c r="G80" s="77">
        <f>SUM(G81,G86,G88,)</f>
        <v>0</v>
      </c>
      <c r="H80" s="77">
        <f>SUM(H81,H86,H88,)</f>
        <v>56073</v>
      </c>
      <c r="I80" s="77">
        <f>SUM(I81,I86,I88,)</f>
        <v>1600</v>
      </c>
      <c r="J80" s="77">
        <f t="shared" si="8"/>
        <v>57673</v>
      </c>
      <c r="K80" s="77">
        <f>SUM(K81,K86,K88,)</f>
        <v>0</v>
      </c>
      <c r="L80" s="77">
        <f t="shared" si="9"/>
        <v>57673</v>
      </c>
      <c r="M80" s="77">
        <f>SUM(M81,M86,M88,)</f>
        <v>17495</v>
      </c>
      <c r="N80" s="77">
        <f t="shared" si="10"/>
        <v>75168</v>
      </c>
    </row>
    <row r="81" spans="1:14" s="30" customFormat="1" ht="25.5" customHeight="1">
      <c r="A81" s="86"/>
      <c r="B81" s="103" t="s">
        <v>124</v>
      </c>
      <c r="C81" s="107"/>
      <c r="D81" s="48" t="s">
        <v>60</v>
      </c>
      <c r="E81" s="90">
        <f>SUM(E82:E83)</f>
        <v>41675</v>
      </c>
      <c r="F81" s="90">
        <f>SUM(F82:F83)</f>
        <v>0</v>
      </c>
      <c r="G81" s="90">
        <f>SUM(G82:G83)</f>
        <v>0</v>
      </c>
      <c r="H81" s="90">
        <f>SUM(H82:H84)</f>
        <v>41675</v>
      </c>
      <c r="I81" s="90">
        <f>SUM(I82:I84)</f>
        <v>1000</v>
      </c>
      <c r="J81" s="90">
        <f t="shared" si="8"/>
        <v>42675</v>
      </c>
      <c r="K81" s="90">
        <f>SUM(K82:K84)</f>
        <v>0</v>
      </c>
      <c r="L81" s="90">
        <f>SUM(L82:L85)</f>
        <v>42675</v>
      </c>
      <c r="M81" s="90">
        <f>SUM(M82:M85)</f>
        <v>11277</v>
      </c>
      <c r="N81" s="90">
        <f>SUM(N82:N85)</f>
        <v>53952</v>
      </c>
    </row>
    <row r="82" spans="1:14" s="30" customFormat="1" ht="90">
      <c r="A82" s="103"/>
      <c r="B82" s="86"/>
      <c r="C82" s="104" t="s">
        <v>186</v>
      </c>
      <c r="D82" s="48" t="s">
        <v>65</v>
      </c>
      <c r="E82" s="90">
        <v>38735</v>
      </c>
      <c r="F82" s="90"/>
      <c r="G82" s="90"/>
      <c r="H82" s="90">
        <f>E82+F82-G82</f>
        <v>38735</v>
      </c>
      <c r="I82" s="90">
        <v>0</v>
      </c>
      <c r="J82" s="90">
        <f t="shared" si="8"/>
        <v>38735</v>
      </c>
      <c r="K82" s="90">
        <v>0</v>
      </c>
      <c r="L82" s="90">
        <f t="shared" si="9"/>
        <v>38735</v>
      </c>
      <c r="M82" s="90">
        <v>0</v>
      </c>
      <c r="N82" s="90">
        <f t="shared" si="10"/>
        <v>38735</v>
      </c>
    </row>
    <row r="83" spans="1:14" s="30" customFormat="1" ht="67.5">
      <c r="A83" s="103"/>
      <c r="B83" s="86"/>
      <c r="C83" s="162">
        <v>2310</v>
      </c>
      <c r="D83" s="48" t="s">
        <v>299</v>
      </c>
      <c r="E83" s="90">
        <v>2940</v>
      </c>
      <c r="F83" s="90"/>
      <c r="G83" s="90"/>
      <c r="H83" s="90">
        <f>E83+F83-G83</f>
        <v>2940</v>
      </c>
      <c r="I83" s="90">
        <v>0</v>
      </c>
      <c r="J83" s="90">
        <f t="shared" si="8"/>
        <v>2940</v>
      </c>
      <c r="K83" s="90">
        <v>0</v>
      </c>
      <c r="L83" s="90">
        <f t="shared" si="9"/>
        <v>2940</v>
      </c>
      <c r="M83" s="90">
        <v>0</v>
      </c>
      <c r="N83" s="90">
        <f t="shared" si="10"/>
        <v>2940</v>
      </c>
    </row>
    <row r="84" spans="1:14" s="30" customFormat="1" ht="56.25">
      <c r="A84" s="103"/>
      <c r="B84" s="86"/>
      <c r="C84" s="162">
        <v>2320</v>
      </c>
      <c r="D84" s="97" t="s">
        <v>266</v>
      </c>
      <c r="E84" s="90"/>
      <c r="F84" s="90"/>
      <c r="G84" s="90"/>
      <c r="H84" s="90">
        <v>0</v>
      </c>
      <c r="I84" s="90">
        <f>300+300+200+200</f>
        <v>1000</v>
      </c>
      <c r="J84" s="90">
        <f t="shared" si="8"/>
        <v>1000</v>
      </c>
      <c r="K84" s="90"/>
      <c r="L84" s="90">
        <f t="shared" si="9"/>
        <v>1000</v>
      </c>
      <c r="M84" s="90">
        <v>0</v>
      </c>
      <c r="N84" s="90">
        <f t="shared" si="10"/>
        <v>1000</v>
      </c>
    </row>
    <row r="85" spans="1:14" s="30" customFormat="1" ht="33.75">
      <c r="A85" s="103"/>
      <c r="B85" s="86"/>
      <c r="C85" s="162">
        <v>2400</v>
      </c>
      <c r="D85" s="97" t="s">
        <v>519</v>
      </c>
      <c r="E85" s="90"/>
      <c r="F85" s="90"/>
      <c r="G85" s="90"/>
      <c r="H85" s="90"/>
      <c r="I85" s="90"/>
      <c r="J85" s="90"/>
      <c r="K85" s="90"/>
      <c r="L85" s="90">
        <v>0</v>
      </c>
      <c r="M85" s="90">
        <v>11277</v>
      </c>
      <c r="N85" s="90">
        <f t="shared" si="10"/>
        <v>11277</v>
      </c>
    </row>
    <row r="86" spans="1:14" s="30" customFormat="1" ht="25.5" customHeight="1">
      <c r="A86" s="91"/>
      <c r="B86" s="92">
        <v>80104</v>
      </c>
      <c r="C86" s="93"/>
      <c r="D86" s="48" t="s">
        <v>137</v>
      </c>
      <c r="E86" s="90">
        <f>SUM(E87)</f>
        <v>6569</v>
      </c>
      <c r="F86" s="90">
        <f>SUM(F87)</f>
        <v>0</v>
      </c>
      <c r="G86" s="90">
        <f>SUM(G87)</f>
        <v>0</v>
      </c>
      <c r="H86" s="90">
        <f>E86+F86-G86</f>
        <v>6569</v>
      </c>
      <c r="I86" s="90">
        <f>SUM(I87)</f>
        <v>0</v>
      </c>
      <c r="J86" s="90">
        <f t="shared" si="8"/>
        <v>6569</v>
      </c>
      <c r="K86" s="90">
        <f>SUM(K87)</f>
        <v>0</v>
      </c>
      <c r="L86" s="90">
        <f t="shared" si="9"/>
        <v>6569</v>
      </c>
      <c r="M86" s="90">
        <f>SUM(M87)</f>
        <v>0</v>
      </c>
      <c r="N86" s="90">
        <f t="shared" si="10"/>
        <v>6569</v>
      </c>
    </row>
    <row r="87" spans="1:14" s="30" customFormat="1" ht="90">
      <c r="A87" s="91"/>
      <c r="B87" s="92"/>
      <c r="C87" s="93" t="s">
        <v>186</v>
      </c>
      <c r="D87" s="48" t="s">
        <v>65</v>
      </c>
      <c r="E87" s="90">
        <v>6569</v>
      </c>
      <c r="F87" s="90"/>
      <c r="G87" s="90"/>
      <c r="H87" s="90">
        <f>E87+F87-G87</f>
        <v>6569</v>
      </c>
      <c r="I87" s="90">
        <v>0</v>
      </c>
      <c r="J87" s="90">
        <f t="shared" si="8"/>
        <v>6569</v>
      </c>
      <c r="K87" s="90">
        <v>0</v>
      </c>
      <c r="L87" s="90">
        <f t="shared" si="9"/>
        <v>6569</v>
      </c>
      <c r="M87" s="90">
        <v>0</v>
      </c>
      <c r="N87" s="90">
        <f t="shared" si="10"/>
        <v>6569</v>
      </c>
    </row>
    <row r="88" spans="1:14" s="30" customFormat="1" ht="25.5" customHeight="1">
      <c r="A88" s="91"/>
      <c r="B88" s="92">
        <v>80110</v>
      </c>
      <c r="C88" s="93"/>
      <c r="D88" s="48" t="s">
        <v>61</v>
      </c>
      <c r="E88" s="90">
        <f>SUM(E89)</f>
        <v>7829</v>
      </c>
      <c r="F88" s="90">
        <f>SUM(F89)</f>
        <v>0</v>
      </c>
      <c r="G88" s="90">
        <f>SUM(G89)</f>
        <v>0</v>
      </c>
      <c r="H88" s="90">
        <f>SUM(H89:H90)</f>
        <v>7829</v>
      </c>
      <c r="I88" s="90">
        <f>SUM(I89:I90)</f>
        <v>600</v>
      </c>
      <c r="J88" s="90">
        <f t="shared" si="8"/>
        <v>8429</v>
      </c>
      <c r="K88" s="90">
        <f>SUM(K89:K90)</f>
        <v>0</v>
      </c>
      <c r="L88" s="90">
        <f>SUM(L89:L91)</f>
        <v>8429</v>
      </c>
      <c r="M88" s="90">
        <f>SUM(M89:M91)</f>
        <v>6218</v>
      </c>
      <c r="N88" s="90">
        <f>SUM(N89:N91)</f>
        <v>14647</v>
      </c>
    </row>
    <row r="89" spans="1:14" s="30" customFormat="1" ht="90">
      <c r="A89" s="91"/>
      <c r="B89" s="92"/>
      <c r="C89" s="93" t="s">
        <v>186</v>
      </c>
      <c r="D89" s="48" t="s">
        <v>65</v>
      </c>
      <c r="E89" s="90">
        <v>7829</v>
      </c>
      <c r="F89" s="90"/>
      <c r="G89" s="90"/>
      <c r="H89" s="90">
        <f>E89+F89-G89</f>
        <v>7829</v>
      </c>
      <c r="I89" s="90">
        <v>0</v>
      </c>
      <c r="J89" s="90">
        <f t="shared" si="8"/>
        <v>7829</v>
      </c>
      <c r="K89" s="90">
        <v>0</v>
      </c>
      <c r="L89" s="90">
        <f t="shared" si="9"/>
        <v>7829</v>
      </c>
      <c r="M89" s="90">
        <v>0</v>
      </c>
      <c r="N89" s="90">
        <f t="shared" si="10"/>
        <v>7829</v>
      </c>
    </row>
    <row r="90" spans="1:14" s="30" customFormat="1" ht="56.25">
      <c r="A90" s="91"/>
      <c r="B90" s="92"/>
      <c r="C90" s="93">
        <v>2320</v>
      </c>
      <c r="D90" s="97" t="s">
        <v>266</v>
      </c>
      <c r="E90" s="90"/>
      <c r="F90" s="90"/>
      <c r="G90" s="90"/>
      <c r="H90" s="90">
        <v>0</v>
      </c>
      <c r="I90" s="90">
        <f>300+300</f>
        <v>600</v>
      </c>
      <c r="J90" s="90">
        <f t="shared" si="8"/>
        <v>600</v>
      </c>
      <c r="K90" s="90"/>
      <c r="L90" s="90">
        <f t="shared" si="9"/>
        <v>600</v>
      </c>
      <c r="M90" s="90">
        <v>0</v>
      </c>
      <c r="N90" s="90">
        <f t="shared" si="10"/>
        <v>600</v>
      </c>
    </row>
    <row r="91" spans="1:14" s="30" customFormat="1" ht="33.75">
      <c r="A91" s="91"/>
      <c r="B91" s="92"/>
      <c r="C91" s="93">
        <v>2400</v>
      </c>
      <c r="D91" s="97" t="s">
        <v>519</v>
      </c>
      <c r="E91" s="90"/>
      <c r="F91" s="90"/>
      <c r="G91" s="90"/>
      <c r="H91" s="90"/>
      <c r="I91" s="90"/>
      <c r="J91" s="90"/>
      <c r="K91" s="90"/>
      <c r="L91" s="90">
        <v>0</v>
      </c>
      <c r="M91" s="90">
        <v>6218</v>
      </c>
      <c r="N91" s="90">
        <f t="shared" si="10"/>
        <v>6218</v>
      </c>
    </row>
    <row r="92" spans="1:14" s="8" customFormat="1" ht="24.75" customHeight="1">
      <c r="A92" s="37" t="s">
        <v>179</v>
      </c>
      <c r="B92" s="4"/>
      <c r="C92" s="5"/>
      <c r="D92" s="38" t="s">
        <v>221</v>
      </c>
      <c r="E92" s="77">
        <f>SUM(E95,E99,E101,E104,E108,)</f>
        <v>9752400</v>
      </c>
      <c r="F92" s="77">
        <f>SUM(F95,F99,F101,F104,F108,)</f>
        <v>0</v>
      </c>
      <c r="G92" s="77">
        <f>SUM(G95,G99,G101,G104,G108,)</f>
        <v>0</v>
      </c>
      <c r="H92" s="77">
        <f aca="true" t="shared" si="11" ref="H92:H115">E92+F92-G92</f>
        <v>9752400</v>
      </c>
      <c r="I92" s="77">
        <f>SUM(I95,I99,I101,I104,I108,)</f>
        <v>-22000</v>
      </c>
      <c r="J92" s="77">
        <f t="shared" si="8"/>
        <v>9730400</v>
      </c>
      <c r="K92" s="77">
        <f>SUM(K95,K99,K101,K104,K108,)</f>
        <v>0</v>
      </c>
      <c r="L92" s="77">
        <f t="shared" si="9"/>
        <v>9730400</v>
      </c>
      <c r="M92" s="77">
        <f>SUM(M95,M99,M101,M104,M108,)</f>
        <v>0</v>
      </c>
      <c r="N92" s="77">
        <f t="shared" si="10"/>
        <v>9730400</v>
      </c>
    </row>
    <row r="93" spans="1:14" s="30" customFormat="1" ht="45" hidden="1">
      <c r="A93" s="91"/>
      <c r="B93" s="64">
        <v>85212</v>
      </c>
      <c r="C93" s="99"/>
      <c r="D93" s="97" t="s">
        <v>242</v>
      </c>
      <c r="E93" s="90">
        <f>SUM(E94)</f>
        <v>5507000</v>
      </c>
      <c r="F93" s="90">
        <f>SUM(F94)</f>
        <v>5507000</v>
      </c>
      <c r="G93" s="90">
        <f>SUM(G94)</f>
        <v>5507000</v>
      </c>
      <c r="H93" s="90">
        <f t="shared" si="11"/>
        <v>5507000</v>
      </c>
      <c r="I93" s="90">
        <f>SUM(I94)</f>
        <v>5507000</v>
      </c>
      <c r="J93" s="225">
        <f t="shared" si="8"/>
        <v>11014000</v>
      </c>
      <c r="K93" s="90">
        <f>SUM(K94)</f>
        <v>5507000</v>
      </c>
      <c r="L93" s="225">
        <f t="shared" si="9"/>
        <v>16521000</v>
      </c>
      <c r="M93" s="90">
        <f>SUM(M94)</f>
        <v>5507000</v>
      </c>
      <c r="N93" s="225">
        <f t="shared" si="10"/>
        <v>22028000</v>
      </c>
    </row>
    <row r="94" spans="1:14" s="30" customFormat="1" ht="67.5" hidden="1">
      <c r="A94" s="91"/>
      <c r="B94" s="64"/>
      <c r="C94" s="99">
        <v>2010</v>
      </c>
      <c r="D94" s="97" t="s">
        <v>264</v>
      </c>
      <c r="E94" s="90">
        <v>5507000</v>
      </c>
      <c r="F94" s="90">
        <v>5507000</v>
      </c>
      <c r="G94" s="90">
        <v>5507000</v>
      </c>
      <c r="H94" s="90">
        <f t="shared" si="11"/>
        <v>5507000</v>
      </c>
      <c r="I94" s="90">
        <v>5507000</v>
      </c>
      <c r="J94" s="225">
        <f t="shared" si="8"/>
        <v>11014000</v>
      </c>
      <c r="K94" s="90">
        <v>5507000</v>
      </c>
      <c r="L94" s="225">
        <f t="shared" si="9"/>
        <v>16521000</v>
      </c>
      <c r="M94" s="90">
        <v>5507000</v>
      </c>
      <c r="N94" s="225">
        <f t="shared" si="10"/>
        <v>22028000</v>
      </c>
    </row>
    <row r="95" spans="1:14" s="30" customFormat="1" ht="56.25">
      <c r="A95" s="91"/>
      <c r="B95" s="64">
        <v>85212</v>
      </c>
      <c r="C95" s="99"/>
      <c r="D95" s="97" t="s">
        <v>281</v>
      </c>
      <c r="E95" s="90">
        <f>SUM(E96:E97)</f>
        <v>7819800</v>
      </c>
      <c r="F95" s="90">
        <f>SUM(F96:F97)</f>
        <v>0</v>
      </c>
      <c r="G95" s="90">
        <f>SUM(G96:G97)</f>
        <v>0</v>
      </c>
      <c r="H95" s="90">
        <f t="shared" si="11"/>
        <v>7819800</v>
      </c>
      <c r="I95" s="90">
        <f>SUM(I96:I97)</f>
        <v>7900</v>
      </c>
      <c r="J95" s="90">
        <f t="shared" si="8"/>
        <v>7827700</v>
      </c>
      <c r="K95" s="90">
        <f>SUM(K96:K97)</f>
        <v>0</v>
      </c>
      <c r="L95" s="90">
        <f>SUM(L96:L98)</f>
        <v>7827700</v>
      </c>
      <c r="M95" s="90">
        <f>SUM(M96:M98)</f>
        <v>0</v>
      </c>
      <c r="N95" s="90">
        <f>SUM(N96:N98)</f>
        <v>7827700</v>
      </c>
    </row>
    <row r="96" spans="1:14" s="30" customFormat="1" ht="24" customHeight="1">
      <c r="A96" s="91"/>
      <c r="B96" s="64"/>
      <c r="C96" s="99" t="s">
        <v>188</v>
      </c>
      <c r="D96" s="97" t="s">
        <v>15</v>
      </c>
      <c r="E96" s="90">
        <v>15000</v>
      </c>
      <c r="F96" s="90"/>
      <c r="G96" s="90"/>
      <c r="H96" s="90">
        <f t="shared" si="11"/>
        <v>15000</v>
      </c>
      <c r="I96" s="90">
        <v>0</v>
      </c>
      <c r="J96" s="90">
        <f t="shared" si="8"/>
        <v>15000</v>
      </c>
      <c r="K96" s="90">
        <v>0</v>
      </c>
      <c r="L96" s="90">
        <f t="shared" si="9"/>
        <v>15000</v>
      </c>
      <c r="M96" s="90">
        <v>-15000</v>
      </c>
      <c r="N96" s="90">
        <f t="shared" si="10"/>
        <v>0</v>
      </c>
    </row>
    <row r="97" spans="1:14" s="30" customFormat="1" ht="67.5">
      <c r="A97" s="91"/>
      <c r="B97" s="64"/>
      <c r="C97" s="99">
        <v>2010</v>
      </c>
      <c r="D97" s="97" t="s">
        <v>264</v>
      </c>
      <c r="E97" s="90">
        <v>7804800</v>
      </c>
      <c r="F97" s="90"/>
      <c r="G97" s="90"/>
      <c r="H97" s="90">
        <f t="shared" si="11"/>
        <v>7804800</v>
      </c>
      <c r="I97" s="90">
        <v>7900</v>
      </c>
      <c r="J97" s="90">
        <f t="shared" si="8"/>
        <v>7812700</v>
      </c>
      <c r="K97" s="90"/>
      <c r="L97" s="90">
        <f t="shared" si="9"/>
        <v>7812700</v>
      </c>
      <c r="M97" s="90"/>
      <c r="N97" s="90">
        <f t="shared" si="10"/>
        <v>7812700</v>
      </c>
    </row>
    <row r="98" spans="1:14" s="30" customFormat="1" ht="67.5">
      <c r="A98" s="91"/>
      <c r="B98" s="64"/>
      <c r="C98" s="99">
        <v>2360</v>
      </c>
      <c r="D98" s="97" t="s">
        <v>215</v>
      </c>
      <c r="E98" s="90"/>
      <c r="F98" s="90"/>
      <c r="G98" s="90"/>
      <c r="H98" s="90"/>
      <c r="I98" s="90"/>
      <c r="J98" s="90"/>
      <c r="K98" s="90"/>
      <c r="L98" s="90">
        <v>0</v>
      </c>
      <c r="M98" s="90">
        <v>15000</v>
      </c>
      <c r="N98" s="90">
        <f t="shared" si="10"/>
        <v>15000</v>
      </c>
    </row>
    <row r="99" spans="1:14" s="30" customFormat="1" ht="67.5">
      <c r="A99" s="91"/>
      <c r="B99" s="64">
        <v>85213</v>
      </c>
      <c r="C99" s="100"/>
      <c r="D99" s="97" t="s">
        <v>247</v>
      </c>
      <c r="E99" s="90">
        <f>SUM(E100)</f>
        <v>99900</v>
      </c>
      <c r="F99" s="90">
        <f>SUM(F100)</f>
        <v>0</v>
      </c>
      <c r="G99" s="90">
        <f>SUM(G100)</f>
        <v>0</v>
      </c>
      <c r="H99" s="90">
        <f t="shared" si="11"/>
        <v>99900</v>
      </c>
      <c r="I99" s="90">
        <f>SUM(I100)</f>
        <v>-21500</v>
      </c>
      <c r="J99" s="90">
        <f t="shared" si="8"/>
        <v>78400</v>
      </c>
      <c r="K99" s="90">
        <f>SUM(K100)</f>
        <v>0</v>
      </c>
      <c r="L99" s="90">
        <f t="shared" si="9"/>
        <v>78400</v>
      </c>
      <c r="M99" s="90">
        <f>SUM(M100)</f>
        <v>0</v>
      </c>
      <c r="N99" s="90">
        <f t="shared" si="10"/>
        <v>78400</v>
      </c>
    </row>
    <row r="100" spans="1:14" s="30" customFormat="1" ht="67.5">
      <c r="A100" s="91"/>
      <c r="B100" s="64"/>
      <c r="C100" s="100">
        <v>2010</v>
      </c>
      <c r="D100" s="97" t="s">
        <v>264</v>
      </c>
      <c r="E100" s="90">
        <v>99900</v>
      </c>
      <c r="F100" s="90"/>
      <c r="G100" s="90"/>
      <c r="H100" s="90">
        <f t="shared" si="11"/>
        <v>99900</v>
      </c>
      <c r="I100" s="90">
        <v>-21500</v>
      </c>
      <c r="J100" s="90">
        <f t="shared" si="8"/>
        <v>78400</v>
      </c>
      <c r="K100" s="90"/>
      <c r="L100" s="90">
        <f t="shared" si="9"/>
        <v>78400</v>
      </c>
      <c r="M100" s="90">
        <v>0</v>
      </c>
      <c r="N100" s="90">
        <f t="shared" si="10"/>
        <v>78400</v>
      </c>
    </row>
    <row r="101" spans="1:14" s="30" customFormat="1" ht="33.75">
      <c r="A101" s="91"/>
      <c r="B101" s="92" t="s">
        <v>180</v>
      </c>
      <c r="C101" s="100"/>
      <c r="D101" s="97" t="s">
        <v>66</v>
      </c>
      <c r="E101" s="90">
        <f>SUM(E102:E103)</f>
        <v>1011100</v>
      </c>
      <c r="F101" s="90">
        <f>SUM(F102:F103)</f>
        <v>0</v>
      </c>
      <c r="G101" s="90">
        <f>SUM(G102:G103)</f>
        <v>0</v>
      </c>
      <c r="H101" s="90">
        <f t="shared" si="11"/>
        <v>1011100</v>
      </c>
      <c r="I101" s="90">
        <f>SUM(I102:I103)</f>
        <v>-8400</v>
      </c>
      <c r="J101" s="90">
        <f t="shared" si="8"/>
        <v>1002700</v>
      </c>
      <c r="K101" s="90">
        <f>SUM(K102:K103)</f>
        <v>0</v>
      </c>
      <c r="L101" s="90">
        <f t="shared" si="9"/>
        <v>1002700</v>
      </c>
      <c r="M101" s="90">
        <f>SUM(M102:M103)</f>
        <v>0</v>
      </c>
      <c r="N101" s="90">
        <f t="shared" si="10"/>
        <v>1002700</v>
      </c>
    </row>
    <row r="102" spans="1:14" s="30" customFormat="1" ht="67.5">
      <c r="A102" s="91"/>
      <c r="B102" s="92"/>
      <c r="C102" s="93">
        <v>2010</v>
      </c>
      <c r="D102" s="97" t="s">
        <v>264</v>
      </c>
      <c r="E102" s="90">
        <v>439200</v>
      </c>
      <c r="F102" s="90"/>
      <c r="G102" s="90"/>
      <c r="H102" s="90">
        <f t="shared" si="11"/>
        <v>439200</v>
      </c>
      <c r="I102" s="90">
        <v>-2200</v>
      </c>
      <c r="J102" s="90">
        <f t="shared" si="8"/>
        <v>437000</v>
      </c>
      <c r="K102" s="90"/>
      <c r="L102" s="90">
        <f t="shared" si="9"/>
        <v>437000</v>
      </c>
      <c r="M102" s="90">
        <v>0</v>
      </c>
      <c r="N102" s="90">
        <f t="shared" si="10"/>
        <v>437000</v>
      </c>
    </row>
    <row r="103" spans="1:14" s="30" customFormat="1" ht="45">
      <c r="A103" s="91"/>
      <c r="B103" s="92"/>
      <c r="C103" s="93">
        <v>2030</v>
      </c>
      <c r="D103" s="97" t="s">
        <v>265</v>
      </c>
      <c r="E103" s="90">
        <v>571900</v>
      </c>
      <c r="F103" s="90"/>
      <c r="G103" s="90"/>
      <c r="H103" s="90">
        <f t="shared" si="11"/>
        <v>571900</v>
      </c>
      <c r="I103" s="90">
        <v>-6200</v>
      </c>
      <c r="J103" s="90">
        <f t="shared" si="8"/>
        <v>565700</v>
      </c>
      <c r="K103" s="90"/>
      <c r="L103" s="90">
        <f t="shared" si="9"/>
        <v>565700</v>
      </c>
      <c r="M103" s="90">
        <v>0</v>
      </c>
      <c r="N103" s="90">
        <f t="shared" si="10"/>
        <v>565700</v>
      </c>
    </row>
    <row r="104" spans="1:14" s="30" customFormat="1" ht="24.75" customHeight="1">
      <c r="A104" s="91"/>
      <c r="B104" s="92" t="s">
        <v>181</v>
      </c>
      <c r="C104" s="100"/>
      <c r="D104" s="97" t="s">
        <v>68</v>
      </c>
      <c r="E104" s="90">
        <f>SUM(E105:E107)</f>
        <v>493400</v>
      </c>
      <c r="F104" s="90">
        <f>SUM(F105:F107)</f>
        <v>0</v>
      </c>
      <c r="G104" s="90">
        <f>SUM(G105:G107)</f>
        <v>0</v>
      </c>
      <c r="H104" s="90">
        <f t="shared" si="11"/>
        <v>493400</v>
      </c>
      <c r="I104" s="90">
        <f>SUM(I105:I107)</f>
        <v>0</v>
      </c>
      <c r="J104" s="90">
        <f t="shared" si="8"/>
        <v>493400</v>
      </c>
      <c r="K104" s="90">
        <f>SUM(K105:K107)</f>
        <v>0</v>
      </c>
      <c r="L104" s="90">
        <f t="shared" si="9"/>
        <v>493400</v>
      </c>
      <c r="M104" s="90">
        <f>SUM(M105:M107)</f>
        <v>0</v>
      </c>
      <c r="N104" s="90">
        <f t="shared" si="10"/>
        <v>493400</v>
      </c>
    </row>
    <row r="105" spans="1:14" s="30" customFormat="1" ht="90">
      <c r="A105" s="91"/>
      <c r="B105" s="92"/>
      <c r="C105" s="99" t="s">
        <v>186</v>
      </c>
      <c r="D105" s="97" t="s">
        <v>65</v>
      </c>
      <c r="E105" s="90">
        <v>2000</v>
      </c>
      <c r="F105" s="90"/>
      <c r="G105" s="90"/>
      <c r="H105" s="90">
        <f t="shared" si="11"/>
        <v>2000</v>
      </c>
      <c r="I105" s="90">
        <v>0</v>
      </c>
      <c r="J105" s="90">
        <f t="shared" si="8"/>
        <v>2000</v>
      </c>
      <c r="K105" s="90">
        <v>0</v>
      </c>
      <c r="L105" s="90">
        <f t="shared" si="9"/>
        <v>2000</v>
      </c>
      <c r="M105" s="90">
        <v>0</v>
      </c>
      <c r="N105" s="90">
        <f t="shared" si="10"/>
        <v>2000</v>
      </c>
    </row>
    <row r="106" spans="1:14" s="30" customFormat="1" ht="22.5" customHeight="1">
      <c r="A106" s="91"/>
      <c r="B106" s="92"/>
      <c r="C106" s="99" t="s">
        <v>230</v>
      </c>
      <c r="D106" s="97" t="s">
        <v>231</v>
      </c>
      <c r="E106" s="90">
        <v>153000</v>
      </c>
      <c r="F106" s="90"/>
      <c r="G106" s="90"/>
      <c r="H106" s="90">
        <f t="shared" si="11"/>
        <v>153000</v>
      </c>
      <c r="I106" s="90">
        <v>0</v>
      </c>
      <c r="J106" s="90">
        <f t="shared" si="8"/>
        <v>153000</v>
      </c>
      <c r="K106" s="90">
        <v>0</v>
      </c>
      <c r="L106" s="90">
        <f t="shared" si="9"/>
        <v>153000</v>
      </c>
      <c r="M106" s="90">
        <v>0</v>
      </c>
      <c r="N106" s="90">
        <f t="shared" si="10"/>
        <v>153000</v>
      </c>
    </row>
    <row r="107" spans="1:14" s="30" customFormat="1" ht="45">
      <c r="A107" s="91"/>
      <c r="B107" s="92"/>
      <c r="C107" s="93">
        <v>2030</v>
      </c>
      <c r="D107" s="97" t="s">
        <v>265</v>
      </c>
      <c r="E107" s="90">
        <v>338400</v>
      </c>
      <c r="F107" s="90"/>
      <c r="G107" s="90"/>
      <c r="H107" s="90">
        <f t="shared" si="11"/>
        <v>338400</v>
      </c>
      <c r="I107" s="90">
        <v>0</v>
      </c>
      <c r="J107" s="90">
        <f t="shared" si="8"/>
        <v>338400</v>
      </c>
      <c r="K107" s="90">
        <v>0</v>
      </c>
      <c r="L107" s="90">
        <f t="shared" si="9"/>
        <v>338400</v>
      </c>
      <c r="M107" s="90">
        <v>0</v>
      </c>
      <c r="N107" s="90">
        <f t="shared" si="10"/>
        <v>338400</v>
      </c>
    </row>
    <row r="108" spans="1:14" s="30" customFormat="1" ht="24" customHeight="1">
      <c r="A108" s="91"/>
      <c r="B108" s="92">
        <v>85295</v>
      </c>
      <c r="C108" s="93"/>
      <c r="D108" s="97" t="s">
        <v>249</v>
      </c>
      <c r="E108" s="90">
        <f>SUM(E109)</f>
        <v>328200</v>
      </c>
      <c r="F108" s="90">
        <f>SUM(F109)</f>
        <v>0</v>
      </c>
      <c r="G108" s="90">
        <f>SUM(G109)</f>
        <v>0</v>
      </c>
      <c r="H108" s="90">
        <f t="shared" si="11"/>
        <v>328200</v>
      </c>
      <c r="I108" s="90">
        <f>SUM(I109)</f>
        <v>0</v>
      </c>
      <c r="J108" s="90">
        <f t="shared" si="8"/>
        <v>328200</v>
      </c>
      <c r="K108" s="90">
        <f>SUM(K109)</f>
        <v>0</v>
      </c>
      <c r="L108" s="90">
        <f t="shared" si="9"/>
        <v>328200</v>
      </c>
      <c r="M108" s="90">
        <f>SUM(M109)</f>
        <v>0</v>
      </c>
      <c r="N108" s="90">
        <f t="shared" si="10"/>
        <v>328200</v>
      </c>
    </row>
    <row r="109" spans="1:14" s="30" customFormat="1" ht="45">
      <c r="A109" s="91"/>
      <c r="B109" s="92"/>
      <c r="C109" s="93">
        <v>2030</v>
      </c>
      <c r="D109" s="97" t="s">
        <v>265</v>
      </c>
      <c r="E109" s="90">
        <v>328200</v>
      </c>
      <c r="F109" s="90"/>
      <c r="G109" s="90"/>
      <c r="H109" s="90">
        <f t="shared" si="11"/>
        <v>328200</v>
      </c>
      <c r="I109" s="90">
        <v>0</v>
      </c>
      <c r="J109" s="90">
        <f t="shared" si="8"/>
        <v>328200</v>
      </c>
      <c r="K109" s="90">
        <v>0</v>
      </c>
      <c r="L109" s="90">
        <f t="shared" si="9"/>
        <v>328200</v>
      </c>
      <c r="M109" s="90">
        <v>0</v>
      </c>
      <c r="N109" s="90">
        <f t="shared" si="10"/>
        <v>328200</v>
      </c>
    </row>
    <row r="110" spans="1:14" s="51" customFormat="1" ht="24">
      <c r="A110" s="37">
        <v>854</v>
      </c>
      <c r="B110" s="40"/>
      <c r="C110" s="41"/>
      <c r="D110" s="38" t="s">
        <v>69</v>
      </c>
      <c r="E110" s="77"/>
      <c r="F110" s="77"/>
      <c r="G110" s="77"/>
      <c r="H110" s="77"/>
      <c r="I110" s="77"/>
      <c r="J110" s="77"/>
      <c r="K110" s="77"/>
      <c r="L110" s="77">
        <f aca="true" t="shared" si="12" ref="L110:N111">SUM(L111)</f>
        <v>0</v>
      </c>
      <c r="M110" s="77">
        <f t="shared" si="12"/>
        <v>252197</v>
      </c>
      <c r="N110" s="77">
        <f t="shared" si="12"/>
        <v>252197</v>
      </c>
    </row>
    <row r="111" spans="1:14" s="30" customFormat="1" ht="20.25" customHeight="1">
      <c r="A111" s="91"/>
      <c r="B111" s="92">
        <v>85415</v>
      </c>
      <c r="C111" s="93"/>
      <c r="D111" s="97" t="s">
        <v>541</v>
      </c>
      <c r="E111" s="90"/>
      <c r="F111" s="90"/>
      <c r="G111" s="90"/>
      <c r="H111" s="90"/>
      <c r="I111" s="90"/>
      <c r="J111" s="90"/>
      <c r="K111" s="90"/>
      <c r="L111" s="90">
        <f t="shared" si="12"/>
        <v>0</v>
      </c>
      <c r="M111" s="90">
        <f t="shared" si="12"/>
        <v>252197</v>
      </c>
      <c r="N111" s="90">
        <f t="shared" si="12"/>
        <v>252197</v>
      </c>
    </row>
    <row r="112" spans="1:14" s="30" customFormat="1" ht="54" customHeight="1">
      <c r="A112" s="91"/>
      <c r="B112" s="92"/>
      <c r="C112" s="93">
        <v>2030</v>
      </c>
      <c r="D112" s="97" t="s">
        <v>265</v>
      </c>
      <c r="E112" s="90"/>
      <c r="F112" s="90"/>
      <c r="G112" s="90"/>
      <c r="H112" s="90"/>
      <c r="I112" s="90"/>
      <c r="J112" s="90"/>
      <c r="K112" s="90"/>
      <c r="L112" s="90">
        <v>0</v>
      </c>
      <c r="M112" s="90">
        <v>252197</v>
      </c>
      <c r="N112" s="90">
        <f>SUM(L112:M112)</f>
        <v>252197</v>
      </c>
    </row>
    <row r="113" spans="1:14" s="9" customFormat="1" ht="24.75" customHeight="1">
      <c r="A113" s="37">
        <v>900</v>
      </c>
      <c r="B113" s="40"/>
      <c r="C113" s="41"/>
      <c r="D113" s="38" t="s">
        <v>71</v>
      </c>
      <c r="E113" s="77">
        <f aca="true" t="shared" si="13" ref="E113:G114">SUM(E114)</f>
        <v>6000</v>
      </c>
      <c r="F113" s="77">
        <f t="shared" si="13"/>
        <v>0</v>
      </c>
      <c r="G113" s="77">
        <f t="shared" si="13"/>
        <v>0</v>
      </c>
      <c r="H113" s="77">
        <f t="shared" si="11"/>
        <v>6000</v>
      </c>
      <c r="I113" s="77">
        <f>SUM(I114)</f>
        <v>0</v>
      </c>
      <c r="J113" s="77">
        <f t="shared" si="8"/>
        <v>6000</v>
      </c>
      <c r="K113" s="77">
        <f>SUM(K114)</f>
        <v>0</v>
      </c>
      <c r="L113" s="77">
        <f>SUM(L114)</f>
        <v>6000</v>
      </c>
      <c r="M113" s="77">
        <f>SUM(M114)</f>
        <v>0</v>
      </c>
      <c r="N113" s="77">
        <f>SUM(N114)</f>
        <v>6000</v>
      </c>
    </row>
    <row r="114" spans="1:14" s="30" customFormat="1" ht="21.75" customHeight="1">
      <c r="A114" s="91"/>
      <c r="B114" s="92">
        <v>90095</v>
      </c>
      <c r="C114" s="93"/>
      <c r="D114" s="97" t="s">
        <v>6</v>
      </c>
      <c r="E114" s="90">
        <f t="shared" si="13"/>
        <v>6000</v>
      </c>
      <c r="F114" s="90">
        <f t="shared" si="13"/>
        <v>0</v>
      </c>
      <c r="G114" s="90">
        <f t="shared" si="13"/>
        <v>0</v>
      </c>
      <c r="H114" s="90">
        <f t="shared" si="11"/>
        <v>6000</v>
      </c>
      <c r="I114" s="90">
        <f>SUM(I115)</f>
        <v>0</v>
      </c>
      <c r="J114" s="90">
        <f t="shared" si="8"/>
        <v>6000</v>
      </c>
      <c r="K114" s="90">
        <f>SUM(K115)</f>
        <v>0</v>
      </c>
      <c r="L114" s="90">
        <f>SUM(L115:L115)</f>
        <v>6000</v>
      </c>
      <c r="M114" s="90">
        <f>SUM(M115:M115)</f>
        <v>0</v>
      </c>
      <c r="N114" s="90">
        <f>SUM(N115:N115)</f>
        <v>6000</v>
      </c>
    </row>
    <row r="115" spans="1:14" s="30" customFormat="1" ht="23.25" customHeight="1">
      <c r="A115" s="91"/>
      <c r="B115" s="92"/>
      <c r="C115" s="93" t="s">
        <v>206</v>
      </c>
      <c r="D115" s="97" t="s">
        <v>507</v>
      </c>
      <c r="E115" s="90">
        <v>6000</v>
      </c>
      <c r="F115" s="90"/>
      <c r="G115" s="90"/>
      <c r="H115" s="90">
        <f t="shared" si="11"/>
        <v>6000</v>
      </c>
      <c r="I115" s="90">
        <v>0</v>
      </c>
      <c r="J115" s="90">
        <f t="shared" si="8"/>
        <v>6000</v>
      </c>
      <c r="K115" s="90">
        <v>0</v>
      </c>
      <c r="L115" s="90">
        <f t="shared" si="9"/>
        <v>6000</v>
      </c>
      <c r="M115" s="90">
        <v>0</v>
      </c>
      <c r="N115" s="90">
        <f t="shared" si="10"/>
        <v>6000</v>
      </c>
    </row>
    <row r="116" spans="1:14" s="9" customFormat="1" ht="24">
      <c r="A116" s="37" t="s">
        <v>73</v>
      </c>
      <c r="B116" s="4"/>
      <c r="C116" s="5"/>
      <c r="D116" s="38" t="s">
        <v>79</v>
      </c>
      <c r="E116" s="77">
        <f>SUM(E119)</f>
        <v>45000</v>
      </c>
      <c r="F116" s="77">
        <f>SUM(F119)</f>
        <v>900</v>
      </c>
      <c r="G116" s="77">
        <f>SUM(G119)</f>
        <v>0</v>
      </c>
      <c r="H116" s="77">
        <f>SUM(H117,H119,H121,)</f>
        <v>45900</v>
      </c>
      <c r="I116" s="77">
        <f>SUM(I117,I119,I121,)</f>
        <v>11500</v>
      </c>
      <c r="J116" s="77">
        <f t="shared" si="8"/>
        <v>57400</v>
      </c>
      <c r="K116" s="77">
        <f>SUM(K117,K119,K121,)</f>
        <v>0</v>
      </c>
      <c r="L116" s="77">
        <f t="shared" si="9"/>
        <v>57400</v>
      </c>
      <c r="M116" s="77">
        <f>SUM(M117,M119,M121,)</f>
        <v>0</v>
      </c>
      <c r="N116" s="77">
        <f t="shared" si="10"/>
        <v>57400</v>
      </c>
    </row>
    <row r="117" spans="1:14" s="30" customFormat="1" ht="22.5">
      <c r="A117" s="91"/>
      <c r="B117" s="64">
        <v>92109</v>
      </c>
      <c r="C117" s="100"/>
      <c r="D117" s="97" t="s">
        <v>175</v>
      </c>
      <c r="E117" s="90"/>
      <c r="F117" s="90"/>
      <c r="G117" s="90"/>
      <c r="H117" s="90">
        <f>SUM(H118)</f>
        <v>0</v>
      </c>
      <c r="I117" s="90">
        <f>SUM(I118)</f>
        <v>9500</v>
      </c>
      <c r="J117" s="90">
        <f t="shared" si="8"/>
        <v>9500</v>
      </c>
      <c r="K117" s="90">
        <f>SUM(K118)</f>
        <v>0</v>
      </c>
      <c r="L117" s="90">
        <f t="shared" si="9"/>
        <v>9500</v>
      </c>
      <c r="M117" s="90">
        <f>SUM(M118)</f>
        <v>0</v>
      </c>
      <c r="N117" s="90">
        <f t="shared" si="10"/>
        <v>9500</v>
      </c>
    </row>
    <row r="118" spans="1:14" s="9" customFormat="1" ht="56.25">
      <c r="A118" s="208"/>
      <c r="B118" s="4"/>
      <c r="C118" s="5">
        <v>2320</v>
      </c>
      <c r="D118" s="97" t="s">
        <v>266</v>
      </c>
      <c r="E118" s="225"/>
      <c r="F118" s="225"/>
      <c r="G118" s="225"/>
      <c r="H118" s="225">
        <v>0</v>
      </c>
      <c r="I118" s="90">
        <f>1500+500+3500+1500+1000+1500</f>
        <v>9500</v>
      </c>
      <c r="J118" s="90">
        <f t="shared" si="8"/>
        <v>9500</v>
      </c>
      <c r="K118" s="90"/>
      <c r="L118" s="90">
        <f t="shared" si="9"/>
        <v>9500</v>
      </c>
      <c r="M118" s="90">
        <v>0</v>
      </c>
      <c r="N118" s="90">
        <f t="shared" si="10"/>
        <v>9500</v>
      </c>
    </row>
    <row r="119" spans="1:14" s="30" customFormat="1" ht="21.75" customHeight="1">
      <c r="A119" s="91"/>
      <c r="B119" s="92" t="s">
        <v>74</v>
      </c>
      <c r="C119" s="100"/>
      <c r="D119" s="97" t="s">
        <v>75</v>
      </c>
      <c r="E119" s="90">
        <f>SUM(E120)</f>
        <v>45000</v>
      </c>
      <c r="F119" s="90">
        <f>SUM(F120)</f>
        <v>900</v>
      </c>
      <c r="G119" s="90">
        <f>SUM(G120)</f>
        <v>0</v>
      </c>
      <c r="H119" s="90">
        <f>E119+F119-G119</f>
        <v>45900</v>
      </c>
      <c r="I119" s="90">
        <f>SUM(I120)</f>
        <v>0</v>
      </c>
      <c r="J119" s="90">
        <f t="shared" si="8"/>
        <v>45900</v>
      </c>
      <c r="K119" s="90">
        <f>SUM(K120)</f>
        <v>0</v>
      </c>
      <c r="L119" s="90">
        <f t="shared" si="9"/>
        <v>45900</v>
      </c>
      <c r="M119" s="90">
        <f>SUM(M120)</f>
        <v>0</v>
      </c>
      <c r="N119" s="90">
        <f t="shared" si="10"/>
        <v>45900</v>
      </c>
    </row>
    <row r="120" spans="1:14" s="30" customFormat="1" ht="56.25">
      <c r="A120" s="92"/>
      <c r="B120" s="92"/>
      <c r="C120" s="93">
        <v>2320</v>
      </c>
      <c r="D120" s="97" t="s">
        <v>266</v>
      </c>
      <c r="E120" s="90">
        <v>45000</v>
      </c>
      <c r="F120" s="90">
        <v>900</v>
      </c>
      <c r="G120" s="90"/>
      <c r="H120" s="90">
        <f>E120+F120-G120</f>
        <v>45900</v>
      </c>
      <c r="I120" s="90">
        <v>0</v>
      </c>
      <c r="J120" s="90">
        <f t="shared" si="8"/>
        <v>45900</v>
      </c>
      <c r="K120" s="90">
        <v>0</v>
      </c>
      <c r="L120" s="90">
        <f t="shared" si="9"/>
        <v>45900</v>
      </c>
      <c r="M120" s="90">
        <v>0</v>
      </c>
      <c r="N120" s="90">
        <f t="shared" si="10"/>
        <v>45900</v>
      </c>
    </row>
    <row r="121" spans="1:14" s="30" customFormat="1" ht="19.5" customHeight="1">
      <c r="A121" s="92"/>
      <c r="B121" s="92">
        <v>92118</v>
      </c>
      <c r="C121" s="93"/>
      <c r="D121" s="97" t="s">
        <v>157</v>
      </c>
      <c r="E121" s="90"/>
      <c r="F121" s="90"/>
      <c r="G121" s="90"/>
      <c r="H121" s="90">
        <f>SUM(H122)</f>
        <v>0</v>
      </c>
      <c r="I121" s="90">
        <f>SUM(I122)</f>
        <v>2000</v>
      </c>
      <c r="J121" s="90">
        <f t="shared" si="8"/>
        <v>2000</v>
      </c>
      <c r="K121" s="90">
        <f>SUM(K122)</f>
        <v>0</v>
      </c>
      <c r="L121" s="90">
        <f t="shared" si="9"/>
        <v>2000</v>
      </c>
      <c r="M121" s="90">
        <f>SUM(M122)</f>
        <v>0</v>
      </c>
      <c r="N121" s="90">
        <f t="shared" si="10"/>
        <v>2000</v>
      </c>
    </row>
    <row r="122" spans="1:14" s="30" customFormat="1" ht="56.25">
      <c r="A122" s="92"/>
      <c r="B122" s="92"/>
      <c r="C122" s="93">
        <v>2320</v>
      </c>
      <c r="D122" s="97" t="s">
        <v>266</v>
      </c>
      <c r="E122" s="90"/>
      <c r="F122" s="90"/>
      <c r="G122" s="90"/>
      <c r="H122" s="90">
        <v>0</v>
      </c>
      <c r="I122" s="90">
        <f>500+1000+500</f>
        <v>2000</v>
      </c>
      <c r="J122" s="90">
        <f t="shared" si="8"/>
        <v>2000</v>
      </c>
      <c r="K122" s="90"/>
      <c r="L122" s="90">
        <f t="shared" si="9"/>
        <v>2000</v>
      </c>
      <c r="M122" s="90"/>
      <c r="N122" s="90">
        <f t="shared" si="10"/>
        <v>2000</v>
      </c>
    </row>
    <row r="123" spans="1:14" s="51" customFormat="1" ht="24.75" customHeight="1">
      <c r="A123" s="40">
        <v>926</v>
      </c>
      <c r="B123" s="40"/>
      <c r="C123" s="40"/>
      <c r="D123" s="38" t="s">
        <v>76</v>
      </c>
      <c r="E123" s="77"/>
      <c r="F123" s="77"/>
      <c r="G123" s="77"/>
      <c r="H123" s="77">
        <f>SUM(H124)</f>
        <v>0</v>
      </c>
      <c r="I123" s="77">
        <f>SUM(I124)</f>
        <v>600</v>
      </c>
      <c r="J123" s="77">
        <f t="shared" si="8"/>
        <v>600</v>
      </c>
      <c r="K123" s="77">
        <f>SUM(K124)</f>
        <v>0</v>
      </c>
      <c r="L123" s="77">
        <f t="shared" si="9"/>
        <v>600</v>
      </c>
      <c r="M123" s="77">
        <f>SUM(M124)</f>
        <v>0</v>
      </c>
      <c r="N123" s="77">
        <f t="shared" si="10"/>
        <v>600</v>
      </c>
    </row>
    <row r="124" spans="1:14" s="30" customFormat="1" ht="22.5">
      <c r="A124" s="92"/>
      <c r="B124" s="92">
        <v>92605</v>
      </c>
      <c r="C124" s="92"/>
      <c r="D124" s="97" t="s">
        <v>77</v>
      </c>
      <c r="E124" s="90"/>
      <c r="F124" s="90"/>
      <c r="G124" s="90"/>
      <c r="H124" s="90">
        <f>SUM(H125)</f>
        <v>0</v>
      </c>
      <c r="I124" s="90">
        <f>SUM(I125)</f>
        <v>600</v>
      </c>
      <c r="J124" s="90">
        <f t="shared" si="8"/>
        <v>600</v>
      </c>
      <c r="K124" s="90">
        <f>SUM(K125)</f>
        <v>0</v>
      </c>
      <c r="L124" s="90">
        <f t="shared" si="9"/>
        <v>600</v>
      </c>
      <c r="M124" s="90">
        <f>SUM(M125)</f>
        <v>0</v>
      </c>
      <c r="N124" s="90">
        <f t="shared" si="10"/>
        <v>600</v>
      </c>
    </row>
    <row r="125" spans="1:14" s="30" customFormat="1" ht="56.25">
      <c r="A125" s="92"/>
      <c r="B125" s="92"/>
      <c r="C125" s="92">
        <v>2320</v>
      </c>
      <c r="D125" s="97" t="s">
        <v>266</v>
      </c>
      <c r="E125" s="90"/>
      <c r="F125" s="90"/>
      <c r="G125" s="90"/>
      <c r="H125" s="90">
        <v>0</v>
      </c>
      <c r="I125" s="90">
        <f>600</f>
        <v>600</v>
      </c>
      <c r="J125" s="90">
        <f t="shared" si="8"/>
        <v>600</v>
      </c>
      <c r="K125" s="90"/>
      <c r="L125" s="90">
        <f t="shared" si="9"/>
        <v>600</v>
      </c>
      <c r="M125" s="90">
        <v>0</v>
      </c>
      <c r="N125" s="90">
        <f t="shared" si="10"/>
        <v>600</v>
      </c>
    </row>
    <row r="126" spans="1:14" ht="26.25" customHeight="1">
      <c r="A126" s="16"/>
      <c r="B126" s="17"/>
      <c r="C126" s="18"/>
      <c r="D126" s="19" t="s">
        <v>78</v>
      </c>
      <c r="E126" s="77">
        <f>SUM(E13,E16,E19,E26,E32,E35,E39,E71,E92,E113,E116,E80)</f>
        <v>46368256</v>
      </c>
      <c r="F126" s="77">
        <f>SUM(F13,F16,F19,F26,F32,F35,F39,F71,F92,F113,F116,F80)</f>
        <v>229617</v>
      </c>
      <c r="G126" s="77">
        <f>SUM(G13,G16,G19,G26,G32,G35,G39,G71,G92,G113,G116,G80)</f>
        <v>228717</v>
      </c>
      <c r="H126" s="77">
        <f>SUM(H123,H116,H113,H92,H80,H71,H39,H32,H35,H26,H19,H16,H13)</f>
        <v>46369156</v>
      </c>
      <c r="I126" s="77">
        <f>SUM(I123,I116,I113,I92,I80,I71,I39,I32,I35,I26,I19,I16,I13)</f>
        <v>-448169</v>
      </c>
      <c r="J126" s="77">
        <f t="shared" si="8"/>
        <v>45920987</v>
      </c>
      <c r="K126" s="77">
        <f>SUM(K123,K116,K113,K92,K80,K71,K39,K32,K35,K26,K19,K16,K13)</f>
        <v>0</v>
      </c>
      <c r="L126" s="77">
        <f>SUM(L123,L116,L113,L110,L92,L80,L71,L39,L35,L32,L26,L19,L16,L13,L9,)</f>
        <v>45920987</v>
      </c>
      <c r="M126" s="77">
        <f>SUM(M123,M116,M113,M110,M92,M80,M71,M39,M35,M32,M26,M19,M16,M13,M9,)</f>
        <v>244241</v>
      </c>
      <c r="N126" s="77">
        <f>SUM(N123,N116,N113,N110,N92,N80,N71,N39,N35,N32,N26,N19,N16,N13,N9,)</f>
        <v>46165228</v>
      </c>
    </row>
    <row r="128" ht="12.75">
      <c r="D128" s="129"/>
    </row>
    <row r="129" spans="4:7" ht="12.75">
      <c r="D129" s="129"/>
      <c r="G129" s="68">
        <f>SUM(F126-G126)</f>
        <v>900</v>
      </c>
    </row>
    <row r="130" ht="12.75">
      <c r="D130" s="129"/>
    </row>
    <row r="131" spans="4:10" ht="12.75">
      <c r="D131" s="129"/>
      <c r="I131" s="35">
        <v>13700</v>
      </c>
      <c r="J131" s="35" t="s">
        <v>426</v>
      </c>
    </row>
    <row r="132" spans="4:10" ht="12.75">
      <c r="D132" s="129"/>
      <c r="J132" s="35" t="s">
        <v>425</v>
      </c>
    </row>
    <row r="133" spans="4:10" ht="12.75">
      <c r="D133" s="129"/>
      <c r="J133" s="35" t="s">
        <v>424</v>
      </c>
    </row>
    <row r="134" spans="4:10" ht="12.75">
      <c r="D134" s="129"/>
      <c r="I134" s="35">
        <v>7900</v>
      </c>
      <c r="J134" s="35" t="s">
        <v>427</v>
      </c>
    </row>
    <row r="135" spans="4:10" ht="12.75">
      <c r="D135" s="129"/>
      <c r="J135" s="35" t="s">
        <v>428</v>
      </c>
    </row>
    <row r="136" spans="4:10" ht="12.75">
      <c r="D136" s="129"/>
      <c r="J136" s="35" t="s">
        <v>429</v>
      </c>
    </row>
    <row r="137" spans="4:10" ht="12.75">
      <c r="D137" s="129"/>
      <c r="J137" s="35" t="s">
        <v>430</v>
      </c>
    </row>
    <row r="138" spans="4:10" ht="12.75">
      <c r="D138" s="129"/>
      <c r="I138" s="35">
        <v>25451</v>
      </c>
      <c r="J138" s="35" t="s">
        <v>431</v>
      </c>
    </row>
    <row r="139" spans="4:13" ht="12.75">
      <c r="D139" s="129"/>
      <c r="I139" s="68">
        <f>SUM(I131:I138)</f>
        <v>47051</v>
      </c>
      <c r="K139" s="68"/>
      <c r="M139" s="68"/>
    </row>
    <row r="140" ht="12.75">
      <c r="D140" s="129"/>
    </row>
    <row r="141" ht="12.75">
      <c r="D141" s="129"/>
    </row>
    <row r="142" ht="12.75">
      <c r="D142" s="128"/>
    </row>
    <row r="155" spans="5:14" ht="12.75"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5:14" ht="12.75"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</sheetData>
  <printOptions horizontalCentered="1"/>
  <pageMargins left="0.44" right="0.47" top="0.7874015748031497" bottom="0.5905511811023623" header="0.5118110236220472" footer="0.31496062992125984"/>
  <pageSetup firstPageNumber="1" useFirstPageNumber="1" horizontalDpi="600" verticalDpi="600" orientation="portrait" paperSize="9" r:id="rId3"/>
  <headerFooter alignWithMargins="0">
    <oddFooter>&amp;C&amp;8Dochody - str.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2"/>
  <sheetViews>
    <sheetView workbookViewId="0" topLeftCell="A1">
      <selection activeCell="N16" sqref="N16"/>
    </sheetView>
  </sheetViews>
  <sheetFormatPr defaultColWidth="9.00390625" defaultRowHeight="12.75"/>
  <cols>
    <col min="1" max="1" width="5.25390625" style="9" customWidth="1"/>
    <col min="2" max="2" width="7.25390625" style="9" customWidth="1"/>
    <col min="3" max="3" width="4.375" style="9" bestFit="1" customWidth="1"/>
    <col min="4" max="4" width="28.25390625" style="9" customWidth="1"/>
    <col min="5" max="5" width="12.25390625" style="35" hidden="1" customWidth="1"/>
    <col min="6" max="6" width="11.25390625" style="35" hidden="1" customWidth="1"/>
    <col min="7" max="7" width="11.625" style="35" hidden="1" customWidth="1"/>
    <col min="8" max="8" width="13.25390625" style="35" hidden="1" customWidth="1"/>
    <col min="9" max="9" width="10.375" style="35" hidden="1" customWidth="1"/>
    <col min="10" max="10" width="12.25390625" style="35" bestFit="1" customWidth="1"/>
    <col min="11" max="11" width="12.625" style="35" customWidth="1"/>
    <col min="12" max="12" width="12.25390625" style="35" customWidth="1"/>
    <col min="13" max="13" width="9.875" style="0" bestFit="1" customWidth="1"/>
    <col min="14" max="14" width="12.75390625" style="0" bestFit="1" customWidth="1"/>
  </cols>
  <sheetData>
    <row r="1" spans="1:12" ht="12.75">
      <c r="A1" s="137"/>
      <c r="B1" s="137"/>
      <c r="C1" s="137"/>
      <c r="D1" s="137"/>
      <c r="E1" s="74"/>
      <c r="F1" s="74"/>
      <c r="G1" s="74"/>
      <c r="H1" s="130" t="s">
        <v>468</v>
      </c>
      <c r="I1" s="74"/>
      <c r="J1" s="130" t="s">
        <v>543</v>
      </c>
      <c r="K1" s="130"/>
      <c r="L1" s="74"/>
    </row>
    <row r="2" spans="1:12" ht="12.75">
      <c r="A2" s="137"/>
      <c r="B2" s="137"/>
      <c r="C2" s="137"/>
      <c r="D2" s="137"/>
      <c r="E2" s="74"/>
      <c r="F2" s="74"/>
      <c r="G2" s="74"/>
      <c r="H2" s="130" t="s">
        <v>411</v>
      </c>
      <c r="I2" s="74"/>
      <c r="J2" s="130" t="s">
        <v>520</v>
      </c>
      <c r="K2" s="130"/>
      <c r="L2" s="74"/>
    </row>
    <row r="3" spans="1:12" ht="12.75">
      <c r="A3" s="137"/>
      <c r="B3" s="137"/>
      <c r="C3" s="137"/>
      <c r="D3" s="137"/>
      <c r="E3" s="74"/>
      <c r="F3" s="74"/>
      <c r="G3" s="74"/>
      <c r="H3" s="130" t="s">
        <v>414</v>
      </c>
      <c r="I3" s="74"/>
      <c r="J3" s="130" t="s">
        <v>468</v>
      </c>
      <c r="K3" s="130"/>
      <c r="L3" s="74"/>
    </row>
    <row r="4" spans="1:12" ht="12.75">
      <c r="A4" s="137"/>
      <c r="B4" s="137"/>
      <c r="C4" s="137"/>
      <c r="D4" s="137"/>
      <c r="E4" s="74"/>
      <c r="F4" s="74"/>
      <c r="G4" s="74"/>
      <c r="H4" s="130" t="s">
        <v>413</v>
      </c>
      <c r="I4" s="74"/>
      <c r="J4" s="130" t="s">
        <v>477</v>
      </c>
      <c r="K4" s="130"/>
      <c r="L4" s="74"/>
    </row>
    <row r="5" spans="1:12" ht="12.75">
      <c r="A5" s="137"/>
      <c r="B5" s="137"/>
      <c r="C5" s="137"/>
      <c r="D5" s="137"/>
      <c r="E5" s="127"/>
      <c r="F5" s="127"/>
      <c r="G5" s="127"/>
      <c r="H5" s="127"/>
      <c r="I5" s="127"/>
      <c r="J5" s="127"/>
      <c r="K5" s="127"/>
      <c r="L5" s="127"/>
    </row>
    <row r="6" spans="1:12" ht="21" customHeight="1">
      <c r="A6" s="270" t="s">
        <v>415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124"/>
    </row>
    <row r="7" spans="1:12" ht="21" customHeight="1">
      <c r="A7" s="223"/>
      <c r="B7" s="223"/>
      <c r="C7" s="223"/>
      <c r="D7" s="223"/>
      <c r="E7" s="124"/>
      <c r="F7" s="124"/>
      <c r="G7" s="124"/>
      <c r="H7" s="124"/>
      <c r="I7" s="124"/>
      <c r="J7" s="124"/>
      <c r="K7" s="124"/>
      <c r="L7" s="124"/>
    </row>
    <row r="8" spans="1:12" ht="12.75">
      <c r="A8" s="22"/>
      <c r="B8" s="22"/>
      <c r="C8" s="22"/>
      <c r="D8" s="138"/>
      <c r="E8" s="153"/>
      <c r="F8" s="153"/>
      <c r="G8" s="153"/>
      <c r="H8" s="153"/>
      <c r="I8" s="153"/>
      <c r="J8" s="153"/>
      <c r="K8" s="153"/>
      <c r="L8" s="153"/>
    </row>
    <row r="9" spans="1:12" s="9" customFormat="1" ht="24.75" customHeight="1">
      <c r="A9" s="45" t="s">
        <v>0</v>
      </c>
      <c r="B9" s="45" t="s">
        <v>1</v>
      </c>
      <c r="C9" s="45" t="s">
        <v>2</v>
      </c>
      <c r="D9" s="45" t="s">
        <v>463</v>
      </c>
      <c r="E9" s="78" t="s">
        <v>159</v>
      </c>
      <c r="F9" s="78" t="s">
        <v>234</v>
      </c>
      <c r="G9" s="78" t="s">
        <v>235</v>
      </c>
      <c r="H9" s="224" t="s">
        <v>444</v>
      </c>
      <c r="I9" s="78" t="s">
        <v>237</v>
      </c>
      <c r="J9" s="224" t="s">
        <v>437</v>
      </c>
      <c r="K9" s="78" t="s">
        <v>237</v>
      </c>
      <c r="L9" s="224" t="s">
        <v>416</v>
      </c>
    </row>
    <row r="10" spans="1:12" s="13" customFormat="1" ht="24.75" customHeight="1">
      <c r="A10" s="43" t="s">
        <v>4</v>
      </c>
      <c r="B10" s="79"/>
      <c r="C10" s="80"/>
      <c r="D10" s="46" t="s">
        <v>5</v>
      </c>
      <c r="E10" s="47">
        <f>SUM(E11,E13)</f>
        <v>7900</v>
      </c>
      <c r="F10" s="47">
        <f>SUM(F11,F13)</f>
        <v>250000</v>
      </c>
      <c r="G10" s="47">
        <f>SUM(G11,G13)</f>
        <v>0</v>
      </c>
      <c r="H10" s="47">
        <f>SUM(H11,H13)</f>
        <v>257900</v>
      </c>
      <c r="I10" s="47">
        <f>SUM(I11,I13)</f>
        <v>0</v>
      </c>
      <c r="J10" s="47">
        <f>SUM(J11,J13,)</f>
        <v>257900</v>
      </c>
      <c r="K10" s="47">
        <f>SUM(K11,K13,)</f>
        <v>0</v>
      </c>
      <c r="L10" s="47">
        <f>SUM(L11,L13,)</f>
        <v>257900</v>
      </c>
    </row>
    <row r="11" spans="1:12" s="30" customFormat="1" ht="21.75" customHeight="1">
      <c r="A11" s="86"/>
      <c r="B11" s="103" t="s">
        <v>80</v>
      </c>
      <c r="C11" s="89"/>
      <c r="D11" s="48" t="s">
        <v>81</v>
      </c>
      <c r="E11" s="101">
        <f>SUM(E12)</f>
        <v>7900</v>
      </c>
      <c r="F11" s="101">
        <f>SUM(F12)</f>
        <v>0</v>
      </c>
      <c r="G11" s="101">
        <f>SUM(G12)</f>
        <v>0</v>
      </c>
      <c r="H11" s="101">
        <f aca="true" t="shared" si="0" ref="H11:H31">E11+F11-G11</f>
        <v>7900</v>
      </c>
      <c r="I11" s="101">
        <f>SUM(I12)</f>
        <v>0</v>
      </c>
      <c r="J11" s="101">
        <f>SUM(J12)</f>
        <v>7900</v>
      </c>
      <c r="K11" s="101">
        <f>SUM(K12)</f>
        <v>0</v>
      </c>
      <c r="L11" s="101">
        <f>SUM(L12)</f>
        <v>7900</v>
      </c>
    </row>
    <row r="12" spans="1:12" s="30" customFormat="1" ht="36">
      <c r="A12" s="104"/>
      <c r="B12" s="105"/>
      <c r="C12" s="89">
        <v>2850</v>
      </c>
      <c r="D12" s="48" t="s">
        <v>82</v>
      </c>
      <c r="E12" s="101">
        <v>7900</v>
      </c>
      <c r="F12" s="101"/>
      <c r="G12" s="101"/>
      <c r="H12" s="101">
        <f t="shared" si="0"/>
        <v>7900</v>
      </c>
      <c r="I12" s="101"/>
      <c r="J12" s="101">
        <f aca="true" t="shared" si="1" ref="J12:J77">SUM(H12:I12)</f>
        <v>7900</v>
      </c>
      <c r="K12" s="101">
        <v>0</v>
      </c>
      <c r="L12" s="101">
        <f aca="true" t="shared" si="2" ref="L12:L77">SUM(J12:K12)</f>
        <v>7900</v>
      </c>
    </row>
    <row r="13" spans="1:12" s="30" customFormat="1" ht="19.5" customHeight="1">
      <c r="A13" s="104"/>
      <c r="B13" s="105" t="s">
        <v>407</v>
      </c>
      <c r="C13" s="89"/>
      <c r="D13" s="48" t="s">
        <v>408</v>
      </c>
      <c r="E13" s="101">
        <f>SUM(E14)</f>
        <v>0</v>
      </c>
      <c r="F13" s="101">
        <f>SUM(F14)</f>
        <v>250000</v>
      </c>
      <c r="G13" s="101">
        <f>SUM(G14)</f>
        <v>0</v>
      </c>
      <c r="H13" s="101">
        <f t="shared" si="0"/>
        <v>250000</v>
      </c>
      <c r="I13" s="101">
        <f>SUM(I14)</f>
        <v>0</v>
      </c>
      <c r="J13" s="101">
        <f>SUM(J14)</f>
        <v>250000</v>
      </c>
      <c r="K13" s="101">
        <f>SUM(K14)</f>
        <v>0</v>
      </c>
      <c r="L13" s="101">
        <f>SUM(L14)</f>
        <v>250000</v>
      </c>
    </row>
    <row r="14" spans="1:12" s="30" customFormat="1" ht="19.5" customHeight="1">
      <c r="A14" s="104"/>
      <c r="B14" s="105"/>
      <c r="C14" s="89">
        <v>4300</v>
      </c>
      <c r="D14" s="48" t="s">
        <v>90</v>
      </c>
      <c r="E14" s="101">
        <v>0</v>
      </c>
      <c r="F14" s="101">
        <v>250000</v>
      </c>
      <c r="G14" s="101"/>
      <c r="H14" s="101">
        <f t="shared" si="0"/>
        <v>250000</v>
      </c>
      <c r="I14" s="101"/>
      <c r="J14" s="101">
        <f t="shared" si="1"/>
        <v>250000</v>
      </c>
      <c r="K14" s="101">
        <v>0</v>
      </c>
      <c r="L14" s="101">
        <f t="shared" si="2"/>
        <v>250000</v>
      </c>
    </row>
    <row r="15" spans="1:12" s="8" customFormat="1" ht="24.75" customHeight="1">
      <c r="A15" s="43" t="s">
        <v>85</v>
      </c>
      <c r="B15" s="44"/>
      <c r="C15" s="45"/>
      <c r="D15" s="46" t="s">
        <v>86</v>
      </c>
      <c r="E15" s="47">
        <f>E18</f>
        <v>2214580</v>
      </c>
      <c r="F15" s="47">
        <f>F18</f>
        <v>140000</v>
      </c>
      <c r="G15" s="47">
        <f>G18</f>
        <v>840000</v>
      </c>
      <c r="H15" s="47">
        <f t="shared" si="0"/>
        <v>1514580</v>
      </c>
      <c r="I15" s="47">
        <f>I18+I16</f>
        <v>-6</v>
      </c>
      <c r="J15" s="47">
        <f>J18+J16</f>
        <v>1514574</v>
      </c>
      <c r="K15" s="47">
        <f>K18+K16</f>
        <v>3000</v>
      </c>
      <c r="L15" s="47">
        <f>L18+L16</f>
        <v>1517574</v>
      </c>
    </row>
    <row r="16" spans="1:12" s="30" customFormat="1" ht="24.75" customHeight="1">
      <c r="A16" s="86"/>
      <c r="B16" s="108">
        <v>60013</v>
      </c>
      <c r="C16" s="107"/>
      <c r="D16" s="48" t="s">
        <v>480</v>
      </c>
      <c r="E16" s="101"/>
      <c r="F16" s="101"/>
      <c r="G16" s="101"/>
      <c r="H16" s="101"/>
      <c r="I16" s="101"/>
      <c r="J16" s="101">
        <f>SUM(J17)</f>
        <v>0</v>
      </c>
      <c r="K16" s="101">
        <f>SUM(K17)</f>
        <v>30000</v>
      </c>
      <c r="L16" s="101">
        <f>SUM(L17)</f>
        <v>30000</v>
      </c>
    </row>
    <row r="17" spans="1:12" s="30" customFormat="1" ht="60">
      <c r="A17" s="86"/>
      <c r="B17" s="108"/>
      <c r="C17" s="107">
        <v>6300</v>
      </c>
      <c r="D17" s="48" t="s">
        <v>481</v>
      </c>
      <c r="E17" s="101"/>
      <c r="F17" s="101"/>
      <c r="G17" s="101"/>
      <c r="H17" s="101"/>
      <c r="I17" s="101"/>
      <c r="J17" s="101">
        <v>0</v>
      </c>
      <c r="K17" s="101">
        <v>30000</v>
      </c>
      <c r="L17" s="101">
        <f t="shared" si="2"/>
        <v>30000</v>
      </c>
    </row>
    <row r="18" spans="1:12" s="30" customFormat="1" ht="21.75" customHeight="1">
      <c r="A18" s="86"/>
      <c r="B18" s="103" t="s">
        <v>87</v>
      </c>
      <c r="C18" s="107"/>
      <c r="D18" s="48" t="s">
        <v>88</v>
      </c>
      <c r="E18" s="101">
        <f>SUM(E19:E24)</f>
        <v>2214580</v>
      </c>
      <c r="F18" s="101">
        <f>SUM(F19:F24)</f>
        <v>140000</v>
      </c>
      <c r="G18" s="101">
        <f>SUM(G19:G24)</f>
        <v>840000</v>
      </c>
      <c r="H18" s="101">
        <f t="shared" si="0"/>
        <v>1514580</v>
      </c>
      <c r="I18" s="101">
        <f>SUM(I19:I24)</f>
        <v>-6</v>
      </c>
      <c r="J18" s="101">
        <f t="shared" si="1"/>
        <v>1514574</v>
      </c>
      <c r="K18" s="101">
        <f>SUM(K19:K24)</f>
        <v>-27000</v>
      </c>
      <c r="L18" s="101">
        <f t="shared" si="2"/>
        <v>1487574</v>
      </c>
    </row>
    <row r="19" spans="1:12" s="30" customFormat="1" ht="21.75" customHeight="1">
      <c r="A19" s="86"/>
      <c r="B19" s="108"/>
      <c r="C19" s="86">
        <v>4210</v>
      </c>
      <c r="D19" s="48" t="s">
        <v>83</v>
      </c>
      <c r="E19" s="101">
        <v>33960</v>
      </c>
      <c r="F19" s="101"/>
      <c r="G19" s="101"/>
      <c r="H19" s="101">
        <f t="shared" si="0"/>
        <v>33960</v>
      </c>
      <c r="I19" s="101">
        <f>2997-1700</f>
        <v>1297</v>
      </c>
      <c r="J19" s="101">
        <f t="shared" si="1"/>
        <v>35257</v>
      </c>
      <c r="K19" s="90">
        <f>3000-4000</f>
        <v>-1000</v>
      </c>
      <c r="L19" s="101">
        <f t="shared" si="2"/>
        <v>34257</v>
      </c>
    </row>
    <row r="20" spans="1:12" s="30" customFormat="1" ht="21.75" customHeight="1">
      <c r="A20" s="86"/>
      <c r="B20" s="108"/>
      <c r="C20" s="86">
        <v>4270</v>
      </c>
      <c r="D20" s="48" t="s">
        <v>89</v>
      </c>
      <c r="E20" s="101">
        <f>90000+25000+7000</f>
        <v>122000</v>
      </c>
      <c r="F20" s="101"/>
      <c r="G20" s="101"/>
      <c r="H20" s="101">
        <f t="shared" si="0"/>
        <v>122000</v>
      </c>
      <c r="I20" s="101"/>
      <c r="J20" s="101">
        <f t="shared" si="1"/>
        <v>122000</v>
      </c>
      <c r="K20" s="90">
        <v>0</v>
      </c>
      <c r="L20" s="101">
        <f t="shared" si="2"/>
        <v>122000</v>
      </c>
    </row>
    <row r="21" spans="1:12" s="30" customFormat="1" ht="21.75" customHeight="1">
      <c r="A21" s="86"/>
      <c r="B21" s="108"/>
      <c r="C21" s="86">
        <v>4300</v>
      </c>
      <c r="D21" s="48" t="s">
        <v>90</v>
      </c>
      <c r="E21" s="101">
        <f>31340+70000+50000</f>
        <v>151340</v>
      </c>
      <c r="F21" s="101">
        <v>100000</v>
      </c>
      <c r="G21" s="101"/>
      <c r="H21" s="101">
        <f t="shared" si="0"/>
        <v>251340</v>
      </c>
      <c r="I21" s="101">
        <f>2997+1700</f>
        <v>4697</v>
      </c>
      <c r="J21" s="101">
        <f t="shared" si="1"/>
        <v>256037</v>
      </c>
      <c r="K21" s="90">
        <v>4000</v>
      </c>
      <c r="L21" s="101">
        <f t="shared" si="2"/>
        <v>260037</v>
      </c>
    </row>
    <row r="22" spans="1:12" s="30" customFormat="1" ht="21.75" customHeight="1">
      <c r="A22" s="86"/>
      <c r="B22" s="108"/>
      <c r="C22" s="86">
        <v>6050</v>
      </c>
      <c r="D22" s="48" t="s">
        <v>84</v>
      </c>
      <c r="E22" s="101">
        <f>95630+150000+250000+90000+140000+190000+280000+350000+350000</f>
        <v>1895630</v>
      </c>
      <c r="F22" s="101"/>
      <c r="G22" s="101">
        <f>60000+100000+36000+54000+100000+250000+100000+100000+40000</f>
        <v>840000</v>
      </c>
      <c r="H22" s="101">
        <f t="shared" si="0"/>
        <v>1055630</v>
      </c>
      <c r="I22" s="101">
        <f>-6000+250000-250000</f>
        <v>-6000</v>
      </c>
      <c r="J22" s="101">
        <f t="shared" si="1"/>
        <v>1049630</v>
      </c>
      <c r="K22" s="101">
        <v>0</v>
      </c>
      <c r="L22" s="101">
        <f t="shared" si="2"/>
        <v>1049630</v>
      </c>
    </row>
    <row r="23" spans="1:12" s="30" customFormat="1" ht="21.75" customHeight="1">
      <c r="A23" s="86"/>
      <c r="B23" s="108"/>
      <c r="C23" s="86">
        <v>6060</v>
      </c>
      <c r="D23" s="48" t="s">
        <v>107</v>
      </c>
      <c r="E23" s="101">
        <v>11650</v>
      </c>
      <c r="F23" s="101"/>
      <c r="G23" s="101"/>
      <c r="H23" s="101">
        <f t="shared" si="0"/>
        <v>11650</v>
      </c>
      <c r="I23" s="101"/>
      <c r="J23" s="101">
        <f t="shared" si="1"/>
        <v>11650</v>
      </c>
      <c r="K23" s="101">
        <v>0</v>
      </c>
      <c r="L23" s="101">
        <f t="shared" si="2"/>
        <v>11650</v>
      </c>
    </row>
    <row r="24" spans="1:12" s="30" customFormat="1" ht="21.75" customHeight="1">
      <c r="A24" s="86"/>
      <c r="B24" s="108"/>
      <c r="C24" s="86">
        <v>6800</v>
      </c>
      <c r="D24" s="48" t="s">
        <v>402</v>
      </c>
      <c r="E24" s="101">
        <v>0</v>
      </c>
      <c r="F24" s="101">
        <v>40000</v>
      </c>
      <c r="G24" s="101"/>
      <c r="H24" s="101">
        <f t="shared" si="0"/>
        <v>40000</v>
      </c>
      <c r="I24" s="101"/>
      <c r="J24" s="101">
        <f t="shared" si="1"/>
        <v>40000</v>
      </c>
      <c r="K24" s="101">
        <v>-30000</v>
      </c>
      <c r="L24" s="101">
        <f t="shared" si="2"/>
        <v>10000</v>
      </c>
    </row>
    <row r="25" spans="1:12" s="8" customFormat="1" ht="24.75" customHeight="1">
      <c r="A25" s="43" t="s">
        <v>11</v>
      </c>
      <c r="B25" s="44"/>
      <c r="C25" s="45"/>
      <c r="D25" s="46" t="s">
        <v>12</v>
      </c>
      <c r="E25" s="47">
        <f>SUM(E26,E28,E32,E36)</f>
        <v>938528</v>
      </c>
      <c r="F25" s="47">
        <f>SUM(F26,F28,F32,F36)</f>
        <v>450000</v>
      </c>
      <c r="G25" s="47">
        <f>SUM(G26,G28,G32,G36)</f>
        <v>200000</v>
      </c>
      <c r="H25" s="47">
        <f t="shared" si="0"/>
        <v>1188528</v>
      </c>
      <c r="I25" s="47">
        <f>SUM(I26,I28,I32,I36)</f>
        <v>56000</v>
      </c>
      <c r="J25" s="47">
        <f>SUM(J26,J28,J32,J36,)</f>
        <v>1244528</v>
      </c>
      <c r="K25" s="47">
        <f>SUM(K26,K28,K32,K36,)</f>
        <v>70000</v>
      </c>
      <c r="L25" s="47">
        <f>SUM(L26,L28,L32,L36,)</f>
        <v>1314528</v>
      </c>
    </row>
    <row r="26" spans="1:12" s="30" customFormat="1" ht="24">
      <c r="A26" s="86"/>
      <c r="B26" s="108">
        <v>70004</v>
      </c>
      <c r="C26" s="107"/>
      <c r="D26" s="48" t="s">
        <v>241</v>
      </c>
      <c r="E26" s="101">
        <f>SUM(E27)</f>
        <v>148000</v>
      </c>
      <c r="F26" s="101">
        <f>SUM(F27)</f>
        <v>0</v>
      </c>
      <c r="G26" s="101">
        <f>SUM(G27)</f>
        <v>0</v>
      </c>
      <c r="H26" s="101">
        <f t="shared" si="0"/>
        <v>148000</v>
      </c>
      <c r="I26" s="101">
        <f>SUM(I27)</f>
        <v>0</v>
      </c>
      <c r="J26" s="101">
        <f>SUM(J27)</f>
        <v>148000</v>
      </c>
      <c r="K26" s="101">
        <f>SUM(K27)</f>
        <v>70000</v>
      </c>
      <c r="L26" s="101">
        <f>SUM(L27)</f>
        <v>218000</v>
      </c>
    </row>
    <row r="27" spans="1:12" s="30" customFormat="1" ht="21.75" customHeight="1">
      <c r="A27" s="86"/>
      <c r="B27" s="108"/>
      <c r="C27" s="107">
        <v>4300</v>
      </c>
      <c r="D27" s="48" t="s">
        <v>90</v>
      </c>
      <c r="E27" s="101">
        <f>18000+30000+100000</f>
        <v>148000</v>
      </c>
      <c r="F27" s="101"/>
      <c r="G27" s="101"/>
      <c r="H27" s="101">
        <f t="shared" si="0"/>
        <v>148000</v>
      </c>
      <c r="I27" s="101"/>
      <c r="J27" s="101">
        <f t="shared" si="1"/>
        <v>148000</v>
      </c>
      <c r="K27" s="101">
        <v>70000</v>
      </c>
      <c r="L27" s="101">
        <f t="shared" si="2"/>
        <v>218000</v>
      </c>
    </row>
    <row r="28" spans="1:12" s="30" customFormat="1" ht="22.5" customHeight="1">
      <c r="A28" s="86"/>
      <c r="B28" s="103" t="s">
        <v>13</v>
      </c>
      <c r="C28" s="107"/>
      <c r="D28" s="48" t="s">
        <v>172</v>
      </c>
      <c r="E28" s="101">
        <f>SUM(E29:E31)</f>
        <v>112168</v>
      </c>
      <c r="F28" s="101">
        <f>SUM(F29:F31)</f>
        <v>0</v>
      </c>
      <c r="G28" s="101">
        <f>SUM(G29:G31)</f>
        <v>0</v>
      </c>
      <c r="H28" s="101">
        <f t="shared" si="0"/>
        <v>112168</v>
      </c>
      <c r="I28" s="101">
        <f>SUM(I29:I31)</f>
        <v>0</v>
      </c>
      <c r="J28" s="101">
        <f>SUM(J29:J31)</f>
        <v>112168</v>
      </c>
      <c r="K28" s="101">
        <f>SUM(K29:K31)</f>
        <v>0</v>
      </c>
      <c r="L28" s="101">
        <f>SUM(L29:L31)</f>
        <v>112168</v>
      </c>
    </row>
    <row r="29" spans="1:12" s="30" customFormat="1" ht="21.75" customHeight="1">
      <c r="A29" s="86"/>
      <c r="B29" s="103"/>
      <c r="C29" s="107">
        <v>4510</v>
      </c>
      <c r="D29" s="48" t="s">
        <v>168</v>
      </c>
      <c r="E29" s="101">
        <v>28</v>
      </c>
      <c r="F29" s="101"/>
      <c r="G29" s="101"/>
      <c r="H29" s="101">
        <f t="shared" si="0"/>
        <v>28</v>
      </c>
      <c r="I29" s="101"/>
      <c r="J29" s="101">
        <f t="shared" si="1"/>
        <v>28</v>
      </c>
      <c r="K29" s="101">
        <v>0</v>
      </c>
      <c r="L29" s="101">
        <f t="shared" si="2"/>
        <v>28</v>
      </c>
    </row>
    <row r="30" spans="1:12" s="30" customFormat="1" ht="21.75" customHeight="1">
      <c r="A30" s="86"/>
      <c r="B30" s="108"/>
      <c r="C30" s="86">
        <v>4300</v>
      </c>
      <c r="D30" s="48" t="s">
        <v>90</v>
      </c>
      <c r="E30" s="101">
        <f>100000+12000</f>
        <v>112000</v>
      </c>
      <c r="F30" s="101"/>
      <c r="G30" s="101"/>
      <c r="H30" s="101">
        <f t="shared" si="0"/>
        <v>112000</v>
      </c>
      <c r="I30" s="101"/>
      <c r="J30" s="101">
        <f t="shared" si="1"/>
        <v>112000</v>
      </c>
      <c r="K30" s="101">
        <v>0</v>
      </c>
      <c r="L30" s="101">
        <f t="shared" si="2"/>
        <v>112000</v>
      </c>
    </row>
    <row r="31" spans="1:12" s="30" customFormat="1" ht="21.75" customHeight="1">
      <c r="A31" s="86"/>
      <c r="B31" s="108"/>
      <c r="C31" s="86">
        <v>4480</v>
      </c>
      <c r="D31" s="48" t="s">
        <v>35</v>
      </c>
      <c r="E31" s="101">
        <v>140</v>
      </c>
      <c r="F31" s="101"/>
      <c r="G31" s="101"/>
      <c r="H31" s="101">
        <f t="shared" si="0"/>
        <v>140</v>
      </c>
      <c r="I31" s="101"/>
      <c r="J31" s="101">
        <f t="shared" si="1"/>
        <v>140</v>
      </c>
      <c r="K31" s="101">
        <v>0</v>
      </c>
      <c r="L31" s="101">
        <f t="shared" si="2"/>
        <v>140</v>
      </c>
    </row>
    <row r="32" spans="1:12" s="30" customFormat="1" ht="21.75" customHeight="1">
      <c r="A32" s="86"/>
      <c r="B32" s="108">
        <v>70021</v>
      </c>
      <c r="C32" s="86"/>
      <c r="D32" s="48" t="s">
        <v>211</v>
      </c>
      <c r="E32" s="101">
        <f aca="true" t="shared" si="3" ref="E32:L32">SUM(E33:E35)</f>
        <v>400000</v>
      </c>
      <c r="F32" s="101">
        <f t="shared" si="3"/>
        <v>300000</v>
      </c>
      <c r="G32" s="101">
        <f t="shared" si="3"/>
        <v>100000</v>
      </c>
      <c r="H32" s="101">
        <f t="shared" si="3"/>
        <v>600000</v>
      </c>
      <c r="I32" s="101">
        <f t="shared" si="3"/>
        <v>0</v>
      </c>
      <c r="J32" s="101">
        <f t="shared" si="3"/>
        <v>600000</v>
      </c>
      <c r="K32" s="101">
        <f t="shared" si="3"/>
        <v>0</v>
      </c>
      <c r="L32" s="101">
        <f t="shared" si="3"/>
        <v>600000</v>
      </c>
    </row>
    <row r="33" spans="1:12" s="30" customFormat="1" ht="33" customHeight="1">
      <c r="A33" s="86"/>
      <c r="B33" s="108"/>
      <c r="C33" s="86">
        <v>4270</v>
      </c>
      <c r="D33" s="48" t="s">
        <v>89</v>
      </c>
      <c r="E33" s="101">
        <v>0</v>
      </c>
      <c r="F33" s="101">
        <f>200000+100000</f>
        <v>300000</v>
      </c>
      <c r="G33" s="101"/>
      <c r="H33" s="101">
        <f aca="true" t="shared" si="4" ref="H33:H47">E33+F33-G33</f>
        <v>300000</v>
      </c>
      <c r="I33" s="101"/>
      <c r="J33" s="101">
        <f t="shared" si="1"/>
        <v>300000</v>
      </c>
      <c r="K33" s="101">
        <v>0</v>
      </c>
      <c r="L33" s="101">
        <f t="shared" si="2"/>
        <v>300000</v>
      </c>
    </row>
    <row r="34" spans="1:12" s="30" customFormat="1" ht="11.25" hidden="1">
      <c r="A34" s="86"/>
      <c r="B34" s="108"/>
      <c r="C34" s="86">
        <v>4300</v>
      </c>
      <c r="D34" s="48" t="s">
        <v>90</v>
      </c>
      <c r="E34" s="101">
        <v>100000</v>
      </c>
      <c r="F34" s="101"/>
      <c r="G34" s="101">
        <v>100000</v>
      </c>
      <c r="H34" s="101">
        <f t="shared" si="4"/>
        <v>0</v>
      </c>
      <c r="I34" s="101"/>
      <c r="J34" s="101">
        <f t="shared" si="1"/>
        <v>0</v>
      </c>
      <c r="K34" s="101"/>
      <c r="L34" s="101">
        <f t="shared" si="2"/>
        <v>0</v>
      </c>
    </row>
    <row r="35" spans="1:12" s="30" customFormat="1" ht="67.5" customHeight="1">
      <c r="A35" s="86"/>
      <c r="B35" s="108"/>
      <c r="C35" s="86">
        <v>6010</v>
      </c>
      <c r="D35" s="48" t="s">
        <v>296</v>
      </c>
      <c r="E35" s="101">
        <v>300000</v>
      </c>
      <c r="F35" s="101"/>
      <c r="G35" s="101"/>
      <c r="H35" s="101">
        <f t="shared" si="4"/>
        <v>300000</v>
      </c>
      <c r="I35" s="101"/>
      <c r="J35" s="101">
        <f t="shared" si="1"/>
        <v>300000</v>
      </c>
      <c r="K35" s="101">
        <v>0</v>
      </c>
      <c r="L35" s="101">
        <f t="shared" si="2"/>
        <v>300000</v>
      </c>
    </row>
    <row r="36" spans="1:12" s="30" customFormat="1" ht="21.75" customHeight="1">
      <c r="A36" s="86"/>
      <c r="B36" s="103">
        <v>70095</v>
      </c>
      <c r="C36" s="107"/>
      <c r="D36" s="48" t="s">
        <v>6</v>
      </c>
      <c r="E36" s="101">
        <f>SUM(E37:E40)</f>
        <v>278360</v>
      </c>
      <c r="F36" s="101">
        <f>SUM(F37:F40)</f>
        <v>150000</v>
      </c>
      <c r="G36" s="101">
        <f>SUM(G37:G40)</f>
        <v>100000</v>
      </c>
      <c r="H36" s="101">
        <f t="shared" si="4"/>
        <v>328360</v>
      </c>
      <c r="I36" s="101">
        <f>SUM(I37:I40)</f>
        <v>56000</v>
      </c>
      <c r="J36" s="101">
        <f>SUM(J37:J40)</f>
        <v>384360</v>
      </c>
      <c r="K36" s="101">
        <f>SUM(K37:K40)</f>
        <v>0</v>
      </c>
      <c r="L36" s="101">
        <f>SUM(L37:L40)</f>
        <v>384360</v>
      </c>
    </row>
    <row r="37" spans="1:12" s="30" customFormat="1" ht="21.75" customHeight="1">
      <c r="A37" s="86"/>
      <c r="B37" s="103"/>
      <c r="C37" s="107">
        <v>4260</v>
      </c>
      <c r="D37" s="48" t="s">
        <v>106</v>
      </c>
      <c r="E37" s="101">
        <v>300</v>
      </c>
      <c r="F37" s="101"/>
      <c r="G37" s="101"/>
      <c r="H37" s="101">
        <f t="shared" si="4"/>
        <v>300</v>
      </c>
      <c r="I37" s="101"/>
      <c r="J37" s="101">
        <f t="shared" si="1"/>
        <v>300</v>
      </c>
      <c r="K37" s="101">
        <v>0</v>
      </c>
      <c r="L37" s="101">
        <f t="shared" si="2"/>
        <v>300</v>
      </c>
    </row>
    <row r="38" spans="1:12" s="30" customFormat="1" ht="21.75" customHeight="1">
      <c r="A38" s="86"/>
      <c r="B38" s="103"/>
      <c r="C38" s="107">
        <v>4300</v>
      </c>
      <c r="D38" s="48" t="s">
        <v>90</v>
      </c>
      <c r="E38" s="101">
        <f>60+28000</f>
        <v>28060</v>
      </c>
      <c r="F38" s="101">
        <v>150000</v>
      </c>
      <c r="G38" s="101"/>
      <c r="H38" s="101">
        <f t="shared" si="4"/>
        <v>178060</v>
      </c>
      <c r="I38" s="101"/>
      <c r="J38" s="101">
        <f t="shared" si="1"/>
        <v>178060</v>
      </c>
      <c r="K38" s="101">
        <v>0</v>
      </c>
      <c r="L38" s="101">
        <f t="shared" si="2"/>
        <v>178060</v>
      </c>
    </row>
    <row r="39" spans="1:12" s="30" customFormat="1" ht="36">
      <c r="A39" s="86"/>
      <c r="B39" s="103"/>
      <c r="C39" s="107">
        <v>4600</v>
      </c>
      <c r="D39" s="48" t="s">
        <v>465</v>
      </c>
      <c r="E39" s="101"/>
      <c r="F39" s="101"/>
      <c r="G39" s="101"/>
      <c r="H39" s="101">
        <v>0</v>
      </c>
      <c r="I39" s="101">
        <v>56000</v>
      </c>
      <c r="J39" s="101">
        <f t="shared" si="1"/>
        <v>56000</v>
      </c>
      <c r="K39" s="101">
        <v>0</v>
      </c>
      <c r="L39" s="101">
        <f t="shared" si="2"/>
        <v>56000</v>
      </c>
    </row>
    <row r="40" spans="1:12" s="30" customFormat="1" ht="21.75" customHeight="1">
      <c r="A40" s="86"/>
      <c r="B40" s="103"/>
      <c r="C40" s="86">
        <v>6050</v>
      </c>
      <c r="D40" s="48" t="s">
        <v>84</v>
      </c>
      <c r="E40" s="101">
        <v>250000</v>
      </c>
      <c r="F40" s="101"/>
      <c r="G40" s="101">
        <v>100000</v>
      </c>
      <c r="H40" s="101">
        <f t="shared" si="4"/>
        <v>150000</v>
      </c>
      <c r="I40" s="101"/>
      <c r="J40" s="101">
        <f t="shared" si="1"/>
        <v>150000</v>
      </c>
      <c r="K40" s="101">
        <v>0</v>
      </c>
      <c r="L40" s="101">
        <f t="shared" si="2"/>
        <v>150000</v>
      </c>
    </row>
    <row r="41" spans="1:12" s="8" customFormat="1" ht="21" customHeight="1">
      <c r="A41" s="43" t="s">
        <v>16</v>
      </c>
      <c r="B41" s="44"/>
      <c r="C41" s="45"/>
      <c r="D41" s="46" t="s">
        <v>91</v>
      </c>
      <c r="E41" s="47">
        <f>SUM(E42,E45)</f>
        <v>153400</v>
      </c>
      <c r="F41" s="47">
        <f>SUM(F42,F45)</f>
        <v>0</v>
      </c>
      <c r="G41" s="47">
        <f>SUM(G42,G45)</f>
        <v>0</v>
      </c>
      <c r="H41" s="222">
        <f t="shared" si="4"/>
        <v>153400</v>
      </c>
      <c r="I41" s="47">
        <f>SUM(I42,I45)</f>
        <v>0</v>
      </c>
      <c r="J41" s="47">
        <f>SUM(J42,J45,)</f>
        <v>153400</v>
      </c>
      <c r="K41" s="47">
        <f>SUM(K42,K45,)</f>
        <v>0</v>
      </c>
      <c r="L41" s="47">
        <f>SUM(L42,L45,)</f>
        <v>153400</v>
      </c>
    </row>
    <row r="42" spans="1:12" s="30" customFormat="1" ht="21.75" customHeight="1">
      <c r="A42" s="86"/>
      <c r="B42" s="103" t="s">
        <v>92</v>
      </c>
      <c r="C42" s="107"/>
      <c r="D42" s="48" t="s">
        <v>93</v>
      </c>
      <c r="E42" s="101">
        <f>SUM(E43:E44)</f>
        <v>150000</v>
      </c>
      <c r="F42" s="101">
        <f>SUM(F43:F44)</f>
        <v>0</v>
      </c>
      <c r="G42" s="101">
        <f>SUM(G43:G44)</f>
        <v>0</v>
      </c>
      <c r="H42" s="101">
        <f t="shared" si="4"/>
        <v>150000</v>
      </c>
      <c r="I42" s="101">
        <f>SUM(I43:I44)</f>
        <v>0</v>
      </c>
      <c r="J42" s="101">
        <f>SUM(J43:J44)</f>
        <v>150000</v>
      </c>
      <c r="K42" s="101">
        <f>SUM(K43:K44)</f>
        <v>0</v>
      </c>
      <c r="L42" s="101">
        <f>SUM(L43:L44)</f>
        <v>150000</v>
      </c>
    </row>
    <row r="43" spans="1:12" s="30" customFormat="1" ht="21.75" customHeight="1">
      <c r="A43" s="86"/>
      <c r="B43" s="103"/>
      <c r="C43" s="86">
        <v>4300</v>
      </c>
      <c r="D43" s="48" t="s">
        <v>90</v>
      </c>
      <c r="E43" s="101">
        <f>150000-10000</f>
        <v>140000</v>
      </c>
      <c r="F43" s="101"/>
      <c r="G43" s="101"/>
      <c r="H43" s="101">
        <f t="shared" si="4"/>
        <v>140000</v>
      </c>
      <c r="I43" s="101"/>
      <c r="J43" s="101">
        <f t="shared" si="1"/>
        <v>140000</v>
      </c>
      <c r="K43" s="101">
        <v>0</v>
      </c>
      <c r="L43" s="101">
        <f t="shared" si="2"/>
        <v>140000</v>
      </c>
    </row>
    <row r="44" spans="1:12" s="30" customFormat="1" ht="21.75" customHeight="1">
      <c r="A44" s="86"/>
      <c r="B44" s="103"/>
      <c r="C44" s="86">
        <v>4390</v>
      </c>
      <c r="D44" s="48" t="s">
        <v>294</v>
      </c>
      <c r="E44" s="101">
        <v>10000</v>
      </c>
      <c r="F44" s="101"/>
      <c r="G44" s="101"/>
      <c r="H44" s="101">
        <f t="shared" si="4"/>
        <v>10000</v>
      </c>
      <c r="I44" s="101"/>
      <c r="J44" s="101">
        <f t="shared" si="1"/>
        <v>10000</v>
      </c>
      <c r="K44" s="101">
        <v>0</v>
      </c>
      <c r="L44" s="101">
        <f t="shared" si="2"/>
        <v>10000</v>
      </c>
    </row>
    <row r="45" spans="1:12" s="30" customFormat="1" ht="20.25" customHeight="1">
      <c r="A45" s="86"/>
      <c r="B45" s="103">
        <v>71035</v>
      </c>
      <c r="C45" s="86"/>
      <c r="D45" s="48" t="s">
        <v>17</v>
      </c>
      <c r="E45" s="101">
        <f>SUM(E46:E47)</f>
        <v>3400</v>
      </c>
      <c r="F45" s="101">
        <f>SUM(F46:F47)</f>
        <v>0</v>
      </c>
      <c r="G45" s="101">
        <f>SUM(G46:G47)</f>
        <v>0</v>
      </c>
      <c r="H45" s="101">
        <f t="shared" si="4"/>
        <v>3400</v>
      </c>
      <c r="I45" s="101">
        <f>SUM(I46:I47)</f>
        <v>0</v>
      </c>
      <c r="J45" s="101">
        <f>SUM(J46:J47)</f>
        <v>3400</v>
      </c>
      <c r="K45" s="101">
        <f>SUM(K46:K47)</f>
        <v>0</v>
      </c>
      <c r="L45" s="101">
        <f>SUM(L46:L47)</f>
        <v>3400</v>
      </c>
    </row>
    <row r="46" spans="1:12" s="30" customFormat="1" ht="21" customHeight="1">
      <c r="A46" s="86"/>
      <c r="B46" s="103"/>
      <c r="C46" s="86">
        <v>4260</v>
      </c>
      <c r="D46" s="48" t="s">
        <v>106</v>
      </c>
      <c r="E46" s="101">
        <f>400+1500</f>
        <v>1900</v>
      </c>
      <c r="F46" s="101"/>
      <c r="G46" s="101"/>
      <c r="H46" s="101">
        <f t="shared" si="4"/>
        <v>1900</v>
      </c>
      <c r="I46" s="101"/>
      <c r="J46" s="101">
        <f t="shared" si="1"/>
        <v>1900</v>
      </c>
      <c r="K46" s="101">
        <v>0</v>
      </c>
      <c r="L46" s="101">
        <f t="shared" si="2"/>
        <v>1900</v>
      </c>
    </row>
    <row r="47" spans="1:12" s="30" customFormat="1" ht="21" customHeight="1">
      <c r="A47" s="86"/>
      <c r="B47" s="103"/>
      <c r="C47" s="86">
        <v>4300</v>
      </c>
      <c r="D47" s="48" t="s">
        <v>90</v>
      </c>
      <c r="E47" s="101">
        <v>1500</v>
      </c>
      <c r="F47" s="101"/>
      <c r="G47" s="101"/>
      <c r="H47" s="101">
        <f t="shared" si="4"/>
        <v>1500</v>
      </c>
      <c r="I47" s="101"/>
      <c r="J47" s="101">
        <f t="shared" si="1"/>
        <v>1500</v>
      </c>
      <c r="K47" s="101">
        <v>0</v>
      </c>
      <c r="L47" s="101">
        <f t="shared" si="2"/>
        <v>1500</v>
      </c>
    </row>
    <row r="48" spans="1:12" s="8" customFormat="1" ht="24.75" customHeight="1">
      <c r="A48" s="43" t="s">
        <v>18</v>
      </c>
      <c r="B48" s="44"/>
      <c r="C48" s="45"/>
      <c r="D48" s="46" t="s">
        <v>94</v>
      </c>
      <c r="E48" s="47">
        <f>SUM(E49,E55,E66,E90,E103)</f>
        <v>5146750</v>
      </c>
      <c r="F48" s="47">
        <f>SUM(F49,F55,F66,F90,F103)</f>
        <v>37800</v>
      </c>
      <c r="G48" s="47">
        <f>SUM(G49,G55,G66,G90,G103)</f>
        <v>183800</v>
      </c>
      <c r="H48" s="47">
        <f>SUM(H49,H55,H66,H90,H103)</f>
        <v>5000750</v>
      </c>
      <c r="I48" s="47">
        <f>SUM(I49,I55,I66,I90,I103)</f>
        <v>60</v>
      </c>
      <c r="J48" s="47">
        <f>SUM(J49,J55,J66,J90,J103,)</f>
        <v>5000810</v>
      </c>
      <c r="K48" s="47">
        <f>SUM(K49,K55,K66,K90,K103,)</f>
        <v>-300</v>
      </c>
      <c r="L48" s="47">
        <f>SUM(L49,L55,L66,L90,L103,)</f>
        <v>5000510</v>
      </c>
    </row>
    <row r="49" spans="1:12" s="30" customFormat="1" ht="21.75" customHeight="1">
      <c r="A49" s="86"/>
      <c r="B49" s="103">
        <v>75011</v>
      </c>
      <c r="C49" s="107"/>
      <c r="D49" s="48" t="s">
        <v>20</v>
      </c>
      <c r="E49" s="101">
        <f>SUM(E50:E54)</f>
        <v>144800</v>
      </c>
      <c r="F49" s="101">
        <f>SUM(F50:F54)</f>
        <v>0</v>
      </c>
      <c r="G49" s="101">
        <f>SUM(G50:G54)</f>
        <v>0</v>
      </c>
      <c r="H49" s="101">
        <f aca="true" t="shared" si="5" ref="H49:H89">E49+F49-G49</f>
        <v>144800</v>
      </c>
      <c r="I49" s="101">
        <f>SUM(I50:I54)</f>
        <v>0</v>
      </c>
      <c r="J49" s="101">
        <f>SUM(J50:J54)</f>
        <v>144800</v>
      </c>
      <c r="K49" s="101">
        <f>SUM(K50:K54)</f>
        <v>0</v>
      </c>
      <c r="L49" s="101">
        <f>SUM(L50:L54)</f>
        <v>144800</v>
      </c>
    </row>
    <row r="50" spans="1:12" s="30" customFormat="1" ht="21" customHeight="1">
      <c r="A50" s="86"/>
      <c r="B50" s="108"/>
      <c r="C50" s="86">
        <v>4010</v>
      </c>
      <c r="D50" s="48" t="s">
        <v>95</v>
      </c>
      <c r="E50" s="101">
        <v>98200</v>
      </c>
      <c r="F50" s="101"/>
      <c r="G50" s="101"/>
      <c r="H50" s="101">
        <f t="shared" si="5"/>
        <v>98200</v>
      </c>
      <c r="I50" s="101"/>
      <c r="J50" s="101">
        <f t="shared" si="1"/>
        <v>98200</v>
      </c>
      <c r="K50" s="101">
        <v>0</v>
      </c>
      <c r="L50" s="101">
        <f t="shared" si="2"/>
        <v>98200</v>
      </c>
    </row>
    <row r="51" spans="1:12" s="30" customFormat="1" ht="21" customHeight="1">
      <c r="A51" s="86"/>
      <c r="B51" s="108"/>
      <c r="C51" s="86">
        <v>4040</v>
      </c>
      <c r="D51" s="48" t="s">
        <v>96</v>
      </c>
      <c r="E51" s="101">
        <v>16500</v>
      </c>
      <c r="F51" s="101"/>
      <c r="G51" s="101"/>
      <c r="H51" s="101">
        <f t="shared" si="5"/>
        <v>16500</v>
      </c>
      <c r="I51" s="101"/>
      <c r="J51" s="101">
        <f t="shared" si="1"/>
        <v>16500</v>
      </c>
      <c r="K51" s="101">
        <v>0</v>
      </c>
      <c r="L51" s="101">
        <f t="shared" si="2"/>
        <v>16500</v>
      </c>
    </row>
    <row r="52" spans="1:12" s="30" customFormat="1" ht="21" customHeight="1">
      <c r="A52" s="86"/>
      <c r="B52" s="108"/>
      <c r="C52" s="86">
        <v>4110</v>
      </c>
      <c r="D52" s="48" t="s">
        <v>97</v>
      </c>
      <c r="E52" s="101">
        <v>19950</v>
      </c>
      <c r="F52" s="101"/>
      <c r="G52" s="101"/>
      <c r="H52" s="101">
        <f t="shared" si="5"/>
        <v>19950</v>
      </c>
      <c r="I52" s="101"/>
      <c r="J52" s="101">
        <f t="shared" si="1"/>
        <v>19950</v>
      </c>
      <c r="K52" s="101">
        <v>0</v>
      </c>
      <c r="L52" s="101">
        <f t="shared" si="2"/>
        <v>19950</v>
      </c>
    </row>
    <row r="53" spans="1:12" s="30" customFormat="1" ht="21" customHeight="1">
      <c r="A53" s="86"/>
      <c r="B53" s="108"/>
      <c r="C53" s="86">
        <v>4120</v>
      </c>
      <c r="D53" s="48" t="s">
        <v>98</v>
      </c>
      <c r="E53" s="101">
        <v>2800</v>
      </c>
      <c r="F53" s="101"/>
      <c r="G53" s="101"/>
      <c r="H53" s="101">
        <f t="shared" si="5"/>
        <v>2800</v>
      </c>
      <c r="I53" s="101"/>
      <c r="J53" s="101">
        <f t="shared" si="1"/>
        <v>2800</v>
      </c>
      <c r="K53" s="101">
        <v>0</v>
      </c>
      <c r="L53" s="101">
        <f t="shared" si="2"/>
        <v>2800</v>
      </c>
    </row>
    <row r="54" spans="1:12" s="30" customFormat="1" ht="21" customHeight="1">
      <c r="A54" s="86"/>
      <c r="B54" s="108"/>
      <c r="C54" s="89">
        <v>4440</v>
      </c>
      <c r="D54" s="48" t="s">
        <v>99</v>
      </c>
      <c r="E54" s="101">
        <v>7350</v>
      </c>
      <c r="F54" s="101"/>
      <c r="G54" s="101"/>
      <c r="H54" s="101">
        <f t="shared" si="5"/>
        <v>7350</v>
      </c>
      <c r="I54" s="101"/>
      <c r="J54" s="101">
        <f t="shared" si="1"/>
        <v>7350</v>
      </c>
      <c r="K54" s="101">
        <v>0</v>
      </c>
      <c r="L54" s="101">
        <f t="shared" si="2"/>
        <v>7350</v>
      </c>
    </row>
    <row r="55" spans="1:12" s="30" customFormat="1" ht="21.75" customHeight="1">
      <c r="A55" s="107"/>
      <c r="B55" s="103" t="s">
        <v>102</v>
      </c>
      <c r="C55" s="107"/>
      <c r="D55" s="48" t="s">
        <v>173</v>
      </c>
      <c r="E55" s="101">
        <f>SUM(E56:E65)</f>
        <v>278200</v>
      </c>
      <c r="F55" s="101">
        <f>SUM(F56:F65)</f>
        <v>17800</v>
      </c>
      <c r="G55" s="101">
        <f>SUM(G56:G65)</f>
        <v>0</v>
      </c>
      <c r="H55" s="101">
        <f t="shared" si="5"/>
        <v>296000</v>
      </c>
      <c r="I55" s="101">
        <f>SUM(I56:I65)</f>
        <v>0</v>
      </c>
      <c r="J55" s="101">
        <f>SUM(J56:J65)</f>
        <v>296000</v>
      </c>
      <c r="K55" s="101">
        <f>SUM(K56:K65)</f>
        <v>0</v>
      </c>
      <c r="L55" s="101">
        <f>SUM(L56:L65)</f>
        <v>296000</v>
      </c>
    </row>
    <row r="56" spans="1:12" s="30" customFormat="1" ht="21" customHeight="1">
      <c r="A56" s="107"/>
      <c r="B56" s="103"/>
      <c r="C56" s="86">
        <v>3030</v>
      </c>
      <c r="D56" s="48" t="s">
        <v>100</v>
      </c>
      <c r="E56" s="101">
        <v>230200</v>
      </c>
      <c r="F56" s="101"/>
      <c r="G56" s="101"/>
      <c r="H56" s="101">
        <f t="shared" si="5"/>
        <v>230200</v>
      </c>
      <c r="I56" s="101"/>
      <c r="J56" s="101">
        <f t="shared" si="1"/>
        <v>230200</v>
      </c>
      <c r="K56" s="101">
        <v>0</v>
      </c>
      <c r="L56" s="101">
        <f t="shared" si="2"/>
        <v>230200</v>
      </c>
    </row>
    <row r="57" spans="1:12" s="30" customFormat="1" ht="21" customHeight="1">
      <c r="A57" s="107"/>
      <c r="B57" s="103"/>
      <c r="C57" s="86">
        <v>4170</v>
      </c>
      <c r="D57" s="48" t="s">
        <v>228</v>
      </c>
      <c r="E57" s="101">
        <v>2000</v>
      </c>
      <c r="F57" s="101"/>
      <c r="G57" s="101"/>
      <c r="H57" s="101">
        <f t="shared" si="5"/>
        <v>2000</v>
      </c>
      <c r="I57" s="101"/>
      <c r="J57" s="101">
        <f t="shared" si="1"/>
        <v>2000</v>
      </c>
      <c r="K57" s="101">
        <v>0</v>
      </c>
      <c r="L57" s="101">
        <f t="shared" si="2"/>
        <v>2000</v>
      </c>
    </row>
    <row r="58" spans="1:12" s="30" customFormat="1" ht="21" customHeight="1">
      <c r="A58" s="107"/>
      <c r="B58" s="103"/>
      <c r="C58" s="86">
        <v>4210</v>
      </c>
      <c r="D58" s="48" t="s">
        <v>103</v>
      </c>
      <c r="E58" s="101">
        <v>14500</v>
      </c>
      <c r="F58" s="101">
        <v>8800</v>
      </c>
      <c r="G58" s="101"/>
      <c r="H58" s="101">
        <f t="shared" si="5"/>
        <v>23300</v>
      </c>
      <c r="I58" s="101"/>
      <c r="J58" s="101">
        <f t="shared" si="1"/>
        <v>23300</v>
      </c>
      <c r="K58" s="101">
        <v>0</v>
      </c>
      <c r="L58" s="101">
        <f t="shared" si="2"/>
        <v>23300</v>
      </c>
    </row>
    <row r="59" spans="1:12" s="30" customFormat="1" ht="21" customHeight="1">
      <c r="A59" s="107"/>
      <c r="B59" s="103"/>
      <c r="C59" s="86">
        <v>4300</v>
      </c>
      <c r="D59" s="48" t="s">
        <v>90</v>
      </c>
      <c r="E59" s="101">
        <v>19000</v>
      </c>
      <c r="F59" s="101"/>
      <c r="G59" s="101"/>
      <c r="H59" s="101">
        <f t="shared" si="5"/>
        <v>19000</v>
      </c>
      <c r="I59" s="101">
        <v>5000</v>
      </c>
      <c r="J59" s="101">
        <f t="shared" si="1"/>
        <v>24000</v>
      </c>
      <c r="K59" s="101">
        <v>0</v>
      </c>
      <c r="L59" s="101">
        <f t="shared" si="2"/>
        <v>24000</v>
      </c>
    </row>
    <row r="60" spans="1:12" s="30" customFormat="1" ht="36">
      <c r="A60" s="107"/>
      <c r="B60" s="103"/>
      <c r="C60" s="86">
        <v>4370</v>
      </c>
      <c r="D60" s="48" t="s">
        <v>288</v>
      </c>
      <c r="E60" s="101">
        <v>2000</v>
      </c>
      <c r="F60" s="101"/>
      <c r="G60" s="101"/>
      <c r="H60" s="101">
        <f t="shared" si="5"/>
        <v>2000</v>
      </c>
      <c r="I60" s="101"/>
      <c r="J60" s="101">
        <f t="shared" si="1"/>
        <v>2000</v>
      </c>
      <c r="K60" s="101">
        <v>0</v>
      </c>
      <c r="L60" s="101">
        <f t="shared" si="2"/>
        <v>2000</v>
      </c>
    </row>
    <row r="61" spans="1:12" s="30" customFormat="1" ht="21.75" customHeight="1">
      <c r="A61" s="107"/>
      <c r="B61" s="103"/>
      <c r="C61" s="86">
        <v>4410</v>
      </c>
      <c r="D61" s="48" t="s">
        <v>101</v>
      </c>
      <c r="E61" s="101">
        <v>2000</v>
      </c>
      <c r="F61" s="101">
        <v>9000</v>
      </c>
      <c r="G61" s="101"/>
      <c r="H61" s="101">
        <f t="shared" si="5"/>
        <v>11000</v>
      </c>
      <c r="I61" s="101"/>
      <c r="J61" s="101">
        <f t="shared" si="1"/>
        <v>11000</v>
      </c>
      <c r="K61" s="101">
        <v>0</v>
      </c>
      <c r="L61" s="101">
        <f t="shared" si="2"/>
        <v>11000</v>
      </c>
    </row>
    <row r="62" spans="1:12" s="30" customFormat="1" ht="21" customHeight="1">
      <c r="A62" s="107"/>
      <c r="B62" s="103"/>
      <c r="C62" s="89">
        <v>4430</v>
      </c>
      <c r="D62" s="48" t="s">
        <v>105</v>
      </c>
      <c r="E62" s="101">
        <v>500</v>
      </c>
      <c r="F62" s="101"/>
      <c r="G62" s="101"/>
      <c r="H62" s="101">
        <f t="shared" si="5"/>
        <v>500</v>
      </c>
      <c r="I62" s="101"/>
      <c r="J62" s="101">
        <f t="shared" si="1"/>
        <v>500</v>
      </c>
      <c r="K62" s="101">
        <v>0</v>
      </c>
      <c r="L62" s="101">
        <f t="shared" si="2"/>
        <v>500</v>
      </c>
    </row>
    <row r="63" spans="1:12" s="30" customFormat="1" ht="21" customHeight="1">
      <c r="A63" s="107"/>
      <c r="B63" s="103"/>
      <c r="C63" s="89">
        <v>4700</v>
      </c>
      <c r="D63" s="48" t="s">
        <v>291</v>
      </c>
      <c r="E63" s="101">
        <v>5000</v>
      </c>
      <c r="F63" s="101"/>
      <c r="G63" s="101"/>
      <c r="H63" s="101">
        <f t="shared" si="5"/>
        <v>5000</v>
      </c>
      <c r="I63" s="101">
        <v>-5000</v>
      </c>
      <c r="J63" s="101">
        <f t="shared" si="1"/>
        <v>0</v>
      </c>
      <c r="K63" s="101">
        <v>0</v>
      </c>
      <c r="L63" s="101">
        <f t="shared" si="2"/>
        <v>0</v>
      </c>
    </row>
    <row r="64" spans="1:12" s="30" customFormat="1" ht="36">
      <c r="A64" s="107"/>
      <c r="B64" s="103"/>
      <c r="C64" s="89">
        <v>4740</v>
      </c>
      <c r="D64" s="48" t="s">
        <v>290</v>
      </c>
      <c r="E64" s="101">
        <v>2000</v>
      </c>
      <c r="F64" s="101"/>
      <c r="G64" s="101"/>
      <c r="H64" s="101">
        <f t="shared" si="5"/>
        <v>2000</v>
      </c>
      <c r="I64" s="101"/>
      <c r="J64" s="101">
        <f t="shared" si="1"/>
        <v>2000</v>
      </c>
      <c r="K64" s="101">
        <v>0</v>
      </c>
      <c r="L64" s="101">
        <f t="shared" si="2"/>
        <v>2000</v>
      </c>
    </row>
    <row r="65" spans="1:12" s="30" customFormat="1" ht="21" customHeight="1">
      <c r="A65" s="107"/>
      <c r="B65" s="103"/>
      <c r="C65" s="89">
        <v>4750</v>
      </c>
      <c r="D65" s="48" t="s">
        <v>292</v>
      </c>
      <c r="E65" s="101">
        <v>1000</v>
      </c>
      <c r="F65" s="101"/>
      <c r="G65" s="101"/>
      <c r="H65" s="101">
        <f t="shared" si="5"/>
        <v>1000</v>
      </c>
      <c r="I65" s="101"/>
      <c r="J65" s="101">
        <f t="shared" si="1"/>
        <v>1000</v>
      </c>
      <c r="K65" s="101">
        <v>0</v>
      </c>
      <c r="L65" s="101">
        <f t="shared" si="2"/>
        <v>1000</v>
      </c>
    </row>
    <row r="66" spans="1:12" s="30" customFormat="1" ht="21.75" customHeight="1">
      <c r="A66" s="107"/>
      <c r="B66" s="103" t="s">
        <v>21</v>
      </c>
      <c r="C66" s="107"/>
      <c r="D66" s="48" t="s">
        <v>22</v>
      </c>
      <c r="E66" s="101">
        <f>SUM(E67:E89)</f>
        <v>4383550</v>
      </c>
      <c r="F66" s="101">
        <f>SUM(F67:F89)</f>
        <v>0</v>
      </c>
      <c r="G66" s="101">
        <f>SUM(G67:G89)</f>
        <v>17800</v>
      </c>
      <c r="H66" s="101">
        <f t="shared" si="5"/>
        <v>4365750</v>
      </c>
      <c r="I66" s="101">
        <f>SUM(I67:I89)</f>
        <v>60</v>
      </c>
      <c r="J66" s="101">
        <f>SUM(J67:J89)</f>
        <v>4365810</v>
      </c>
      <c r="K66" s="101">
        <f>SUM(K67:K89)</f>
        <v>0</v>
      </c>
      <c r="L66" s="101">
        <f>SUM(L67:L89)</f>
        <v>4365810</v>
      </c>
    </row>
    <row r="67" spans="1:12" s="30" customFormat="1" ht="21" customHeight="1">
      <c r="A67" s="107"/>
      <c r="B67" s="103"/>
      <c r="C67" s="86">
        <v>3020</v>
      </c>
      <c r="D67" s="48" t="s">
        <v>224</v>
      </c>
      <c r="E67" s="101">
        <v>33500</v>
      </c>
      <c r="F67" s="101"/>
      <c r="G67" s="101"/>
      <c r="H67" s="101">
        <f t="shared" si="5"/>
        <v>33500</v>
      </c>
      <c r="I67" s="101"/>
      <c r="J67" s="101">
        <f t="shared" si="1"/>
        <v>33500</v>
      </c>
      <c r="K67" s="101">
        <v>0</v>
      </c>
      <c r="L67" s="101">
        <f t="shared" si="2"/>
        <v>33500</v>
      </c>
    </row>
    <row r="68" spans="1:12" s="30" customFormat="1" ht="21" customHeight="1">
      <c r="A68" s="107"/>
      <c r="B68" s="103"/>
      <c r="C68" s="86">
        <v>3030</v>
      </c>
      <c r="D68" s="48" t="s">
        <v>100</v>
      </c>
      <c r="E68" s="101">
        <v>60000</v>
      </c>
      <c r="F68" s="101"/>
      <c r="G68" s="101"/>
      <c r="H68" s="101">
        <f t="shared" si="5"/>
        <v>60000</v>
      </c>
      <c r="I68" s="101"/>
      <c r="J68" s="101">
        <f t="shared" si="1"/>
        <v>60000</v>
      </c>
      <c r="K68" s="101">
        <v>0</v>
      </c>
      <c r="L68" s="101">
        <f t="shared" si="2"/>
        <v>60000</v>
      </c>
    </row>
    <row r="69" spans="1:12" s="30" customFormat="1" ht="21" customHeight="1">
      <c r="A69" s="107"/>
      <c r="B69" s="103"/>
      <c r="C69" s="86">
        <v>4010</v>
      </c>
      <c r="D69" s="48" t="s">
        <v>95</v>
      </c>
      <c r="E69" s="101">
        <v>2308200</v>
      </c>
      <c r="F69" s="101"/>
      <c r="G69" s="101"/>
      <c r="H69" s="101">
        <f t="shared" si="5"/>
        <v>2308200</v>
      </c>
      <c r="I69" s="101"/>
      <c r="J69" s="101">
        <f t="shared" si="1"/>
        <v>2308200</v>
      </c>
      <c r="K69" s="101">
        <v>0</v>
      </c>
      <c r="L69" s="101">
        <f t="shared" si="2"/>
        <v>2308200</v>
      </c>
    </row>
    <row r="70" spans="1:12" s="30" customFormat="1" ht="21" customHeight="1">
      <c r="A70" s="107"/>
      <c r="B70" s="103"/>
      <c r="C70" s="86">
        <v>4040</v>
      </c>
      <c r="D70" s="48" t="s">
        <v>96</v>
      </c>
      <c r="E70" s="101">
        <v>154000</v>
      </c>
      <c r="F70" s="101"/>
      <c r="G70" s="101"/>
      <c r="H70" s="101">
        <f t="shared" si="5"/>
        <v>154000</v>
      </c>
      <c r="I70" s="101"/>
      <c r="J70" s="101">
        <f t="shared" si="1"/>
        <v>154000</v>
      </c>
      <c r="K70" s="101">
        <v>0</v>
      </c>
      <c r="L70" s="101">
        <f t="shared" si="2"/>
        <v>154000</v>
      </c>
    </row>
    <row r="71" spans="1:12" s="30" customFormat="1" ht="21" customHeight="1">
      <c r="A71" s="107"/>
      <c r="B71" s="103"/>
      <c r="C71" s="86">
        <v>4110</v>
      </c>
      <c r="D71" s="48" t="s">
        <v>97</v>
      </c>
      <c r="E71" s="101">
        <v>428050</v>
      </c>
      <c r="F71" s="101"/>
      <c r="G71" s="101"/>
      <c r="H71" s="101">
        <f t="shared" si="5"/>
        <v>428050</v>
      </c>
      <c r="I71" s="101"/>
      <c r="J71" s="101">
        <f t="shared" si="1"/>
        <v>428050</v>
      </c>
      <c r="K71" s="101">
        <v>0</v>
      </c>
      <c r="L71" s="101">
        <f t="shared" si="2"/>
        <v>428050</v>
      </c>
    </row>
    <row r="72" spans="1:12" s="30" customFormat="1" ht="21" customHeight="1">
      <c r="A72" s="107"/>
      <c r="B72" s="103"/>
      <c r="C72" s="86">
        <v>4120</v>
      </c>
      <c r="D72" s="48" t="s">
        <v>98</v>
      </c>
      <c r="E72" s="101">
        <v>60500</v>
      </c>
      <c r="F72" s="101"/>
      <c r="G72" s="101"/>
      <c r="H72" s="101">
        <f t="shared" si="5"/>
        <v>60500</v>
      </c>
      <c r="I72" s="101"/>
      <c r="J72" s="101">
        <f t="shared" si="1"/>
        <v>60500</v>
      </c>
      <c r="K72" s="101">
        <v>0</v>
      </c>
      <c r="L72" s="101">
        <f t="shared" si="2"/>
        <v>60500</v>
      </c>
    </row>
    <row r="73" spans="1:12" s="30" customFormat="1" ht="21" customHeight="1">
      <c r="A73" s="107"/>
      <c r="B73" s="103"/>
      <c r="C73" s="86">
        <v>4170</v>
      </c>
      <c r="D73" s="48" t="s">
        <v>228</v>
      </c>
      <c r="E73" s="101">
        <v>10000</v>
      </c>
      <c r="F73" s="101"/>
      <c r="G73" s="101"/>
      <c r="H73" s="101">
        <f t="shared" si="5"/>
        <v>10000</v>
      </c>
      <c r="I73" s="101"/>
      <c r="J73" s="101">
        <f t="shared" si="1"/>
        <v>10000</v>
      </c>
      <c r="K73" s="101">
        <v>0</v>
      </c>
      <c r="L73" s="101">
        <f t="shared" si="2"/>
        <v>10000</v>
      </c>
    </row>
    <row r="74" spans="1:12" s="30" customFormat="1" ht="21" customHeight="1">
      <c r="A74" s="107"/>
      <c r="B74" s="103"/>
      <c r="C74" s="86">
        <v>4210</v>
      </c>
      <c r="D74" s="48" t="s">
        <v>103</v>
      </c>
      <c r="E74" s="101">
        <f>177700+1400</f>
        <v>179100</v>
      </c>
      <c r="F74" s="101"/>
      <c r="G74" s="101"/>
      <c r="H74" s="101">
        <f t="shared" si="5"/>
        <v>179100</v>
      </c>
      <c r="I74" s="101">
        <v>60</v>
      </c>
      <c r="J74" s="101">
        <f t="shared" si="1"/>
        <v>179160</v>
      </c>
      <c r="K74" s="101">
        <v>0</v>
      </c>
      <c r="L74" s="101">
        <f t="shared" si="2"/>
        <v>179160</v>
      </c>
    </row>
    <row r="75" spans="1:12" s="30" customFormat="1" ht="21" customHeight="1">
      <c r="A75" s="107"/>
      <c r="B75" s="103"/>
      <c r="C75" s="86">
        <v>4260</v>
      </c>
      <c r="D75" s="48" t="s">
        <v>106</v>
      </c>
      <c r="E75" s="101">
        <v>89500</v>
      </c>
      <c r="F75" s="101"/>
      <c r="G75" s="101"/>
      <c r="H75" s="101">
        <f t="shared" si="5"/>
        <v>89500</v>
      </c>
      <c r="I75" s="101">
        <v>-2418</v>
      </c>
      <c r="J75" s="101">
        <f t="shared" si="1"/>
        <v>87082</v>
      </c>
      <c r="K75" s="101">
        <v>0</v>
      </c>
      <c r="L75" s="101">
        <f t="shared" si="2"/>
        <v>87082</v>
      </c>
    </row>
    <row r="76" spans="1:12" s="30" customFormat="1" ht="21" customHeight="1">
      <c r="A76" s="107"/>
      <c r="B76" s="103"/>
      <c r="C76" s="86">
        <v>4270</v>
      </c>
      <c r="D76" s="48" t="s">
        <v>89</v>
      </c>
      <c r="E76" s="101">
        <v>411000</v>
      </c>
      <c r="F76" s="101"/>
      <c r="G76" s="101"/>
      <c r="H76" s="101">
        <f t="shared" si="5"/>
        <v>411000</v>
      </c>
      <c r="I76" s="101"/>
      <c r="J76" s="101">
        <f t="shared" si="1"/>
        <v>411000</v>
      </c>
      <c r="K76" s="101">
        <v>0</v>
      </c>
      <c r="L76" s="101">
        <f t="shared" si="2"/>
        <v>411000</v>
      </c>
    </row>
    <row r="77" spans="1:12" s="30" customFormat="1" ht="21" customHeight="1">
      <c r="A77" s="107"/>
      <c r="B77" s="103"/>
      <c r="C77" s="86">
        <v>4280</v>
      </c>
      <c r="D77" s="48" t="s">
        <v>271</v>
      </c>
      <c r="E77" s="101">
        <v>8000</v>
      </c>
      <c r="F77" s="101"/>
      <c r="G77" s="101"/>
      <c r="H77" s="101">
        <f t="shared" si="5"/>
        <v>8000</v>
      </c>
      <c r="I77" s="101"/>
      <c r="J77" s="101">
        <f t="shared" si="1"/>
        <v>8000</v>
      </c>
      <c r="K77" s="101">
        <v>0</v>
      </c>
      <c r="L77" s="101">
        <f t="shared" si="2"/>
        <v>8000</v>
      </c>
    </row>
    <row r="78" spans="1:12" s="30" customFormat="1" ht="21" customHeight="1">
      <c r="A78" s="107"/>
      <c r="B78" s="103"/>
      <c r="C78" s="86">
        <v>4300</v>
      </c>
      <c r="D78" s="48" t="s">
        <v>90</v>
      </c>
      <c r="E78" s="101">
        <v>242200</v>
      </c>
      <c r="F78" s="101"/>
      <c r="G78" s="101">
        <v>17800</v>
      </c>
      <c r="H78" s="101">
        <f t="shared" si="5"/>
        <v>224400</v>
      </c>
      <c r="I78" s="101"/>
      <c r="J78" s="101">
        <f aca="true" t="shared" si="6" ref="J78:J141">SUM(H78:I78)</f>
        <v>224400</v>
      </c>
      <c r="K78" s="101">
        <v>0</v>
      </c>
      <c r="L78" s="101">
        <f aca="true" t="shared" si="7" ref="L78:L141">SUM(J78:K78)</f>
        <v>224400</v>
      </c>
    </row>
    <row r="79" spans="1:12" s="30" customFormat="1" ht="21" customHeight="1">
      <c r="A79" s="107"/>
      <c r="B79" s="103"/>
      <c r="C79" s="86">
        <v>4350</v>
      </c>
      <c r="D79" s="48" t="s">
        <v>259</v>
      </c>
      <c r="E79" s="101">
        <v>4000</v>
      </c>
      <c r="F79" s="101"/>
      <c r="G79" s="101"/>
      <c r="H79" s="101">
        <f t="shared" si="5"/>
        <v>4000</v>
      </c>
      <c r="I79" s="101"/>
      <c r="J79" s="101">
        <f t="shared" si="6"/>
        <v>4000</v>
      </c>
      <c r="K79" s="101">
        <v>0</v>
      </c>
      <c r="L79" s="101">
        <f t="shared" si="7"/>
        <v>4000</v>
      </c>
    </row>
    <row r="80" spans="1:12" s="30" customFormat="1" ht="36">
      <c r="A80" s="107"/>
      <c r="B80" s="103"/>
      <c r="C80" s="86">
        <v>4360</v>
      </c>
      <c r="D80" s="48" t="s">
        <v>293</v>
      </c>
      <c r="E80" s="101">
        <v>24000</v>
      </c>
      <c r="F80" s="101"/>
      <c r="G80" s="101"/>
      <c r="H80" s="101">
        <f t="shared" si="5"/>
        <v>24000</v>
      </c>
      <c r="I80" s="101"/>
      <c r="J80" s="101">
        <f t="shared" si="6"/>
        <v>24000</v>
      </c>
      <c r="K80" s="101">
        <v>0</v>
      </c>
      <c r="L80" s="101">
        <f t="shared" si="7"/>
        <v>24000</v>
      </c>
    </row>
    <row r="81" spans="1:12" s="30" customFormat="1" ht="36">
      <c r="A81" s="107"/>
      <c r="B81" s="103"/>
      <c r="C81" s="86">
        <v>4370</v>
      </c>
      <c r="D81" s="48" t="s">
        <v>288</v>
      </c>
      <c r="E81" s="101">
        <v>48100</v>
      </c>
      <c r="F81" s="101"/>
      <c r="G81" s="101"/>
      <c r="H81" s="101">
        <f t="shared" si="5"/>
        <v>48100</v>
      </c>
      <c r="I81" s="101"/>
      <c r="J81" s="101">
        <f t="shared" si="6"/>
        <v>48100</v>
      </c>
      <c r="K81" s="101">
        <v>0</v>
      </c>
      <c r="L81" s="101">
        <f t="shared" si="7"/>
        <v>48100</v>
      </c>
    </row>
    <row r="82" spans="1:12" s="30" customFormat="1" ht="21" customHeight="1">
      <c r="A82" s="107"/>
      <c r="B82" s="103"/>
      <c r="C82" s="86">
        <v>4410</v>
      </c>
      <c r="D82" s="48" t="s">
        <v>101</v>
      </c>
      <c r="E82" s="101">
        <v>54000</v>
      </c>
      <c r="F82" s="101"/>
      <c r="G82" s="101"/>
      <c r="H82" s="101">
        <f t="shared" si="5"/>
        <v>54000</v>
      </c>
      <c r="I82" s="101"/>
      <c r="J82" s="101">
        <f t="shared" si="6"/>
        <v>54000</v>
      </c>
      <c r="K82" s="101">
        <v>0</v>
      </c>
      <c r="L82" s="101">
        <f t="shared" si="7"/>
        <v>54000</v>
      </c>
    </row>
    <row r="83" spans="1:12" s="30" customFormat="1" ht="21" customHeight="1">
      <c r="A83" s="107"/>
      <c r="B83" s="103"/>
      <c r="C83" s="107">
        <v>4420</v>
      </c>
      <c r="D83" s="48" t="s">
        <v>104</v>
      </c>
      <c r="E83" s="101">
        <v>5000</v>
      </c>
      <c r="F83" s="101"/>
      <c r="G83" s="101"/>
      <c r="H83" s="101">
        <f t="shared" si="5"/>
        <v>5000</v>
      </c>
      <c r="I83" s="101"/>
      <c r="J83" s="101">
        <f t="shared" si="6"/>
        <v>5000</v>
      </c>
      <c r="K83" s="101">
        <v>0</v>
      </c>
      <c r="L83" s="101">
        <f t="shared" si="7"/>
        <v>5000</v>
      </c>
    </row>
    <row r="84" spans="1:12" s="30" customFormat="1" ht="21" customHeight="1">
      <c r="A84" s="107"/>
      <c r="B84" s="103"/>
      <c r="C84" s="89">
        <v>4430</v>
      </c>
      <c r="D84" s="48" t="s">
        <v>105</v>
      </c>
      <c r="E84" s="101">
        <v>52800</v>
      </c>
      <c r="F84" s="101"/>
      <c r="G84" s="101"/>
      <c r="H84" s="101">
        <f t="shared" si="5"/>
        <v>52800</v>
      </c>
      <c r="I84" s="101">
        <v>2418</v>
      </c>
      <c r="J84" s="101">
        <f t="shared" si="6"/>
        <v>55218</v>
      </c>
      <c r="K84" s="101">
        <v>0</v>
      </c>
      <c r="L84" s="101">
        <f t="shared" si="7"/>
        <v>55218</v>
      </c>
    </row>
    <row r="85" spans="1:12" s="30" customFormat="1" ht="21" customHeight="1">
      <c r="A85" s="107"/>
      <c r="B85" s="103"/>
      <c r="C85" s="89">
        <v>4440</v>
      </c>
      <c r="D85" s="48" t="s">
        <v>99</v>
      </c>
      <c r="E85" s="101">
        <v>75100</v>
      </c>
      <c r="F85" s="101"/>
      <c r="G85" s="101"/>
      <c r="H85" s="101">
        <f t="shared" si="5"/>
        <v>75100</v>
      </c>
      <c r="I85" s="101"/>
      <c r="J85" s="101">
        <f t="shared" si="6"/>
        <v>75100</v>
      </c>
      <c r="K85" s="101">
        <v>0</v>
      </c>
      <c r="L85" s="101">
        <f t="shared" si="7"/>
        <v>75100</v>
      </c>
    </row>
    <row r="86" spans="1:12" s="30" customFormat="1" ht="21" customHeight="1">
      <c r="A86" s="107"/>
      <c r="B86" s="103"/>
      <c r="C86" s="89">
        <v>4700</v>
      </c>
      <c r="D86" s="48" t="s">
        <v>291</v>
      </c>
      <c r="E86" s="101">
        <v>28000</v>
      </c>
      <c r="F86" s="101"/>
      <c r="G86" s="101"/>
      <c r="H86" s="101">
        <f t="shared" si="5"/>
        <v>28000</v>
      </c>
      <c r="I86" s="101"/>
      <c r="J86" s="101">
        <f t="shared" si="6"/>
        <v>28000</v>
      </c>
      <c r="K86" s="101">
        <v>0</v>
      </c>
      <c r="L86" s="101">
        <f t="shared" si="7"/>
        <v>28000</v>
      </c>
    </row>
    <row r="87" spans="1:12" s="30" customFormat="1" ht="36">
      <c r="A87" s="107"/>
      <c r="B87" s="103"/>
      <c r="C87" s="89">
        <v>4740</v>
      </c>
      <c r="D87" s="48" t="s">
        <v>290</v>
      </c>
      <c r="E87" s="101">
        <v>20000</v>
      </c>
      <c r="F87" s="101"/>
      <c r="G87" s="101"/>
      <c r="H87" s="101">
        <f t="shared" si="5"/>
        <v>20000</v>
      </c>
      <c r="I87" s="101"/>
      <c r="J87" s="101">
        <f t="shared" si="6"/>
        <v>20000</v>
      </c>
      <c r="K87" s="101">
        <v>0</v>
      </c>
      <c r="L87" s="101">
        <f t="shared" si="7"/>
        <v>20000</v>
      </c>
    </row>
    <row r="88" spans="1:12" s="30" customFormat="1" ht="21" customHeight="1">
      <c r="A88" s="107"/>
      <c r="B88" s="103"/>
      <c r="C88" s="89">
        <v>4750</v>
      </c>
      <c r="D88" s="48" t="s">
        <v>292</v>
      </c>
      <c r="E88" s="101">
        <v>36700</v>
      </c>
      <c r="F88" s="101"/>
      <c r="G88" s="101"/>
      <c r="H88" s="101">
        <f t="shared" si="5"/>
        <v>36700</v>
      </c>
      <c r="I88" s="101"/>
      <c r="J88" s="101">
        <f t="shared" si="6"/>
        <v>36700</v>
      </c>
      <c r="K88" s="101">
        <v>0</v>
      </c>
      <c r="L88" s="101">
        <f t="shared" si="7"/>
        <v>36700</v>
      </c>
    </row>
    <row r="89" spans="1:12" s="30" customFormat="1" ht="21" customHeight="1">
      <c r="A89" s="107"/>
      <c r="B89" s="103"/>
      <c r="C89" s="89">
        <v>6060</v>
      </c>
      <c r="D89" s="48" t="s">
        <v>107</v>
      </c>
      <c r="E89" s="101">
        <v>51800</v>
      </c>
      <c r="F89" s="101"/>
      <c r="G89" s="101"/>
      <c r="H89" s="101">
        <f t="shared" si="5"/>
        <v>51800</v>
      </c>
      <c r="I89" s="101"/>
      <c r="J89" s="101">
        <f t="shared" si="6"/>
        <v>51800</v>
      </c>
      <c r="K89" s="101">
        <v>0</v>
      </c>
      <c r="L89" s="101">
        <f t="shared" si="7"/>
        <v>51800</v>
      </c>
    </row>
    <row r="90" spans="1:12" s="30" customFormat="1" ht="24" customHeight="1">
      <c r="A90" s="107"/>
      <c r="B90" s="103">
        <v>75075</v>
      </c>
      <c r="C90" s="107"/>
      <c r="D90" s="48" t="s">
        <v>253</v>
      </c>
      <c r="E90" s="101">
        <f>SUM(E91:E100)</f>
        <v>340200</v>
      </c>
      <c r="F90" s="101">
        <f>SUM(F91:F100)</f>
        <v>0</v>
      </c>
      <c r="G90" s="101">
        <f>SUM(G91:G100)</f>
        <v>166000</v>
      </c>
      <c r="H90" s="101">
        <f>SUM(H91:H102)</f>
        <v>174200</v>
      </c>
      <c r="I90" s="101">
        <f>SUM(I91:I102)</f>
        <v>0</v>
      </c>
      <c r="J90" s="101">
        <f>SUM(J91:J102)</f>
        <v>174200</v>
      </c>
      <c r="K90" s="101">
        <f>SUM(K91:K102)</f>
        <v>-300</v>
      </c>
      <c r="L90" s="101">
        <f>SUM(L91:L102)</f>
        <v>173900</v>
      </c>
    </row>
    <row r="91" spans="1:12" s="30" customFormat="1" ht="21" customHeight="1">
      <c r="A91" s="107"/>
      <c r="B91" s="103"/>
      <c r="C91" s="107">
        <v>3020</v>
      </c>
      <c r="D91" s="48" t="s">
        <v>224</v>
      </c>
      <c r="E91" s="101">
        <f>11000</f>
        <v>11000</v>
      </c>
      <c r="F91" s="101"/>
      <c r="G91" s="101"/>
      <c r="H91" s="101">
        <f aca="true" t="shared" si="8" ref="H91:H100">E91+F91-G91</f>
        <v>11000</v>
      </c>
      <c r="I91" s="101"/>
      <c r="J91" s="101">
        <f t="shared" si="6"/>
        <v>11000</v>
      </c>
      <c r="K91" s="101">
        <v>0</v>
      </c>
      <c r="L91" s="101">
        <f t="shared" si="7"/>
        <v>11000</v>
      </c>
    </row>
    <row r="92" spans="1:12" s="30" customFormat="1" ht="21" customHeight="1">
      <c r="A92" s="107"/>
      <c r="B92" s="103"/>
      <c r="C92" s="107">
        <v>4110</v>
      </c>
      <c r="D92" s="48" t="s">
        <v>97</v>
      </c>
      <c r="E92" s="101">
        <v>1000</v>
      </c>
      <c r="F92" s="101"/>
      <c r="G92" s="101"/>
      <c r="H92" s="101">
        <f t="shared" si="8"/>
        <v>1000</v>
      </c>
      <c r="I92" s="101"/>
      <c r="J92" s="101">
        <f t="shared" si="6"/>
        <v>1000</v>
      </c>
      <c r="K92" s="101">
        <v>0</v>
      </c>
      <c r="L92" s="101">
        <f t="shared" si="7"/>
        <v>1000</v>
      </c>
    </row>
    <row r="93" spans="1:12" s="30" customFormat="1" ht="21" customHeight="1">
      <c r="A93" s="107"/>
      <c r="B93" s="103"/>
      <c r="C93" s="107">
        <v>4120</v>
      </c>
      <c r="D93" s="48" t="s">
        <v>98</v>
      </c>
      <c r="E93" s="101">
        <v>100</v>
      </c>
      <c r="F93" s="101"/>
      <c r="G93" s="101"/>
      <c r="H93" s="101">
        <f t="shared" si="8"/>
        <v>100</v>
      </c>
      <c r="I93" s="101"/>
      <c r="J93" s="101">
        <f t="shared" si="6"/>
        <v>100</v>
      </c>
      <c r="K93" s="101">
        <v>0</v>
      </c>
      <c r="L93" s="101">
        <f t="shared" si="7"/>
        <v>100</v>
      </c>
    </row>
    <row r="94" spans="1:12" s="30" customFormat="1" ht="21" customHeight="1">
      <c r="A94" s="107"/>
      <c r="B94" s="103"/>
      <c r="C94" s="107">
        <v>4170</v>
      </c>
      <c r="D94" s="48" t="s">
        <v>228</v>
      </c>
      <c r="E94" s="101">
        <v>6000</v>
      </c>
      <c r="F94" s="101"/>
      <c r="G94" s="101"/>
      <c r="H94" s="101">
        <f t="shared" si="8"/>
        <v>6000</v>
      </c>
      <c r="I94" s="101"/>
      <c r="J94" s="101">
        <f t="shared" si="6"/>
        <v>6000</v>
      </c>
      <c r="K94" s="101">
        <v>0</v>
      </c>
      <c r="L94" s="101">
        <f t="shared" si="7"/>
        <v>6000</v>
      </c>
    </row>
    <row r="95" spans="1:12" s="30" customFormat="1" ht="21" customHeight="1">
      <c r="A95" s="107"/>
      <c r="B95" s="103"/>
      <c r="C95" s="107">
        <v>4210</v>
      </c>
      <c r="D95" s="48" t="s">
        <v>103</v>
      </c>
      <c r="E95" s="101">
        <f>100000+15900</f>
        <v>115900</v>
      </c>
      <c r="F95" s="101"/>
      <c r="G95" s="101">
        <f>20000+10000+30000</f>
        <v>60000</v>
      </c>
      <c r="H95" s="101">
        <f t="shared" si="8"/>
        <v>55900</v>
      </c>
      <c r="I95" s="101">
        <f>-1400+400-900</f>
        <v>-1900</v>
      </c>
      <c r="J95" s="101">
        <f t="shared" si="6"/>
        <v>54000</v>
      </c>
      <c r="K95" s="101">
        <v>-300</v>
      </c>
      <c r="L95" s="101">
        <f t="shared" si="7"/>
        <v>53700</v>
      </c>
    </row>
    <row r="96" spans="1:12" s="30" customFormat="1" ht="21" customHeight="1">
      <c r="A96" s="107"/>
      <c r="B96" s="103"/>
      <c r="C96" s="86">
        <v>4300</v>
      </c>
      <c r="D96" s="48" t="s">
        <v>90</v>
      </c>
      <c r="E96" s="101">
        <f>186900+3700+1600</f>
        <v>192200</v>
      </c>
      <c r="F96" s="101"/>
      <c r="G96" s="101">
        <f>30000+30000+46000</f>
        <v>106000</v>
      </c>
      <c r="H96" s="101">
        <f t="shared" si="8"/>
        <v>86200</v>
      </c>
      <c r="I96" s="101">
        <f>-400+900</f>
        <v>500</v>
      </c>
      <c r="J96" s="101">
        <f t="shared" si="6"/>
        <v>86700</v>
      </c>
      <c r="K96" s="101">
        <v>0</v>
      </c>
      <c r="L96" s="101">
        <f t="shared" si="7"/>
        <v>86700</v>
      </c>
    </row>
    <row r="97" spans="1:12" s="30" customFormat="1" ht="21" customHeight="1">
      <c r="A97" s="107"/>
      <c r="B97" s="103"/>
      <c r="C97" s="86">
        <v>4350</v>
      </c>
      <c r="D97" s="48" t="s">
        <v>255</v>
      </c>
      <c r="E97" s="101">
        <v>5000</v>
      </c>
      <c r="F97" s="101"/>
      <c r="G97" s="101"/>
      <c r="H97" s="101">
        <f t="shared" si="8"/>
        <v>5000</v>
      </c>
      <c r="I97" s="101"/>
      <c r="J97" s="101">
        <f t="shared" si="6"/>
        <v>5000</v>
      </c>
      <c r="K97" s="101">
        <v>0</v>
      </c>
      <c r="L97" s="101">
        <f t="shared" si="7"/>
        <v>5000</v>
      </c>
    </row>
    <row r="98" spans="1:12" s="30" customFormat="1" ht="21" customHeight="1">
      <c r="A98" s="107"/>
      <c r="B98" s="103"/>
      <c r="C98" s="86">
        <v>4410</v>
      </c>
      <c r="D98" s="48" t="s">
        <v>101</v>
      </c>
      <c r="E98" s="101">
        <v>3000</v>
      </c>
      <c r="F98" s="101"/>
      <c r="G98" s="101"/>
      <c r="H98" s="101">
        <f t="shared" si="8"/>
        <v>3000</v>
      </c>
      <c r="I98" s="101"/>
      <c r="J98" s="101">
        <f t="shared" si="6"/>
        <v>3000</v>
      </c>
      <c r="K98" s="101">
        <v>0</v>
      </c>
      <c r="L98" s="101">
        <f t="shared" si="7"/>
        <v>3000</v>
      </c>
    </row>
    <row r="99" spans="1:12" s="30" customFormat="1" ht="21" customHeight="1">
      <c r="A99" s="107"/>
      <c r="B99" s="103"/>
      <c r="C99" s="107">
        <v>4420</v>
      </c>
      <c r="D99" s="48" t="s">
        <v>104</v>
      </c>
      <c r="E99" s="101">
        <v>3000</v>
      </c>
      <c r="F99" s="101"/>
      <c r="G99" s="101"/>
      <c r="H99" s="101">
        <f t="shared" si="8"/>
        <v>3000</v>
      </c>
      <c r="I99" s="101"/>
      <c r="J99" s="101">
        <f t="shared" si="6"/>
        <v>3000</v>
      </c>
      <c r="K99" s="101">
        <v>0</v>
      </c>
      <c r="L99" s="101">
        <f t="shared" si="7"/>
        <v>3000</v>
      </c>
    </row>
    <row r="100" spans="1:12" s="30" customFormat="1" ht="21" customHeight="1">
      <c r="A100" s="107"/>
      <c r="B100" s="103"/>
      <c r="C100" s="86">
        <v>4430</v>
      </c>
      <c r="D100" s="48" t="s">
        <v>105</v>
      </c>
      <c r="E100" s="101">
        <v>3000</v>
      </c>
      <c r="F100" s="101"/>
      <c r="G100" s="101"/>
      <c r="H100" s="101">
        <f t="shared" si="8"/>
        <v>3000</v>
      </c>
      <c r="I100" s="101"/>
      <c r="J100" s="101">
        <f t="shared" si="6"/>
        <v>3000</v>
      </c>
      <c r="K100" s="101">
        <v>0</v>
      </c>
      <c r="L100" s="101">
        <f t="shared" si="7"/>
        <v>3000</v>
      </c>
    </row>
    <row r="101" spans="1:12" s="30" customFormat="1" ht="36">
      <c r="A101" s="107"/>
      <c r="B101" s="103"/>
      <c r="C101" s="86">
        <v>4740</v>
      </c>
      <c r="D101" s="48" t="s">
        <v>290</v>
      </c>
      <c r="E101" s="101"/>
      <c r="F101" s="101"/>
      <c r="G101" s="101"/>
      <c r="H101" s="101"/>
      <c r="I101" s="101">
        <v>300</v>
      </c>
      <c r="J101" s="101">
        <f t="shared" si="6"/>
        <v>300</v>
      </c>
      <c r="K101" s="101">
        <v>0</v>
      </c>
      <c r="L101" s="101">
        <f t="shared" si="7"/>
        <v>300</v>
      </c>
    </row>
    <row r="102" spans="1:12" s="30" customFormat="1" ht="24">
      <c r="A102" s="107"/>
      <c r="B102" s="103"/>
      <c r="C102" s="86">
        <v>4750</v>
      </c>
      <c r="D102" s="48" t="s">
        <v>292</v>
      </c>
      <c r="E102" s="101"/>
      <c r="F102" s="101"/>
      <c r="G102" s="101"/>
      <c r="H102" s="101">
        <v>0</v>
      </c>
      <c r="I102" s="101">
        <v>1100</v>
      </c>
      <c r="J102" s="101">
        <f t="shared" si="6"/>
        <v>1100</v>
      </c>
      <c r="K102" s="101">
        <v>0</v>
      </c>
      <c r="L102" s="101">
        <f t="shared" si="7"/>
        <v>1100</v>
      </c>
    </row>
    <row r="103" spans="1:12" s="30" customFormat="1" ht="21" customHeight="1">
      <c r="A103" s="107"/>
      <c r="B103" s="103">
        <v>75095</v>
      </c>
      <c r="C103" s="86"/>
      <c r="D103" s="48" t="s">
        <v>6</v>
      </c>
      <c r="E103" s="101">
        <f>SUM(E104)</f>
        <v>0</v>
      </c>
      <c r="F103" s="101">
        <f>SUM(F104)</f>
        <v>20000</v>
      </c>
      <c r="G103" s="101">
        <f>SUM(G104)</f>
        <v>0</v>
      </c>
      <c r="H103" s="101">
        <f aca="true" t="shared" si="9" ref="H103:H134">E103+F103-G103</f>
        <v>20000</v>
      </c>
      <c r="I103" s="101">
        <f>SUM(I104)</f>
        <v>0</v>
      </c>
      <c r="J103" s="101">
        <f>SUM(J104)</f>
        <v>20000</v>
      </c>
      <c r="K103" s="101">
        <f>SUM(K104)</f>
        <v>0</v>
      </c>
      <c r="L103" s="101">
        <f>SUM(L104)</f>
        <v>20000</v>
      </c>
    </row>
    <row r="104" spans="1:12" s="30" customFormat="1" ht="21" customHeight="1">
      <c r="A104" s="107"/>
      <c r="B104" s="103"/>
      <c r="C104" s="86">
        <v>4300</v>
      </c>
      <c r="D104" s="48" t="s">
        <v>90</v>
      </c>
      <c r="E104" s="101">
        <v>0</v>
      </c>
      <c r="F104" s="101">
        <v>20000</v>
      </c>
      <c r="G104" s="101"/>
      <c r="H104" s="101">
        <f t="shared" si="9"/>
        <v>20000</v>
      </c>
      <c r="I104" s="101"/>
      <c r="J104" s="101">
        <f t="shared" si="6"/>
        <v>20000</v>
      </c>
      <c r="K104" s="101">
        <v>0</v>
      </c>
      <c r="L104" s="101">
        <f t="shared" si="7"/>
        <v>20000</v>
      </c>
    </row>
    <row r="105" spans="1:12" s="8" customFormat="1" ht="45" customHeight="1">
      <c r="A105" s="43">
        <v>751</v>
      </c>
      <c r="B105" s="44"/>
      <c r="C105" s="45"/>
      <c r="D105" s="46" t="s">
        <v>109</v>
      </c>
      <c r="E105" s="47">
        <f>SUM(E106)</f>
        <v>3809</v>
      </c>
      <c r="F105" s="47">
        <f>SUM(F106)</f>
        <v>0</v>
      </c>
      <c r="G105" s="47">
        <f>SUM(G106)</f>
        <v>0</v>
      </c>
      <c r="H105" s="47">
        <f t="shared" si="9"/>
        <v>3809</v>
      </c>
      <c r="I105" s="47">
        <f>SUM(I106)</f>
        <v>0</v>
      </c>
      <c r="J105" s="47">
        <f>SUM(J106)</f>
        <v>3809</v>
      </c>
      <c r="K105" s="47">
        <f>SUM(K106)</f>
        <v>0</v>
      </c>
      <c r="L105" s="47">
        <f>SUM(L106)</f>
        <v>3809</v>
      </c>
    </row>
    <row r="106" spans="1:12" s="30" customFormat="1" ht="32.25" customHeight="1">
      <c r="A106" s="107"/>
      <c r="B106" s="103">
        <v>75101</v>
      </c>
      <c r="C106" s="107"/>
      <c r="D106" s="48" t="s">
        <v>24</v>
      </c>
      <c r="E106" s="101">
        <f>SUM(E107:E109)</f>
        <v>3809</v>
      </c>
      <c r="F106" s="101">
        <f>SUM(F107:F109)</f>
        <v>0</v>
      </c>
      <c r="G106" s="101">
        <f>SUM(G107:G109)</f>
        <v>0</v>
      </c>
      <c r="H106" s="101">
        <f t="shared" si="9"/>
        <v>3809</v>
      </c>
      <c r="I106" s="101">
        <f>SUM(I107:I109)</f>
        <v>0</v>
      </c>
      <c r="J106" s="101">
        <f>SUM(J107:J109)</f>
        <v>3809</v>
      </c>
      <c r="K106" s="101">
        <f>SUM(K107:K109)</f>
        <v>0</v>
      </c>
      <c r="L106" s="101">
        <f>SUM(L107:L109)</f>
        <v>3809</v>
      </c>
    </row>
    <row r="107" spans="1:12" s="30" customFormat="1" ht="21" customHeight="1">
      <c r="A107" s="107"/>
      <c r="B107" s="103"/>
      <c r="C107" s="86">
        <v>4210</v>
      </c>
      <c r="D107" s="48" t="s">
        <v>103</v>
      </c>
      <c r="E107" s="101">
        <v>1009</v>
      </c>
      <c r="F107" s="101"/>
      <c r="G107" s="101"/>
      <c r="H107" s="101">
        <f t="shared" si="9"/>
        <v>1009</v>
      </c>
      <c r="I107" s="101"/>
      <c r="J107" s="101">
        <f t="shared" si="6"/>
        <v>1009</v>
      </c>
      <c r="K107" s="101">
        <v>0</v>
      </c>
      <c r="L107" s="101">
        <f t="shared" si="7"/>
        <v>1009</v>
      </c>
    </row>
    <row r="108" spans="1:12" s="30" customFormat="1" ht="25.5" customHeight="1">
      <c r="A108" s="107"/>
      <c r="B108" s="103"/>
      <c r="C108" s="86">
        <v>4700</v>
      </c>
      <c r="D108" s="48" t="s">
        <v>291</v>
      </c>
      <c r="E108" s="101">
        <v>1600</v>
      </c>
      <c r="F108" s="101"/>
      <c r="G108" s="101"/>
      <c r="H108" s="101">
        <f t="shared" si="9"/>
        <v>1600</v>
      </c>
      <c r="I108" s="101"/>
      <c r="J108" s="101">
        <f t="shared" si="6"/>
        <v>1600</v>
      </c>
      <c r="K108" s="101">
        <v>0</v>
      </c>
      <c r="L108" s="101">
        <f t="shared" si="7"/>
        <v>1600</v>
      </c>
    </row>
    <row r="109" spans="1:12" s="30" customFormat="1" ht="36">
      <c r="A109" s="107"/>
      <c r="B109" s="103"/>
      <c r="C109" s="86">
        <v>4740</v>
      </c>
      <c r="D109" s="48" t="s">
        <v>290</v>
      </c>
      <c r="E109" s="101">
        <v>1200</v>
      </c>
      <c r="F109" s="101"/>
      <c r="G109" s="101"/>
      <c r="H109" s="101">
        <f t="shared" si="9"/>
        <v>1200</v>
      </c>
      <c r="I109" s="101"/>
      <c r="J109" s="101">
        <f t="shared" si="6"/>
        <v>1200</v>
      </c>
      <c r="K109" s="101">
        <v>0</v>
      </c>
      <c r="L109" s="101">
        <f t="shared" si="7"/>
        <v>1200</v>
      </c>
    </row>
    <row r="110" spans="1:12" s="8" customFormat="1" ht="24.75" customHeight="1">
      <c r="A110" s="43" t="s">
        <v>25</v>
      </c>
      <c r="B110" s="44"/>
      <c r="C110" s="45"/>
      <c r="D110" s="46" t="s">
        <v>110</v>
      </c>
      <c r="E110" s="47">
        <f>SUM(E111,E124,E140,)</f>
        <v>472000</v>
      </c>
      <c r="F110" s="47">
        <f>SUM(F111,F124,F140,)</f>
        <v>20000</v>
      </c>
      <c r="G110" s="47">
        <f>SUM(G111,G124,G140,)</f>
        <v>0</v>
      </c>
      <c r="H110" s="47">
        <f t="shared" si="9"/>
        <v>492000</v>
      </c>
      <c r="I110" s="47">
        <f>SUM(I111,I124,I140,)</f>
        <v>0</v>
      </c>
      <c r="J110" s="47">
        <f>SUM(J111,J124,J140,)</f>
        <v>492000</v>
      </c>
      <c r="K110" s="47">
        <f>SUM(K111,K124,K140,)</f>
        <v>900</v>
      </c>
      <c r="L110" s="47">
        <f>SUM(L111,L124,L140,)</f>
        <v>492900</v>
      </c>
    </row>
    <row r="111" spans="1:12" s="30" customFormat="1" ht="21.75" customHeight="1">
      <c r="A111" s="107"/>
      <c r="B111" s="103" t="s">
        <v>111</v>
      </c>
      <c r="C111" s="107"/>
      <c r="D111" s="48" t="s">
        <v>112</v>
      </c>
      <c r="E111" s="101">
        <f>SUM(E112:E123)</f>
        <v>202000</v>
      </c>
      <c r="F111" s="101">
        <f>SUM(F112:F123)</f>
        <v>0</v>
      </c>
      <c r="G111" s="101">
        <f>SUM(G112:G123)</f>
        <v>0</v>
      </c>
      <c r="H111" s="101">
        <f t="shared" si="9"/>
        <v>202000</v>
      </c>
      <c r="I111" s="101">
        <f>SUM(I112:I123)</f>
        <v>0</v>
      </c>
      <c r="J111" s="101">
        <f>SUM(J112:J123)</f>
        <v>202000</v>
      </c>
      <c r="K111" s="101">
        <f>SUM(K112:K123)</f>
        <v>900</v>
      </c>
      <c r="L111" s="101">
        <f>SUM(L112:L123)</f>
        <v>202900</v>
      </c>
    </row>
    <row r="112" spans="1:12" s="30" customFormat="1" ht="21" customHeight="1">
      <c r="A112" s="107"/>
      <c r="B112" s="103"/>
      <c r="C112" s="107">
        <v>3020</v>
      </c>
      <c r="D112" s="48" t="s">
        <v>224</v>
      </c>
      <c r="E112" s="101">
        <v>18800</v>
      </c>
      <c r="F112" s="101"/>
      <c r="G112" s="101"/>
      <c r="H112" s="101">
        <f t="shared" si="9"/>
        <v>18800</v>
      </c>
      <c r="I112" s="101"/>
      <c r="J112" s="101">
        <f t="shared" si="6"/>
        <v>18800</v>
      </c>
      <c r="K112" s="101">
        <v>0</v>
      </c>
      <c r="L112" s="101">
        <f t="shared" si="7"/>
        <v>18800</v>
      </c>
    </row>
    <row r="113" spans="1:12" s="30" customFormat="1" ht="21" customHeight="1">
      <c r="A113" s="107"/>
      <c r="B113" s="103"/>
      <c r="C113" s="107">
        <v>4110</v>
      </c>
      <c r="D113" s="48" t="s">
        <v>97</v>
      </c>
      <c r="E113" s="101">
        <v>4200</v>
      </c>
      <c r="F113" s="101"/>
      <c r="G113" s="101"/>
      <c r="H113" s="101">
        <f t="shared" si="9"/>
        <v>4200</v>
      </c>
      <c r="I113" s="101"/>
      <c r="J113" s="101">
        <f t="shared" si="6"/>
        <v>4200</v>
      </c>
      <c r="K113" s="101">
        <v>0</v>
      </c>
      <c r="L113" s="101">
        <f t="shared" si="7"/>
        <v>4200</v>
      </c>
    </row>
    <row r="114" spans="1:12" s="30" customFormat="1" ht="21" customHeight="1">
      <c r="A114" s="107"/>
      <c r="B114" s="103"/>
      <c r="C114" s="107">
        <v>4120</v>
      </c>
      <c r="D114" s="48" t="s">
        <v>272</v>
      </c>
      <c r="E114" s="101">
        <v>600</v>
      </c>
      <c r="F114" s="101"/>
      <c r="G114" s="101"/>
      <c r="H114" s="101">
        <f t="shared" si="9"/>
        <v>600</v>
      </c>
      <c r="I114" s="101"/>
      <c r="J114" s="101">
        <f t="shared" si="6"/>
        <v>600</v>
      </c>
      <c r="K114" s="101">
        <v>0</v>
      </c>
      <c r="L114" s="101">
        <f t="shared" si="7"/>
        <v>600</v>
      </c>
    </row>
    <row r="115" spans="1:12" s="30" customFormat="1" ht="21" customHeight="1">
      <c r="A115" s="107"/>
      <c r="B115" s="103"/>
      <c r="C115" s="86">
        <v>4170</v>
      </c>
      <c r="D115" s="48" t="s">
        <v>228</v>
      </c>
      <c r="E115" s="101">
        <v>24000</v>
      </c>
      <c r="F115" s="101"/>
      <c r="G115" s="101"/>
      <c r="H115" s="101">
        <f t="shared" si="9"/>
        <v>24000</v>
      </c>
      <c r="I115" s="101"/>
      <c r="J115" s="101">
        <f t="shared" si="6"/>
        <v>24000</v>
      </c>
      <c r="K115" s="101">
        <v>0</v>
      </c>
      <c r="L115" s="101">
        <f t="shared" si="7"/>
        <v>24000</v>
      </c>
    </row>
    <row r="116" spans="1:12" s="30" customFormat="1" ht="21" customHeight="1">
      <c r="A116" s="107"/>
      <c r="B116" s="103"/>
      <c r="C116" s="86">
        <v>4210</v>
      </c>
      <c r="D116" s="48" t="s">
        <v>103</v>
      </c>
      <c r="E116" s="101">
        <f>23730+5000</f>
        <v>28730</v>
      </c>
      <c r="F116" s="101"/>
      <c r="G116" s="101"/>
      <c r="H116" s="101">
        <f t="shared" si="9"/>
        <v>28730</v>
      </c>
      <c r="I116" s="101"/>
      <c r="J116" s="101">
        <f t="shared" si="6"/>
        <v>28730</v>
      </c>
      <c r="K116" s="101">
        <v>0</v>
      </c>
      <c r="L116" s="101">
        <f t="shared" si="7"/>
        <v>28730</v>
      </c>
    </row>
    <row r="117" spans="1:12" s="30" customFormat="1" ht="21" customHeight="1">
      <c r="A117" s="107"/>
      <c r="B117" s="103"/>
      <c r="C117" s="86">
        <v>4260</v>
      </c>
      <c r="D117" s="48" t="s">
        <v>106</v>
      </c>
      <c r="E117" s="101">
        <v>10000</v>
      </c>
      <c r="F117" s="101"/>
      <c r="G117" s="101"/>
      <c r="H117" s="101">
        <f t="shared" si="9"/>
        <v>10000</v>
      </c>
      <c r="I117" s="101"/>
      <c r="J117" s="101">
        <f t="shared" si="6"/>
        <v>10000</v>
      </c>
      <c r="K117" s="101">
        <v>0</v>
      </c>
      <c r="L117" s="101">
        <f t="shared" si="7"/>
        <v>10000</v>
      </c>
    </row>
    <row r="118" spans="1:12" s="30" customFormat="1" ht="21" customHeight="1">
      <c r="A118" s="107"/>
      <c r="B118" s="103"/>
      <c r="C118" s="86">
        <v>4270</v>
      </c>
      <c r="D118" s="48" t="s">
        <v>89</v>
      </c>
      <c r="E118" s="101">
        <v>14000</v>
      </c>
      <c r="F118" s="101"/>
      <c r="G118" s="101"/>
      <c r="H118" s="101">
        <f t="shared" si="9"/>
        <v>14000</v>
      </c>
      <c r="I118" s="101"/>
      <c r="J118" s="101">
        <f t="shared" si="6"/>
        <v>14000</v>
      </c>
      <c r="K118" s="101">
        <v>0</v>
      </c>
      <c r="L118" s="101">
        <f t="shared" si="7"/>
        <v>14000</v>
      </c>
    </row>
    <row r="119" spans="1:12" s="30" customFormat="1" ht="21" customHeight="1">
      <c r="A119" s="107"/>
      <c r="B119" s="103"/>
      <c r="C119" s="86">
        <v>4280</v>
      </c>
      <c r="D119" s="48" t="s">
        <v>271</v>
      </c>
      <c r="E119" s="101">
        <v>3600</v>
      </c>
      <c r="F119" s="101"/>
      <c r="G119" s="101"/>
      <c r="H119" s="101">
        <f t="shared" si="9"/>
        <v>3600</v>
      </c>
      <c r="I119" s="101"/>
      <c r="J119" s="101">
        <f t="shared" si="6"/>
        <v>3600</v>
      </c>
      <c r="K119" s="101">
        <v>0</v>
      </c>
      <c r="L119" s="101">
        <f t="shared" si="7"/>
        <v>3600</v>
      </c>
    </row>
    <row r="120" spans="1:12" s="30" customFormat="1" ht="21" customHeight="1">
      <c r="A120" s="107"/>
      <c r="B120" s="103"/>
      <c r="C120" s="86">
        <v>4300</v>
      </c>
      <c r="D120" s="48" t="s">
        <v>90</v>
      </c>
      <c r="E120" s="101">
        <v>16500</v>
      </c>
      <c r="F120" s="101"/>
      <c r="G120" s="101"/>
      <c r="H120" s="101">
        <f t="shared" si="9"/>
        <v>16500</v>
      </c>
      <c r="I120" s="101"/>
      <c r="J120" s="101">
        <f t="shared" si="6"/>
        <v>16500</v>
      </c>
      <c r="K120" s="101">
        <v>900</v>
      </c>
      <c r="L120" s="101">
        <f t="shared" si="7"/>
        <v>17400</v>
      </c>
    </row>
    <row r="121" spans="1:12" s="30" customFormat="1" ht="21" customHeight="1">
      <c r="A121" s="107"/>
      <c r="B121" s="103"/>
      <c r="C121" s="86">
        <v>4410</v>
      </c>
      <c r="D121" s="48" t="s">
        <v>101</v>
      </c>
      <c r="E121" s="101">
        <v>3400</v>
      </c>
      <c r="F121" s="101"/>
      <c r="G121" s="101"/>
      <c r="H121" s="101">
        <f t="shared" si="9"/>
        <v>3400</v>
      </c>
      <c r="I121" s="101"/>
      <c r="J121" s="101">
        <f t="shared" si="6"/>
        <v>3400</v>
      </c>
      <c r="K121" s="101">
        <v>0</v>
      </c>
      <c r="L121" s="101">
        <f t="shared" si="7"/>
        <v>3400</v>
      </c>
    </row>
    <row r="122" spans="1:12" s="30" customFormat="1" ht="21" customHeight="1">
      <c r="A122" s="107"/>
      <c r="B122" s="103"/>
      <c r="C122" s="86">
        <v>4430</v>
      </c>
      <c r="D122" s="48" t="s">
        <v>105</v>
      </c>
      <c r="E122" s="101">
        <v>10000</v>
      </c>
      <c r="F122" s="101"/>
      <c r="G122" s="101"/>
      <c r="H122" s="101">
        <f t="shared" si="9"/>
        <v>10000</v>
      </c>
      <c r="I122" s="101"/>
      <c r="J122" s="101">
        <f t="shared" si="6"/>
        <v>10000</v>
      </c>
      <c r="K122" s="101">
        <v>0</v>
      </c>
      <c r="L122" s="101">
        <f t="shared" si="7"/>
        <v>10000</v>
      </c>
    </row>
    <row r="123" spans="1:12" s="30" customFormat="1" ht="21" customHeight="1">
      <c r="A123" s="107"/>
      <c r="B123" s="103"/>
      <c r="C123" s="86">
        <v>6050</v>
      </c>
      <c r="D123" s="48" t="s">
        <v>84</v>
      </c>
      <c r="E123" s="101">
        <v>68170</v>
      </c>
      <c r="F123" s="101"/>
      <c r="G123" s="101"/>
      <c r="H123" s="101">
        <f t="shared" si="9"/>
        <v>68170</v>
      </c>
      <c r="I123" s="101"/>
      <c r="J123" s="101">
        <f t="shared" si="6"/>
        <v>68170</v>
      </c>
      <c r="K123" s="101">
        <v>0</v>
      </c>
      <c r="L123" s="101">
        <f t="shared" si="7"/>
        <v>68170</v>
      </c>
    </row>
    <row r="124" spans="1:12" s="30" customFormat="1" ht="21.75" customHeight="1">
      <c r="A124" s="107"/>
      <c r="B124" s="103">
        <v>75416</v>
      </c>
      <c r="C124" s="107"/>
      <c r="D124" s="48" t="s">
        <v>28</v>
      </c>
      <c r="E124" s="101">
        <f>SUM(E125:E139)</f>
        <v>265000</v>
      </c>
      <c r="F124" s="101">
        <f>SUM(F125:F139)</f>
        <v>0</v>
      </c>
      <c r="G124" s="101">
        <f>SUM(G125:G139)</f>
        <v>0</v>
      </c>
      <c r="H124" s="101">
        <f t="shared" si="9"/>
        <v>265000</v>
      </c>
      <c r="I124" s="101">
        <f>SUM(I125:I139)</f>
        <v>0</v>
      </c>
      <c r="J124" s="101">
        <f>SUM(J125:J139)</f>
        <v>265000</v>
      </c>
      <c r="K124" s="101">
        <f>SUM(K125:K139)</f>
        <v>0</v>
      </c>
      <c r="L124" s="101">
        <f>SUM(L125:L139)</f>
        <v>265000</v>
      </c>
    </row>
    <row r="125" spans="1:12" s="30" customFormat="1" ht="21" customHeight="1">
      <c r="A125" s="107"/>
      <c r="B125" s="103"/>
      <c r="C125" s="86">
        <v>3020</v>
      </c>
      <c r="D125" s="48" t="s">
        <v>224</v>
      </c>
      <c r="E125" s="101">
        <f>10400+3500</f>
        <v>13900</v>
      </c>
      <c r="F125" s="101"/>
      <c r="G125" s="101"/>
      <c r="H125" s="101">
        <f t="shared" si="9"/>
        <v>13900</v>
      </c>
      <c r="I125" s="101"/>
      <c r="J125" s="101">
        <f t="shared" si="6"/>
        <v>13900</v>
      </c>
      <c r="K125" s="101">
        <v>0</v>
      </c>
      <c r="L125" s="101">
        <f t="shared" si="7"/>
        <v>13900</v>
      </c>
    </row>
    <row r="126" spans="1:12" s="30" customFormat="1" ht="21" customHeight="1">
      <c r="A126" s="107"/>
      <c r="B126" s="103"/>
      <c r="C126" s="86">
        <v>4010</v>
      </c>
      <c r="D126" s="48" t="s">
        <v>95</v>
      </c>
      <c r="E126" s="101">
        <f>126900+43000</f>
        <v>169900</v>
      </c>
      <c r="F126" s="101"/>
      <c r="G126" s="101"/>
      <c r="H126" s="101">
        <f t="shared" si="9"/>
        <v>169900</v>
      </c>
      <c r="I126" s="101"/>
      <c r="J126" s="101">
        <f t="shared" si="6"/>
        <v>169900</v>
      </c>
      <c r="K126" s="101">
        <v>0</v>
      </c>
      <c r="L126" s="101">
        <f t="shared" si="7"/>
        <v>169900</v>
      </c>
    </row>
    <row r="127" spans="1:12" s="30" customFormat="1" ht="21" customHeight="1">
      <c r="A127" s="107"/>
      <c r="B127" s="103"/>
      <c r="C127" s="86">
        <v>4040</v>
      </c>
      <c r="D127" s="48" t="s">
        <v>96</v>
      </c>
      <c r="E127" s="101">
        <v>6300</v>
      </c>
      <c r="F127" s="101"/>
      <c r="G127" s="101"/>
      <c r="H127" s="101">
        <f t="shared" si="9"/>
        <v>6300</v>
      </c>
      <c r="I127" s="101"/>
      <c r="J127" s="101">
        <f t="shared" si="6"/>
        <v>6300</v>
      </c>
      <c r="K127" s="101">
        <v>0</v>
      </c>
      <c r="L127" s="101">
        <f t="shared" si="7"/>
        <v>6300</v>
      </c>
    </row>
    <row r="128" spans="1:12" s="30" customFormat="1" ht="21" customHeight="1">
      <c r="A128" s="107"/>
      <c r="B128" s="103"/>
      <c r="C128" s="86">
        <v>4110</v>
      </c>
      <c r="D128" s="48" t="s">
        <v>97</v>
      </c>
      <c r="E128" s="101">
        <f>23200+7400</f>
        <v>30600</v>
      </c>
      <c r="F128" s="101"/>
      <c r="G128" s="101"/>
      <c r="H128" s="101">
        <f t="shared" si="9"/>
        <v>30600</v>
      </c>
      <c r="I128" s="101"/>
      <c r="J128" s="101">
        <f t="shared" si="6"/>
        <v>30600</v>
      </c>
      <c r="K128" s="101">
        <v>0</v>
      </c>
      <c r="L128" s="101">
        <f t="shared" si="7"/>
        <v>30600</v>
      </c>
    </row>
    <row r="129" spans="1:12" s="30" customFormat="1" ht="21" customHeight="1">
      <c r="A129" s="107"/>
      <c r="B129" s="103"/>
      <c r="C129" s="86">
        <v>4120</v>
      </c>
      <c r="D129" s="48" t="s">
        <v>98</v>
      </c>
      <c r="E129" s="101">
        <f>3300+1000</f>
        <v>4300</v>
      </c>
      <c r="F129" s="101"/>
      <c r="G129" s="101"/>
      <c r="H129" s="101">
        <f t="shared" si="9"/>
        <v>4300</v>
      </c>
      <c r="I129" s="101"/>
      <c r="J129" s="101">
        <f t="shared" si="6"/>
        <v>4300</v>
      </c>
      <c r="K129" s="101">
        <v>0</v>
      </c>
      <c r="L129" s="101">
        <f t="shared" si="7"/>
        <v>4300</v>
      </c>
    </row>
    <row r="130" spans="1:12" s="30" customFormat="1" ht="21" customHeight="1">
      <c r="A130" s="107"/>
      <c r="B130" s="103"/>
      <c r="C130" s="86">
        <v>4210</v>
      </c>
      <c r="D130" s="48" t="s">
        <v>103</v>
      </c>
      <c r="E130" s="101">
        <v>8500</v>
      </c>
      <c r="F130" s="101"/>
      <c r="G130" s="101"/>
      <c r="H130" s="101">
        <f t="shared" si="9"/>
        <v>8500</v>
      </c>
      <c r="I130" s="101"/>
      <c r="J130" s="101">
        <f t="shared" si="6"/>
        <v>8500</v>
      </c>
      <c r="K130" s="101">
        <v>0</v>
      </c>
      <c r="L130" s="101">
        <f t="shared" si="7"/>
        <v>8500</v>
      </c>
    </row>
    <row r="131" spans="1:12" s="30" customFormat="1" ht="21" customHeight="1">
      <c r="A131" s="107"/>
      <c r="B131" s="103"/>
      <c r="C131" s="86">
        <v>4270</v>
      </c>
      <c r="D131" s="48" t="s">
        <v>89</v>
      </c>
      <c r="E131" s="101">
        <v>4000</v>
      </c>
      <c r="F131" s="101"/>
      <c r="G131" s="101"/>
      <c r="H131" s="101">
        <f t="shared" si="9"/>
        <v>4000</v>
      </c>
      <c r="I131" s="101"/>
      <c r="J131" s="101">
        <f t="shared" si="6"/>
        <v>4000</v>
      </c>
      <c r="K131" s="101">
        <v>0</v>
      </c>
      <c r="L131" s="101">
        <f t="shared" si="7"/>
        <v>4000</v>
      </c>
    </row>
    <row r="132" spans="1:12" s="30" customFormat="1" ht="21" customHeight="1">
      <c r="A132" s="107"/>
      <c r="B132" s="103"/>
      <c r="C132" s="86">
        <v>4280</v>
      </c>
      <c r="D132" s="48" t="s">
        <v>271</v>
      </c>
      <c r="E132" s="101">
        <f>1200+500</f>
        <v>1700</v>
      </c>
      <c r="F132" s="101"/>
      <c r="G132" s="101"/>
      <c r="H132" s="101">
        <f t="shared" si="9"/>
        <v>1700</v>
      </c>
      <c r="I132" s="101"/>
      <c r="J132" s="101">
        <f t="shared" si="6"/>
        <v>1700</v>
      </c>
      <c r="K132" s="101">
        <v>0</v>
      </c>
      <c r="L132" s="101">
        <f t="shared" si="7"/>
        <v>1700</v>
      </c>
    </row>
    <row r="133" spans="1:12" s="30" customFormat="1" ht="21" customHeight="1">
      <c r="A133" s="107"/>
      <c r="B133" s="103"/>
      <c r="C133" s="86">
        <v>4300</v>
      </c>
      <c r="D133" s="48" t="s">
        <v>90</v>
      </c>
      <c r="E133" s="101">
        <v>4000</v>
      </c>
      <c r="F133" s="101"/>
      <c r="G133" s="101"/>
      <c r="H133" s="101">
        <f t="shared" si="9"/>
        <v>4000</v>
      </c>
      <c r="I133" s="101"/>
      <c r="J133" s="101">
        <f t="shared" si="6"/>
        <v>4000</v>
      </c>
      <c r="K133" s="101">
        <v>0</v>
      </c>
      <c r="L133" s="101">
        <f t="shared" si="7"/>
        <v>4000</v>
      </c>
    </row>
    <row r="134" spans="1:12" s="30" customFormat="1" ht="36">
      <c r="A134" s="107"/>
      <c r="B134" s="103"/>
      <c r="C134" s="86">
        <v>4360</v>
      </c>
      <c r="D134" s="48" t="s">
        <v>293</v>
      </c>
      <c r="E134" s="101">
        <v>2000</v>
      </c>
      <c r="F134" s="101"/>
      <c r="G134" s="101"/>
      <c r="H134" s="101">
        <f t="shared" si="9"/>
        <v>2000</v>
      </c>
      <c r="I134" s="101"/>
      <c r="J134" s="101">
        <f t="shared" si="6"/>
        <v>2000</v>
      </c>
      <c r="K134" s="101">
        <v>0</v>
      </c>
      <c r="L134" s="101">
        <f t="shared" si="7"/>
        <v>2000</v>
      </c>
    </row>
    <row r="135" spans="1:12" s="30" customFormat="1" ht="36">
      <c r="A135" s="107"/>
      <c r="B135" s="103"/>
      <c r="C135" s="86">
        <v>4370</v>
      </c>
      <c r="D135" s="48" t="s">
        <v>288</v>
      </c>
      <c r="E135" s="101">
        <v>1000</v>
      </c>
      <c r="F135" s="101"/>
      <c r="G135" s="101"/>
      <c r="H135" s="101">
        <f aca="true" t="shared" si="10" ref="H135:H166">E135+F135-G135</f>
        <v>1000</v>
      </c>
      <c r="I135" s="101"/>
      <c r="J135" s="101">
        <f t="shared" si="6"/>
        <v>1000</v>
      </c>
      <c r="K135" s="101">
        <v>0</v>
      </c>
      <c r="L135" s="101">
        <f t="shared" si="7"/>
        <v>1000</v>
      </c>
    </row>
    <row r="136" spans="1:12" s="30" customFormat="1" ht="21" customHeight="1">
      <c r="A136" s="107"/>
      <c r="B136" s="103"/>
      <c r="C136" s="86">
        <v>4410</v>
      </c>
      <c r="D136" s="48" t="s">
        <v>101</v>
      </c>
      <c r="E136" s="101">
        <v>500</v>
      </c>
      <c r="F136" s="101"/>
      <c r="G136" s="101"/>
      <c r="H136" s="101">
        <f t="shared" si="10"/>
        <v>500</v>
      </c>
      <c r="I136" s="101"/>
      <c r="J136" s="101">
        <f t="shared" si="6"/>
        <v>500</v>
      </c>
      <c r="K136" s="101">
        <v>0</v>
      </c>
      <c r="L136" s="101">
        <f t="shared" si="7"/>
        <v>500</v>
      </c>
    </row>
    <row r="137" spans="1:12" s="30" customFormat="1" ht="21" customHeight="1">
      <c r="A137" s="107"/>
      <c r="B137" s="103"/>
      <c r="C137" s="89">
        <v>4430</v>
      </c>
      <c r="D137" s="48" t="s">
        <v>105</v>
      </c>
      <c r="E137" s="101">
        <v>3500</v>
      </c>
      <c r="F137" s="101"/>
      <c r="G137" s="101"/>
      <c r="H137" s="101">
        <f t="shared" si="10"/>
        <v>3500</v>
      </c>
      <c r="I137" s="101"/>
      <c r="J137" s="101">
        <f t="shared" si="6"/>
        <v>3500</v>
      </c>
      <c r="K137" s="101">
        <v>0</v>
      </c>
      <c r="L137" s="101">
        <f t="shared" si="7"/>
        <v>3500</v>
      </c>
    </row>
    <row r="138" spans="1:12" s="30" customFormat="1" ht="21" customHeight="1">
      <c r="A138" s="107"/>
      <c r="B138" s="103"/>
      <c r="C138" s="89">
        <v>4440</v>
      </c>
      <c r="D138" s="48" t="s">
        <v>99</v>
      </c>
      <c r="E138" s="101">
        <f>4000+800</f>
        <v>4800</v>
      </c>
      <c r="F138" s="101"/>
      <c r="G138" s="101"/>
      <c r="H138" s="101">
        <f t="shared" si="10"/>
        <v>4800</v>
      </c>
      <c r="I138" s="101"/>
      <c r="J138" s="101">
        <f t="shared" si="6"/>
        <v>4800</v>
      </c>
      <c r="K138" s="101">
        <v>0</v>
      </c>
      <c r="L138" s="101">
        <f t="shared" si="7"/>
        <v>4800</v>
      </c>
    </row>
    <row r="139" spans="1:12" s="30" customFormat="1" ht="21" customHeight="1">
      <c r="A139" s="107"/>
      <c r="B139" s="103"/>
      <c r="C139" s="89">
        <v>4700</v>
      </c>
      <c r="D139" s="48" t="s">
        <v>291</v>
      </c>
      <c r="E139" s="101">
        <f>7000+3000</f>
        <v>10000</v>
      </c>
      <c r="F139" s="101"/>
      <c r="G139" s="101"/>
      <c r="H139" s="101">
        <f t="shared" si="10"/>
        <v>10000</v>
      </c>
      <c r="I139" s="101"/>
      <c r="J139" s="101">
        <f t="shared" si="6"/>
        <v>10000</v>
      </c>
      <c r="K139" s="101">
        <v>0</v>
      </c>
      <c r="L139" s="101">
        <f t="shared" si="7"/>
        <v>10000</v>
      </c>
    </row>
    <row r="140" spans="1:12" s="30" customFormat="1" ht="21.75" customHeight="1">
      <c r="A140" s="107"/>
      <c r="B140" s="103" t="s">
        <v>113</v>
      </c>
      <c r="C140" s="107"/>
      <c r="D140" s="48" t="s">
        <v>6</v>
      </c>
      <c r="E140" s="101">
        <f>SUM(E141:E142)</f>
        <v>5000</v>
      </c>
      <c r="F140" s="101">
        <f>SUM(F141:F142)</f>
        <v>20000</v>
      </c>
      <c r="G140" s="101">
        <f>SUM(G141:G142)</f>
        <v>0</v>
      </c>
      <c r="H140" s="101">
        <f t="shared" si="10"/>
        <v>25000</v>
      </c>
      <c r="I140" s="101">
        <f>SUM(I141:I142)</f>
        <v>0</v>
      </c>
      <c r="J140" s="101">
        <f>SUM(J141:J142)</f>
        <v>25000</v>
      </c>
      <c r="K140" s="101">
        <f>SUM(K141:K142)</f>
        <v>0</v>
      </c>
      <c r="L140" s="101">
        <f>SUM(L141:L142)</f>
        <v>25000</v>
      </c>
    </row>
    <row r="141" spans="1:12" s="30" customFormat="1" ht="21.75" customHeight="1">
      <c r="A141" s="107"/>
      <c r="B141" s="103"/>
      <c r="C141" s="107">
        <v>4300</v>
      </c>
      <c r="D141" s="48" t="s">
        <v>90</v>
      </c>
      <c r="E141" s="101">
        <v>0</v>
      </c>
      <c r="F141" s="101">
        <v>20000</v>
      </c>
      <c r="G141" s="101"/>
      <c r="H141" s="101">
        <f t="shared" si="10"/>
        <v>20000</v>
      </c>
      <c r="I141" s="101"/>
      <c r="J141" s="101">
        <f t="shared" si="6"/>
        <v>20000</v>
      </c>
      <c r="K141" s="101">
        <v>0</v>
      </c>
      <c r="L141" s="101">
        <f t="shared" si="7"/>
        <v>20000</v>
      </c>
    </row>
    <row r="142" spans="1:12" s="30" customFormat="1" ht="21" customHeight="1">
      <c r="A142" s="107"/>
      <c r="B142" s="103"/>
      <c r="C142" s="89">
        <v>4430</v>
      </c>
      <c r="D142" s="48" t="s">
        <v>105</v>
      </c>
      <c r="E142" s="101">
        <v>5000</v>
      </c>
      <c r="F142" s="101"/>
      <c r="G142" s="101"/>
      <c r="H142" s="101">
        <f t="shared" si="10"/>
        <v>5000</v>
      </c>
      <c r="I142" s="101"/>
      <c r="J142" s="101">
        <f aca="true" t="shared" si="11" ref="J142:J205">SUM(H142:I142)</f>
        <v>5000</v>
      </c>
      <c r="K142" s="101">
        <v>0</v>
      </c>
      <c r="L142" s="101">
        <f aca="true" t="shared" si="12" ref="L142:L205">SUM(J142:K142)</f>
        <v>5000</v>
      </c>
    </row>
    <row r="143" spans="1:12" s="51" customFormat="1" ht="72">
      <c r="A143" s="45">
        <v>756</v>
      </c>
      <c r="B143" s="81"/>
      <c r="C143" s="80"/>
      <c r="D143" s="46" t="s">
        <v>177</v>
      </c>
      <c r="E143" s="47">
        <f>SUM(E144)</f>
        <v>74800</v>
      </c>
      <c r="F143" s="47">
        <f>SUM(F144)</f>
        <v>0</v>
      </c>
      <c r="G143" s="47">
        <f>SUM(G144)</f>
        <v>0</v>
      </c>
      <c r="H143" s="47">
        <f t="shared" si="10"/>
        <v>74800</v>
      </c>
      <c r="I143" s="47">
        <f>SUM(I144)</f>
        <v>0</v>
      </c>
      <c r="J143" s="47">
        <f>SUM(J144)</f>
        <v>82800</v>
      </c>
      <c r="K143" s="47">
        <f>SUM(K144)</f>
        <v>0</v>
      </c>
      <c r="L143" s="47">
        <f>SUM(L144)</f>
        <v>82800</v>
      </c>
    </row>
    <row r="144" spans="1:12" s="30" customFormat="1" ht="36">
      <c r="A144" s="107"/>
      <c r="B144" s="103">
        <v>75647</v>
      </c>
      <c r="C144" s="89"/>
      <c r="D144" s="48" t="s">
        <v>210</v>
      </c>
      <c r="E144" s="101">
        <f>SUM(E145:E151)</f>
        <v>74800</v>
      </c>
      <c r="F144" s="101">
        <f>SUM(F145:F151)</f>
        <v>0</v>
      </c>
      <c r="G144" s="101">
        <f>SUM(G145:G151)</f>
        <v>0</v>
      </c>
      <c r="H144" s="101">
        <f t="shared" si="10"/>
        <v>74800</v>
      </c>
      <c r="I144" s="101">
        <f>SUM(I145:I151)</f>
        <v>0</v>
      </c>
      <c r="J144" s="101">
        <f>SUM(J145:J151)</f>
        <v>82800</v>
      </c>
      <c r="K144" s="101">
        <f>SUM(K145:K151)</f>
        <v>0</v>
      </c>
      <c r="L144" s="101">
        <f>SUM(L145:L151)</f>
        <v>82800</v>
      </c>
    </row>
    <row r="145" spans="1:12" s="30" customFormat="1" ht="21" customHeight="1">
      <c r="A145" s="107"/>
      <c r="B145" s="103"/>
      <c r="C145" s="89">
        <v>4100</v>
      </c>
      <c r="D145" s="48" t="s">
        <v>108</v>
      </c>
      <c r="E145" s="101">
        <v>39000</v>
      </c>
      <c r="F145" s="101"/>
      <c r="G145" s="101"/>
      <c r="H145" s="101">
        <f t="shared" si="10"/>
        <v>39000</v>
      </c>
      <c r="I145" s="101"/>
      <c r="J145" s="101">
        <f t="shared" si="11"/>
        <v>39000</v>
      </c>
      <c r="K145" s="101">
        <v>0</v>
      </c>
      <c r="L145" s="101">
        <f t="shared" si="12"/>
        <v>39000</v>
      </c>
    </row>
    <row r="146" spans="1:12" s="30" customFormat="1" ht="16.5" customHeight="1">
      <c r="A146" s="107"/>
      <c r="B146" s="103"/>
      <c r="C146" s="89">
        <v>4170</v>
      </c>
      <c r="D146" s="48" t="s">
        <v>228</v>
      </c>
      <c r="E146" s="101">
        <v>10800</v>
      </c>
      <c r="F146" s="101"/>
      <c r="G146" s="101"/>
      <c r="H146" s="101">
        <f t="shared" si="10"/>
        <v>10800</v>
      </c>
      <c r="I146" s="101"/>
      <c r="J146" s="101">
        <f t="shared" si="11"/>
        <v>10800</v>
      </c>
      <c r="K146" s="101">
        <v>0</v>
      </c>
      <c r="L146" s="101">
        <f t="shared" si="12"/>
        <v>10800</v>
      </c>
    </row>
    <row r="147" spans="1:12" s="30" customFormat="1" ht="16.5" customHeight="1">
      <c r="A147" s="107"/>
      <c r="B147" s="103"/>
      <c r="C147" s="89">
        <v>4210</v>
      </c>
      <c r="D147" s="48" t="s">
        <v>83</v>
      </c>
      <c r="E147" s="101">
        <v>2000</v>
      </c>
      <c r="F147" s="101"/>
      <c r="G147" s="101"/>
      <c r="H147" s="101">
        <f t="shared" si="10"/>
        <v>2000</v>
      </c>
      <c r="I147" s="101"/>
      <c r="J147" s="101">
        <f t="shared" si="11"/>
        <v>2000</v>
      </c>
      <c r="K147" s="101">
        <v>0</v>
      </c>
      <c r="L147" s="101">
        <f t="shared" si="12"/>
        <v>2000</v>
      </c>
    </row>
    <row r="148" spans="1:12" s="30" customFormat="1" ht="17.25" customHeight="1">
      <c r="A148" s="107"/>
      <c r="B148" s="103"/>
      <c r="C148" s="89">
        <v>4300</v>
      </c>
      <c r="D148" s="48" t="s">
        <v>90</v>
      </c>
      <c r="E148" s="101">
        <v>18000</v>
      </c>
      <c r="F148" s="101"/>
      <c r="G148" s="101"/>
      <c r="H148" s="101">
        <f t="shared" si="10"/>
        <v>18000</v>
      </c>
      <c r="I148" s="101"/>
      <c r="J148" s="101">
        <f t="shared" si="11"/>
        <v>18000</v>
      </c>
      <c r="K148" s="101">
        <v>0</v>
      </c>
      <c r="L148" s="101">
        <f t="shared" si="12"/>
        <v>18000</v>
      </c>
    </row>
    <row r="149" spans="1:12" s="30" customFormat="1" ht="18" customHeight="1">
      <c r="A149" s="107"/>
      <c r="B149" s="103"/>
      <c r="C149" s="89">
        <v>4430</v>
      </c>
      <c r="D149" s="48" t="s">
        <v>105</v>
      </c>
      <c r="E149" s="101">
        <v>1000</v>
      </c>
      <c r="F149" s="101"/>
      <c r="G149" s="101"/>
      <c r="H149" s="101">
        <f>E149+F149-G149</f>
        <v>1000</v>
      </c>
      <c r="I149" s="101"/>
      <c r="J149" s="101">
        <f>SUM(H149:I149)</f>
        <v>1000</v>
      </c>
      <c r="K149" s="101">
        <v>0</v>
      </c>
      <c r="L149" s="101">
        <f>SUM(J149:K149)</f>
        <v>1000</v>
      </c>
    </row>
    <row r="150" spans="1:12" s="30" customFormat="1" ht="24" customHeight="1">
      <c r="A150" s="107"/>
      <c r="B150" s="103"/>
      <c r="C150" s="89">
        <v>4610</v>
      </c>
      <c r="D150" s="48" t="s">
        <v>212</v>
      </c>
      <c r="E150" s="101"/>
      <c r="F150" s="101"/>
      <c r="G150" s="101"/>
      <c r="H150" s="101"/>
      <c r="I150" s="101"/>
      <c r="J150" s="101">
        <v>8000</v>
      </c>
      <c r="K150" s="101">
        <v>0</v>
      </c>
      <c r="L150" s="101">
        <f t="shared" si="12"/>
        <v>8000</v>
      </c>
    </row>
    <row r="151" spans="1:12" s="30" customFormat="1" ht="36">
      <c r="A151" s="107"/>
      <c r="B151" s="103"/>
      <c r="C151" s="89">
        <v>4740</v>
      </c>
      <c r="D151" s="48" t="s">
        <v>290</v>
      </c>
      <c r="E151" s="101">
        <v>4000</v>
      </c>
      <c r="F151" s="101"/>
      <c r="G151" s="101"/>
      <c r="H151" s="101">
        <f t="shared" si="10"/>
        <v>4000</v>
      </c>
      <c r="I151" s="101"/>
      <c r="J151" s="101">
        <f t="shared" si="11"/>
        <v>4000</v>
      </c>
      <c r="K151" s="101">
        <v>0</v>
      </c>
      <c r="L151" s="101">
        <f t="shared" si="12"/>
        <v>4000</v>
      </c>
    </row>
    <row r="152" spans="1:12" s="8" customFormat="1" ht="17.25" customHeight="1">
      <c r="A152" s="43" t="s">
        <v>114</v>
      </c>
      <c r="B152" s="44"/>
      <c r="C152" s="45"/>
      <c r="D152" s="46" t="s">
        <v>115</v>
      </c>
      <c r="E152" s="47">
        <f>SUM(E153)</f>
        <v>573410</v>
      </c>
      <c r="F152" s="47">
        <f>SUM(F153)</f>
        <v>0</v>
      </c>
      <c r="G152" s="47">
        <f>SUM(G153)</f>
        <v>0</v>
      </c>
      <c r="H152" s="47">
        <f t="shared" si="10"/>
        <v>573410</v>
      </c>
      <c r="I152" s="47">
        <f>SUM(I153)</f>
        <v>12237</v>
      </c>
      <c r="J152" s="47">
        <f>SUM(J153)</f>
        <v>585647</v>
      </c>
      <c r="K152" s="47">
        <f>SUM(K153)</f>
        <v>0</v>
      </c>
      <c r="L152" s="47">
        <f>SUM(L153)</f>
        <v>585647</v>
      </c>
    </row>
    <row r="153" spans="1:12" s="30" customFormat="1" ht="39" customHeight="1">
      <c r="A153" s="86"/>
      <c r="B153" s="103" t="s">
        <v>116</v>
      </c>
      <c r="C153" s="107"/>
      <c r="D153" s="48" t="s">
        <v>117</v>
      </c>
      <c r="E153" s="101">
        <f>SUM(E154:E154)</f>
        <v>573410</v>
      </c>
      <c r="F153" s="101">
        <f>SUM(F154:F154)</f>
        <v>0</v>
      </c>
      <c r="G153" s="101">
        <f>SUM(G154:G154)</f>
        <v>0</v>
      </c>
      <c r="H153" s="101">
        <f t="shared" si="10"/>
        <v>573410</v>
      </c>
      <c r="I153" s="101">
        <f>SUM(I154:I154)</f>
        <v>12237</v>
      </c>
      <c r="J153" s="101">
        <f>SUM(J154)</f>
        <v>585647</v>
      </c>
      <c r="K153" s="101">
        <f>SUM(K154)</f>
        <v>0</v>
      </c>
      <c r="L153" s="101">
        <f>SUM(L154)</f>
        <v>585647</v>
      </c>
    </row>
    <row r="154" spans="1:12" s="30" customFormat="1" ht="50.25" customHeight="1">
      <c r="A154" s="86"/>
      <c r="B154" s="108"/>
      <c r="C154" s="107">
        <v>8070</v>
      </c>
      <c r="D154" s="48" t="s">
        <v>118</v>
      </c>
      <c r="E154" s="101">
        <f>563410+10000</f>
        <v>573410</v>
      </c>
      <c r="F154" s="101"/>
      <c r="G154" s="101"/>
      <c r="H154" s="101">
        <f t="shared" si="10"/>
        <v>573410</v>
      </c>
      <c r="I154" s="101">
        <v>12237</v>
      </c>
      <c r="J154" s="101">
        <f t="shared" si="11"/>
        <v>585647</v>
      </c>
      <c r="K154" s="101">
        <v>0</v>
      </c>
      <c r="L154" s="101">
        <f t="shared" si="12"/>
        <v>585647</v>
      </c>
    </row>
    <row r="155" spans="1:12" s="8" customFormat="1" ht="24.75" customHeight="1">
      <c r="A155" s="43" t="s">
        <v>54</v>
      </c>
      <c r="B155" s="44"/>
      <c r="C155" s="45"/>
      <c r="D155" s="46" t="s">
        <v>55</v>
      </c>
      <c r="E155" s="47">
        <f aca="true" t="shared" si="13" ref="E155:G156">SUM(E156)</f>
        <v>300000</v>
      </c>
      <c r="F155" s="47">
        <f t="shared" si="13"/>
        <v>0</v>
      </c>
      <c r="G155" s="47">
        <f t="shared" si="13"/>
        <v>0</v>
      </c>
      <c r="H155" s="47">
        <f t="shared" si="10"/>
        <v>300000</v>
      </c>
      <c r="I155" s="47">
        <f aca="true" t="shared" si="14" ref="I155:L156">SUM(I156)</f>
        <v>0</v>
      </c>
      <c r="J155" s="47">
        <f t="shared" si="14"/>
        <v>300000</v>
      </c>
      <c r="K155" s="47">
        <f t="shared" si="14"/>
        <v>0</v>
      </c>
      <c r="L155" s="47">
        <f t="shared" si="14"/>
        <v>300000</v>
      </c>
    </row>
    <row r="156" spans="1:12" s="30" customFormat="1" ht="21.75" customHeight="1">
      <c r="A156" s="86"/>
      <c r="B156" s="103" t="s">
        <v>119</v>
      </c>
      <c r="C156" s="107"/>
      <c r="D156" s="48" t="s">
        <v>120</v>
      </c>
      <c r="E156" s="101">
        <f t="shared" si="13"/>
        <v>300000</v>
      </c>
      <c r="F156" s="101">
        <f t="shared" si="13"/>
        <v>0</v>
      </c>
      <c r="G156" s="101">
        <f t="shared" si="13"/>
        <v>0</v>
      </c>
      <c r="H156" s="101">
        <f t="shared" si="10"/>
        <v>300000</v>
      </c>
      <c r="I156" s="101">
        <f t="shared" si="14"/>
        <v>0</v>
      </c>
      <c r="J156" s="101">
        <f t="shared" si="14"/>
        <v>300000</v>
      </c>
      <c r="K156" s="101">
        <f t="shared" si="14"/>
        <v>0</v>
      </c>
      <c r="L156" s="101">
        <f t="shared" si="14"/>
        <v>300000</v>
      </c>
    </row>
    <row r="157" spans="1:12" s="30" customFormat="1" ht="21" customHeight="1">
      <c r="A157" s="86"/>
      <c r="B157" s="108"/>
      <c r="C157" s="107">
        <v>4810</v>
      </c>
      <c r="D157" s="48" t="s">
        <v>121</v>
      </c>
      <c r="E157" s="101">
        <f>158429+141571</f>
        <v>300000</v>
      </c>
      <c r="F157" s="101"/>
      <c r="G157" s="101"/>
      <c r="H157" s="101">
        <f t="shared" si="10"/>
        <v>300000</v>
      </c>
      <c r="I157" s="101"/>
      <c r="J157" s="101">
        <f t="shared" si="11"/>
        <v>300000</v>
      </c>
      <c r="K157" s="101">
        <v>0</v>
      </c>
      <c r="L157" s="101">
        <f t="shared" si="12"/>
        <v>300000</v>
      </c>
    </row>
    <row r="158" spans="1:12" s="9" customFormat="1" ht="24.75" customHeight="1">
      <c r="A158" s="43" t="s">
        <v>122</v>
      </c>
      <c r="B158" s="44"/>
      <c r="C158" s="45"/>
      <c r="D158" s="46" t="s">
        <v>123</v>
      </c>
      <c r="E158" s="47">
        <f>SUM(E159,E185,E198,E202,E230,E237,E241)</f>
        <v>18436553</v>
      </c>
      <c r="F158" s="47">
        <f>SUM(F159,F185,F198,F202,F230,F237,F241)</f>
        <v>200000</v>
      </c>
      <c r="G158" s="47">
        <f>SUM(G159,G185,G198,G202,G230,G237,G241)</f>
        <v>0</v>
      </c>
      <c r="H158" s="47">
        <f t="shared" si="10"/>
        <v>18636553</v>
      </c>
      <c r="I158" s="47">
        <f>SUM(I159,I185,I198,I202,I230,I237,I241)</f>
        <v>-143140</v>
      </c>
      <c r="J158" s="47">
        <f>SUM(J159,J185,J198,J202,J230,J237,J241,)</f>
        <v>18493413</v>
      </c>
      <c r="K158" s="47">
        <f>SUM(K159,K185,K198,K202,K230,K237,K241,)</f>
        <v>17495</v>
      </c>
      <c r="L158" s="47">
        <f>SUM(L159,L185,L198,L202,L230,L237,L241,)</f>
        <v>18510908</v>
      </c>
    </row>
    <row r="159" spans="1:12" s="30" customFormat="1" ht="21.75" customHeight="1">
      <c r="A159" s="86"/>
      <c r="B159" s="103" t="s">
        <v>124</v>
      </c>
      <c r="C159" s="107"/>
      <c r="D159" s="48" t="s">
        <v>60</v>
      </c>
      <c r="E159" s="101">
        <f>SUM(E160:E184)</f>
        <v>9949032</v>
      </c>
      <c r="F159" s="101">
        <f>SUM(F160:F184)</f>
        <v>150000</v>
      </c>
      <c r="G159" s="101">
        <f>SUM(G160:G184)</f>
        <v>0</v>
      </c>
      <c r="H159" s="101">
        <f t="shared" si="10"/>
        <v>10099032</v>
      </c>
      <c r="I159" s="101">
        <f>SUM(I160:I184)</f>
        <v>-146960</v>
      </c>
      <c r="J159" s="101">
        <f>SUM(J160:J184)</f>
        <v>9952072</v>
      </c>
      <c r="K159" s="101">
        <f>SUM(K160:K184)</f>
        <v>11277</v>
      </c>
      <c r="L159" s="101">
        <f>SUM(L160:L184)</f>
        <v>9963349</v>
      </c>
    </row>
    <row r="160" spans="1:12" s="30" customFormat="1" ht="32.25" customHeight="1">
      <c r="A160" s="86"/>
      <c r="B160" s="103"/>
      <c r="C160" s="107">
        <v>2540</v>
      </c>
      <c r="D160" s="48" t="s">
        <v>214</v>
      </c>
      <c r="E160" s="101">
        <v>262446</v>
      </c>
      <c r="F160" s="101"/>
      <c r="G160" s="101"/>
      <c r="H160" s="101">
        <f t="shared" si="10"/>
        <v>262446</v>
      </c>
      <c r="I160" s="101"/>
      <c r="J160" s="101">
        <f t="shared" si="11"/>
        <v>262446</v>
      </c>
      <c r="K160" s="101">
        <v>0</v>
      </c>
      <c r="L160" s="101">
        <f t="shared" si="12"/>
        <v>262446</v>
      </c>
    </row>
    <row r="161" spans="1:12" s="30" customFormat="1" ht="21" customHeight="1">
      <c r="A161" s="86"/>
      <c r="B161" s="103"/>
      <c r="C161" s="86">
        <v>3020</v>
      </c>
      <c r="D161" s="48" t="s">
        <v>262</v>
      </c>
      <c r="E161" s="101">
        <v>168777</v>
      </c>
      <c r="F161" s="101"/>
      <c r="G161" s="101"/>
      <c r="H161" s="101">
        <f t="shared" si="10"/>
        <v>168777</v>
      </c>
      <c r="I161" s="101"/>
      <c r="J161" s="101">
        <f t="shared" si="11"/>
        <v>168777</v>
      </c>
      <c r="K161" s="101">
        <v>0</v>
      </c>
      <c r="L161" s="101">
        <f t="shared" si="12"/>
        <v>168777</v>
      </c>
    </row>
    <row r="162" spans="1:12" s="30" customFormat="1" ht="21" customHeight="1">
      <c r="A162" s="86"/>
      <c r="B162" s="103"/>
      <c r="C162" s="86">
        <v>4010</v>
      </c>
      <c r="D162" s="48" t="s">
        <v>95</v>
      </c>
      <c r="E162" s="101">
        <v>5948500</v>
      </c>
      <c r="F162" s="101"/>
      <c r="G162" s="101"/>
      <c r="H162" s="101">
        <f t="shared" si="10"/>
        <v>5948500</v>
      </c>
      <c r="I162" s="101"/>
      <c r="J162" s="101">
        <f t="shared" si="11"/>
        <v>5948500</v>
      </c>
      <c r="K162" s="101">
        <v>0</v>
      </c>
      <c r="L162" s="101">
        <f t="shared" si="12"/>
        <v>5948500</v>
      </c>
    </row>
    <row r="163" spans="1:12" s="30" customFormat="1" ht="21" customHeight="1">
      <c r="A163" s="86"/>
      <c r="B163" s="103"/>
      <c r="C163" s="86">
        <v>4040</v>
      </c>
      <c r="D163" s="48" t="s">
        <v>96</v>
      </c>
      <c r="E163" s="101">
        <v>462147</v>
      </c>
      <c r="F163" s="101"/>
      <c r="G163" s="101"/>
      <c r="H163" s="101">
        <f t="shared" si="10"/>
        <v>462147</v>
      </c>
      <c r="I163" s="101"/>
      <c r="J163" s="101">
        <f t="shared" si="11"/>
        <v>462147</v>
      </c>
      <c r="K163" s="101">
        <v>0</v>
      </c>
      <c r="L163" s="101">
        <f t="shared" si="12"/>
        <v>462147</v>
      </c>
    </row>
    <row r="164" spans="1:12" s="30" customFormat="1" ht="21" customHeight="1">
      <c r="A164" s="86"/>
      <c r="B164" s="103"/>
      <c r="C164" s="86">
        <v>4110</v>
      </c>
      <c r="D164" s="48" t="s">
        <v>97</v>
      </c>
      <c r="E164" s="101">
        <v>1109510</v>
      </c>
      <c r="F164" s="101"/>
      <c r="G164" s="101"/>
      <c r="H164" s="101">
        <f t="shared" si="10"/>
        <v>1109510</v>
      </c>
      <c r="I164" s="101"/>
      <c r="J164" s="101">
        <f t="shared" si="11"/>
        <v>1109510</v>
      </c>
      <c r="K164" s="101">
        <v>0</v>
      </c>
      <c r="L164" s="101">
        <f t="shared" si="12"/>
        <v>1109510</v>
      </c>
    </row>
    <row r="165" spans="1:12" s="30" customFormat="1" ht="21" customHeight="1">
      <c r="A165" s="86"/>
      <c r="B165" s="103"/>
      <c r="C165" s="86">
        <v>4120</v>
      </c>
      <c r="D165" s="48" t="s">
        <v>98</v>
      </c>
      <c r="E165" s="101">
        <v>156481</v>
      </c>
      <c r="F165" s="101"/>
      <c r="G165" s="101"/>
      <c r="H165" s="101">
        <f t="shared" si="10"/>
        <v>156481</v>
      </c>
      <c r="I165" s="101"/>
      <c r="J165" s="101">
        <f t="shared" si="11"/>
        <v>156481</v>
      </c>
      <c r="K165" s="101">
        <v>0</v>
      </c>
      <c r="L165" s="101">
        <f t="shared" si="12"/>
        <v>156481</v>
      </c>
    </row>
    <row r="166" spans="1:12" s="30" customFormat="1" ht="19.5" customHeight="1">
      <c r="A166" s="86"/>
      <c r="B166" s="103"/>
      <c r="C166" s="86">
        <v>4170</v>
      </c>
      <c r="D166" s="48" t="s">
        <v>228</v>
      </c>
      <c r="E166" s="101">
        <v>30986</v>
      </c>
      <c r="F166" s="101"/>
      <c r="G166" s="101"/>
      <c r="H166" s="101">
        <f t="shared" si="10"/>
        <v>30986</v>
      </c>
      <c r="I166" s="101"/>
      <c r="J166" s="101">
        <f t="shared" si="11"/>
        <v>30986</v>
      </c>
      <c r="K166" s="101">
        <v>0</v>
      </c>
      <c r="L166" s="101">
        <f t="shared" si="12"/>
        <v>30986</v>
      </c>
    </row>
    <row r="167" spans="1:12" s="30" customFormat="1" ht="19.5" customHeight="1">
      <c r="A167" s="86"/>
      <c r="B167" s="103"/>
      <c r="C167" s="86">
        <v>4210</v>
      </c>
      <c r="D167" s="48" t="s">
        <v>103</v>
      </c>
      <c r="E167" s="101">
        <f>3000+329460</f>
        <v>332460</v>
      </c>
      <c r="F167" s="101"/>
      <c r="G167" s="101"/>
      <c r="H167" s="101">
        <f aca="true" t="shared" si="15" ref="H167:H179">E167+F167-G167</f>
        <v>332460</v>
      </c>
      <c r="I167" s="101">
        <f>300+300+200+200</f>
        <v>1000</v>
      </c>
      <c r="J167" s="101">
        <f t="shared" si="11"/>
        <v>333460</v>
      </c>
      <c r="K167" s="101">
        <v>6591</v>
      </c>
      <c r="L167" s="101">
        <f t="shared" si="12"/>
        <v>340051</v>
      </c>
    </row>
    <row r="168" spans="1:12" s="30" customFormat="1" ht="25.5" customHeight="1">
      <c r="A168" s="86"/>
      <c r="B168" s="103"/>
      <c r="C168" s="107">
        <v>4230</v>
      </c>
      <c r="D168" s="48" t="s">
        <v>509</v>
      </c>
      <c r="E168" s="101">
        <v>1360</v>
      </c>
      <c r="F168" s="101"/>
      <c r="G168" s="101"/>
      <c r="H168" s="101">
        <f t="shared" si="15"/>
        <v>1360</v>
      </c>
      <c r="I168" s="101"/>
      <c r="J168" s="101">
        <f t="shared" si="11"/>
        <v>1360</v>
      </c>
      <c r="K168" s="101">
        <v>0</v>
      </c>
      <c r="L168" s="101">
        <f t="shared" si="12"/>
        <v>1360</v>
      </c>
    </row>
    <row r="169" spans="1:12" s="30" customFormat="1" ht="21" customHeight="1">
      <c r="A169" s="86"/>
      <c r="B169" s="103"/>
      <c r="C169" s="107">
        <v>4240</v>
      </c>
      <c r="D169" s="48" t="s">
        <v>136</v>
      </c>
      <c r="E169" s="101">
        <f>14050+50000</f>
        <v>64050</v>
      </c>
      <c r="F169" s="101"/>
      <c r="G169" s="101"/>
      <c r="H169" s="101">
        <f t="shared" si="15"/>
        <v>64050</v>
      </c>
      <c r="I169" s="101"/>
      <c r="J169" s="101">
        <f t="shared" si="11"/>
        <v>64050</v>
      </c>
      <c r="K169" s="101">
        <v>0</v>
      </c>
      <c r="L169" s="101">
        <f t="shared" si="12"/>
        <v>64050</v>
      </c>
    </row>
    <row r="170" spans="1:12" s="30" customFormat="1" ht="21" customHeight="1">
      <c r="A170" s="86"/>
      <c r="B170" s="103"/>
      <c r="C170" s="86">
        <v>4260</v>
      </c>
      <c r="D170" s="48" t="s">
        <v>106</v>
      </c>
      <c r="E170" s="101">
        <v>471760</v>
      </c>
      <c r="F170" s="101"/>
      <c r="G170" s="101"/>
      <c r="H170" s="101">
        <f t="shared" si="15"/>
        <v>471760</v>
      </c>
      <c r="I170" s="101"/>
      <c r="J170" s="101">
        <f t="shared" si="11"/>
        <v>471760</v>
      </c>
      <c r="K170" s="101">
        <v>0</v>
      </c>
      <c r="L170" s="101">
        <f t="shared" si="12"/>
        <v>471760</v>
      </c>
    </row>
    <row r="171" spans="1:12" s="30" customFormat="1" ht="21" customHeight="1">
      <c r="A171" s="86"/>
      <c r="B171" s="103"/>
      <c r="C171" s="86">
        <v>4270</v>
      </c>
      <c r="D171" s="48" t="s">
        <v>89</v>
      </c>
      <c r="E171" s="101">
        <f>300000+71200</f>
        <v>371200</v>
      </c>
      <c r="F171" s="101"/>
      <c r="G171" s="101"/>
      <c r="H171" s="101">
        <f t="shared" si="15"/>
        <v>371200</v>
      </c>
      <c r="I171" s="101"/>
      <c r="J171" s="101">
        <f t="shared" si="11"/>
        <v>371200</v>
      </c>
      <c r="K171" s="101">
        <v>2372</v>
      </c>
      <c r="L171" s="101">
        <f t="shared" si="12"/>
        <v>373572</v>
      </c>
    </row>
    <row r="172" spans="1:12" s="30" customFormat="1" ht="21" customHeight="1">
      <c r="A172" s="86"/>
      <c r="B172" s="103"/>
      <c r="C172" s="86">
        <v>4280</v>
      </c>
      <c r="D172" s="48" t="s">
        <v>239</v>
      </c>
      <c r="E172" s="101">
        <v>21650</v>
      </c>
      <c r="F172" s="101"/>
      <c r="G172" s="101"/>
      <c r="H172" s="101">
        <f t="shared" si="15"/>
        <v>21650</v>
      </c>
      <c r="I172" s="101"/>
      <c r="J172" s="101">
        <f t="shared" si="11"/>
        <v>21650</v>
      </c>
      <c r="K172" s="101">
        <v>0</v>
      </c>
      <c r="L172" s="101">
        <f t="shared" si="12"/>
        <v>21650</v>
      </c>
    </row>
    <row r="173" spans="1:12" s="30" customFormat="1" ht="21" customHeight="1">
      <c r="A173" s="86"/>
      <c r="B173" s="103"/>
      <c r="C173" s="86">
        <v>4300</v>
      </c>
      <c r="D173" s="48" t="s">
        <v>90</v>
      </c>
      <c r="E173" s="101">
        <f>4000+85000</f>
        <v>89000</v>
      </c>
      <c r="F173" s="101"/>
      <c r="G173" s="101"/>
      <c r="H173" s="101">
        <f t="shared" si="15"/>
        <v>89000</v>
      </c>
      <c r="I173" s="101">
        <v>-4200</v>
      </c>
      <c r="J173" s="101">
        <f t="shared" si="11"/>
        <v>84800</v>
      </c>
      <c r="K173" s="101">
        <v>463</v>
      </c>
      <c r="L173" s="101">
        <f t="shared" si="12"/>
        <v>85263</v>
      </c>
    </row>
    <row r="174" spans="1:12" s="30" customFormat="1" ht="21" customHeight="1">
      <c r="A174" s="86"/>
      <c r="B174" s="103"/>
      <c r="C174" s="86">
        <v>4350</v>
      </c>
      <c r="D174" s="48" t="s">
        <v>255</v>
      </c>
      <c r="E174" s="101">
        <v>6150</v>
      </c>
      <c r="F174" s="101"/>
      <c r="G174" s="101"/>
      <c r="H174" s="101">
        <f t="shared" si="15"/>
        <v>6150</v>
      </c>
      <c r="I174" s="101"/>
      <c r="J174" s="101">
        <f t="shared" si="11"/>
        <v>6150</v>
      </c>
      <c r="K174" s="101">
        <v>0</v>
      </c>
      <c r="L174" s="101">
        <f t="shared" si="12"/>
        <v>6150</v>
      </c>
    </row>
    <row r="175" spans="1:12" s="30" customFormat="1" ht="36">
      <c r="A175" s="86"/>
      <c r="B175" s="103"/>
      <c r="C175" s="86">
        <v>4370</v>
      </c>
      <c r="D175" s="15" t="s">
        <v>288</v>
      </c>
      <c r="E175" s="101">
        <v>15150</v>
      </c>
      <c r="F175" s="101"/>
      <c r="G175" s="101"/>
      <c r="H175" s="101">
        <f t="shared" si="15"/>
        <v>15150</v>
      </c>
      <c r="I175" s="101"/>
      <c r="J175" s="101">
        <f t="shared" si="11"/>
        <v>15150</v>
      </c>
      <c r="K175" s="101">
        <v>1551</v>
      </c>
      <c r="L175" s="101">
        <f t="shared" si="12"/>
        <v>16701</v>
      </c>
    </row>
    <row r="176" spans="1:12" s="30" customFormat="1" ht="21" customHeight="1">
      <c r="A176" s="86"/>
      <c r="B176" s="103"/>
      <c r="C176" s="86">
        <v>4390</v>
      </c>
      <c r="D176" s="48" t="s">
        <v>294</v>
      </c>
      <c r="E176" s="101">
        <v>14500</v>
      </c>
      <c r="F176" s="101"/>
      <c r="G176" s="101"/>
      <c r="H176" s="101">
        <f t="shared" si="15"/>
        <v>14500</v>
      </c>
      <c r="I176" s="101"/>
      <c r="J176" s="101">
        <f t="shared" si="11"/>
        <v>14500</v>
      </c>
      <c r="K176" s="101">
        <v>0</v>
      </c>
      <c r="L176" s="101">
        <f t="shared" si="12"/>
        <v>14500</v>
      </c>
    </row>
    <row r="177" spans="1:12" s="30" customFormat="1" ht="21" customHeight="1">
      <c r="A177" s="86"/>
      <c r="B177" s="103"/>
      <c r="C177" s="86">
        <v>4410</v>
      </c>
      <c r="D177" s="48" t="s">
        <v>101</v>
      </c>
      <c r="E177" s="101">
        <v>13800</v>
      </c>
      <c r="F177" s="101"/>
      <c r="G177" s="101"/>
      <c r="H177" s="101">
        <f t="shared" si="15"/>
        <v>13800</v>
      </c>
      <c r="I177" s="101"/>
      <c r="J177" s="101">
        <f t="shared" si="11"/>
        <v>13800</v>
      </c>
      <c r="K177" s="101">
        <v>0</v>
      </c>
      <c r="L177" s="101">
        <f t="shared" si="12"/>
        <v>13800</v>
      </c>
    </row>
    <row r="178" spans="1:12" s="30" customFormat="1" ht="21" customHeight="1">
      <c r="A178" s="86"/>
      <c r="B178" s="103"/>
      <c r="C178" s="89">
        <v>4430</v>
      </c>
      <c r="D178" s="48" t="s">
        <v>105</v>
      </c>
      <c r="E178" s="101">
        <v>6100</v>
      </c>
      <c r="F178" s="101"/>
      <c r="G178" s="101"/>
      <c r="H178" s="101">
        <f t="shared" si="15"/>
        <v>6100</v>
      </c>
      <c r="I178" s="101"/>
      <c r="J178" s="101">
        <f t="shared" si="11"/>
        <v>6100</v>
      </c>
      <c r="K178" s="101">
        <v>300</v>
      </c>
      <c r="L178" s="101">
        <f t="shared" si="12"/>
        <v>6400</v>
      </c>
    </row>
    <row r="179" spans="1:12" s="30" customFormat="1" ht="21" customHeight="1">
      <c r="A179" s="86"/>
      <c r="B179" s="103"/>
      <c r="C179" s="89">
        <v>4440</v>
      </c>
      <c r="D179" s="48" t="s">
        <v>99</v>
      </c>
      <c r="E179" s="101">
        <v>347245</v>
      </c>
      <c r="F179" s="101"/>
      <c r="G179" s="101"/>
      <c r="H179" s="101">
        <f t="shared" si="15"/>
        <v>347245</v>
      </c>
      <c r="I179" s="101"/>
      <c r="J179" s="101">
        <f t="shared" si="11"/>
        <v>347245</v>
      </c>
      <c r="K179" s="101">
        <v>0</v>
      </c>
      <c r="L179" s="101">
        <f t="shared" si="12"/>
        <v>347245</v>
      </c>
    </row>
    <row r="180" spans="1:12" s="30" customFormat="1" ht="21" customHeight="1">
      <c r="A180" s="86"/>
      <c r="B180" s="103"/>
      <c r="C180" s="89">
        <v>4700</v>
      </c>
      <c r="D180" s="48" t="s">
        <v>291</v>
      </c>
      <c r="E180" s="101"/>
      <c r="F180" s="101"/>
      <c r="G180" s="101"/>
      <c r="H180" s="101">
        <v>0</v>
      </c>
      <c r="I180" s="101">
        <v>6240</v>
      </c>
      <c r="J180" s="101">
        <f t="shared" si="11"/>
        <v>6240</v>
      </c>
      <c r="K180" s="101">
        <v>0</v>
      </c>
      <c r="L180" s="101">
        <f t="shared" si="12"/>
        <v>6240</v>
      </c>
    </row>
    <row r="181" spans="1:12" s="30" customFormat="1" ht="21" customHeight="1">
      <c r="A181" s="86"/>
      <c r="B181" s="103"/>
      <c r="C181" s="89">
        <v>4740</v>
      </c>
      <c r="D181" s="15" t="s">
        <v>290</v>
      </c>
      <c r="E181" s="101">
        <v>6800</v>
      </c>
      <c r="F181" s="101"/>
      <c r="G181" s="101"/>
      <c r="H181" s="101">
        <f aca="true" t="shared" si="16" ref="H181:H209">E181+F181-G181</f>
        <v>6800</v>
      </c>
      <c r="I181" s="101"/>
      <c r="J181" s="101">
        <f t="shared" si="11"/>
        <v>6800</v>
      </c>
      <c r="K181" s="101">
        <v>0</v>
      </c>
      <c r="L181" s="101">
        <f t="shared" si="12"/>
        <v>6800</v>
      </c>
    </row>
    <row r="182" spans="1:12" s="30" customFormat="1" ht="21" customHeight="1">
      <c r="A182" s="86"/>
      <c r="B182" s="103"/>
      <c r="C182" s="89">
        <v>4750</v>
      </c>
      <c r="D182" s="15" t="s">
        <v>292</v>
      </c>
      <c r="E182" s="101">
        <v>14400</v>
      </c>
      <c r="F182" s="101"/>
      <c r="G182" s="101"/>
      <c r="H182" s="101">
        <f t="shared" si="16"/>
        <v>14400</v>
      </c>
      <c r="I182" s="101"/>
      <c r="J182" s="101">
        <f t="shared" si="11"/>
        <v>14400</v>
      </c>
      <c r="K182" s="101">
        <v>0</v>
      </c>
      <c r="L182" s="101">
        <f t="shared" si="12"/>
        <v>14400</v>
      </c>
    </row>
    <row r="183" spans="1:12" s="30" customFormat="1" ht="21" customHeight="1">
      <c r="A183" s="86"/>
      <c r="B183" s="103"/>
      <c r="C183" s="89">
        <v>6050</v>
      </c>
      <c r="D183" s="48" t="s">
        <v>84</v>
      </c>
      <c r="E183" s="101">
        <v>0</v>
      </c>
      <c r="F183" s="101">
        <v>150000</v>
      </c>
      <c r="G183" s="101"/>
      <c r="H183" s="101">
        <f t="shared" si="16"/>
        <v>150000</v>
      </c>
      <c r="I183" s="101">
        <v>-150000</v>
      </c>
      <c r="J183" s="101">
        <f t="shared" si="11"/>
        <v>0</v>
      </c>
      <c r="K183" s="101">
        <v>0</v>
      </c>
      <c r="L183" s="101">
        <f t="shared" si="12"/>
        <v>0</v>
      </c>
    </row>
    <row r="184" spans="1:12" s="30" customFormat="1" ht="21" customHeight="1">
      <c r="A184" s="86"/>
      <c r="B184" s="103"/>
      <c r="C184" s="102">
        <v>6060</v>
      </c>
      <c r="D184" s="15" t="s">
        <v>107</v>
      </c>
      <c r="E184" s="90">
        <f>34560</f>
        <v>34560</v>
      </c>
      <c r="F184" s="90"/>
      <c r="G184" s="90"/>
      <c r="H184" s="101">
        <f t="shared" si="16"/>
        <v>34560</v>
      </c>
      <c r="I184" s="90"/>
      <c r="J184" s="101">
        <f t="shared" si="11"/>
        <v>34560</v>
      </c>
      <c r="K184" s="90">
        <v>0</v>
      </c>
      <c r="L184" s="101">
        <f t="shared" si="12"/>
        <v>34560</v>
      </c>
    </row>
    <row r="185" spans="1:12" s="30" customFormat="1" ht="27.75" customHeight="1">
      <c r="A185" s="86"/>
      <c r="B185" s="103">
        <v>80103</v>
      </c>
      <c r="C185" s="89"/>
      <c r="D185" s="48" t="s">
        <v>252</v>
      </c>
      <c r="E185" s="101">
        <f>SUM(E186:E197)</f>
        <v>356706</v>
      </c>
      <c r="F185" s="101">
        <f>SUM(F186:F197)</f>
        <v>0</v>
      </c>
      <c r="G185" s="101">
        <f>SUM(G186:G197)</f>
        <v>0</v>
      </c>
      <c r="H185" s="101">
        <f t="shared" si="16"/>
        <v>356706</v>
      </c>
      <c r="I185" s="101">
        <f>SUM(I186:I197)</f>
        <v>0</v>
      </c>
      <c r="J185" s="101">
        <f>SUM(J186:J197)</f>
        <v>356706</v>
      </c>
      <c r="K185" s="101">
        <f>SUM(K186:K197)</f>
        <v>0</v>
      </c>
      <c r="L185" s="101">
        <f>SUM(L186:L197)</f>
        <v>356706</v>
      </c>
    </row>
    <row r="186" spans="1:12" s="30" customFormat="1" ht="31.5" customHeight="1">
      <c r="A186" s="86"/>
      <c r="B186" s="103"/>
      <c r="C186" s="107">
        <v>2540</v>
      </c>
      <c r="D186" s="48" t="s">
        <v>214</v>
      </c>
      <c r="E186" s="101">
        <v>67245</v>
      </c>
      <c r="F186" s="101"/>
      <c r="G186" s="101"/>
      <c r="H186" s="101">
        <f t="shared" si="16"/>
        <v>67245</v>
      </c>
      <c r="I186" s="101"/>
      <c r="J186" s="101">
        <f t="shared" si="11"/>
        <v>67245</v>
      </c>
      <c r="K186" s="101">
        <v>0</v>
      </c>
      <c r="L186" s="101">
        <f t="shared" si="12"/>
        <v>67245</v>
      </c>
    </row>
    <row r="187" spans="1:12" s="30" customFormat="1" ht="21" customHeight="1">
      <c r="A187" s="86"/>
      <c r="B187" s="103"/>
      <c r="C187" s="107">
        <v>3020</v>
      </c>
      <c r="D187" s="48" t="s">
        <v>224</v>
      </c>
      <c r="E187" s="101">
        <v>16845</v>
      </c>
      <c r="F187" s="101"/>
      <c r="G187" s="101"/>
      <c r="H187" s="101">
        <f t="shared" si="16"/>
        <v>16845</v>
      </c>
      <c r="I187" s="101"/>
      <c r="J187" s="101">
        <f t="shared" si="11"/>
        <v>16845</v>
      </c>
      <c r="K187" s="101">
        <v>0</v>
      </c>
      <c r="L187" s="101">
        <f t="shared" si="12"/>
        <v>16845</v>
      </c>
    </row>
    <row r="188" spans="1:12" s="30" customFormat="1" ht="21" customHeight="1">
      <c r="A188" s="86"/>
      <c r="B188" s="103"/>
      <c r="C188" s="107">
        <v>4010</v>
      </c>
      <c r="D188" s="48" t="s">
        <v>95</v>
      </c>
      <c r="E188" s="101">
        <v>190216</v>
      </c>
      <c r="F188" s="101"/>
      <c r="G188" s="101"/>
      <c r="H188" s="101">
        <f t="shared" si="16"/>
        <v>190216</v>
      </c>
      <c r="I188" s="101"/>
      <c r="J188" s="101">
        <f t="shared" si="11"/>
        <v>190216</v>
      </c>
      <c r="K188" s="101">
        <v>0</v>
      </c>
      <c r="L188" s="101">
        <f t="shared" si="12"/>
        <v>190216</v>
      </c>
    </row>
    <row r="189" spans="1:12" s="30" customFormat="1" ht="21" customHeight="1">
      <c r="A189" s="86"/>
      <c r="B189" s="103"/>
      <c r="C189" s="107">
        <v>4040</v>
      </c>
      <c r="D189" s="48" t="s">
        <v>96</v>
      </c>
      <c r="E189" s="101">
        <v>14968</v>
      </c>
      <c r="F189" s="101"/>
      <c r="G189" s="101"/>
      <c r="H189" s="101">
        <f t="shared" si="16"/>
        <v>14968</v>
      </c>
      <c r="I189" s="101"/>
      <c r="J189" s="101">
        <f t="shared" si="11"/>
        <v>14968</v>
      </c>
      <c r="K189" s="101">
        <v>0</v>
      </c>
      <c r="L189" s="101">
        <f t="shared" si="12"/>
        <v>14968</v>
      </c>
    </row>
    <row r="190" spans="1:12" s="30" customFormat="1" ht="21" customHeight="1">
      <c r="A190" s="86"/>
      <c r="B190" s="103"/>
      <c r="C190" s="107">
        <v>4110</v>
      </c>
      <c r="D190" s="48" t="s">
        <v>97</v>
      </c>
      <c r="E190" s="101">
        <v>37470</v>
      </c>
      <c r="F190" s="101"/>
      <c r="G190" s="101"/>
      <c r="H190" s="101">
        <f t="shared" si="16"/>
        <v>37470</v>
      </c>
      <c r="I190" s="101"/>
      <c r="J190" s="101">
        <f t="shared" si="11"/>
        <v>37470</v>
      </c>
      <c r="K190" s="101">
        <v>0</v>
      </c>
      <c r="L190" s="101">
        <f t="shared" si="12"/>
        <v>37470</v>
      </c>
    </row>
    <row r="191" spans="1:12" s="30" customFormat="1" ht="21" customHeight="1">
      <c r="A191" s="86"/>
      <c r="B191" s="103"/>
      <c r="C191" s="107">
        <v>4120</v>
      </c>
      <c r="D191" s="48" t="s">
        <v>98</v>
      </c>
      <c r="E191" s="101">
        <v>5276</v>
      </c>
      <c r="F191" s="101"/>
      <c r="G191" s="101"/>
      <c r="H191" s="101">
        <f t="shared" si="16"/>
        <v>5276</v>
      </c>
      <c r="I191" s="101"/>
      <c r="J191" s="101">
        <f t="shared" si="11"/>
        <v>5276</v>
      </c>
      <c r="K191" s="101">
        <v>0</v>
      </c>
      <c r="L191" s="101">
        <f t="shared" si="12"/>
        <v>5276</v>
      </c>
    </row>
    <row r="192" spans="1:12" s="30" customFormat="1" ht="21" customHeight="1">
      <c r="A192" s="86"/>
      <c r="B192" s="103"/>
      <c r="C192" s="107">
        <v>4210</v>
      </c>
      <c r="D192" s="48" t="s">
        <v>83</v>
      </c>
      <c r="E192" s="101">
        <f>1000+3800</f>
        <v>4800</v>
      </c>
      <c r="F192" s="101"/>
      <c r="G192" s="101"/>
      <c r="H192" s="101">
        <f t="shared" si="16"/>
        <v>4800</v>
      </c>
      <c r="I192" s="101"/>
      <c r="J192" s="101">
        <f t="shared" si="11"/>
        <v>4800</v>
      </c>
      <c r="K192" s="101">
        <v>0</v>
      </c>
      <c r="L192" s="101">
        <f t="shared" si="12"/>
        <v>4800</v>
      </c>
    </row>
    <row r="193" spans="1:12" s="30" customFormat="1" ht="21" customHeight="1">
      <c r="A193" s="86"/>
      <c r="B193" s="103"/>
      <c r="C193" s="107">
        <v>4240</v>
      </c>
      <c r="D193" s="48" t="s">
        <v>136</v>
      </c>
      <c r="E193" s="101">
        <v>2350</v>
      </c>
      <c r="F193" s="101"/>
      <c r="G193" s="101"/>
      <c r="H193" s="101">
        <f t="shared" si="16"/>
        <v>2350</v>
      </c>
      <c r="I193" s="101"/>
      <c r="J193" s="101">
        <f t="shared" si="11"/>
        <v>2350</v>
      </c>
      <c r="K193" s="101">
        <v>0</v>
      </c>
      <c r="L193" s="101">
        <f t="shared" si="12"/>
        <v>2350</v>
      </c>
    </row>
    <row r="194" spans="1:12" s="30" customFormat="1" ht="21" customHeight="1">
      <c r="A194" s="86"/>
      <c r="B194" s="103"/>
      <c r="C194" s="107">
        <v>4260</v>
      </c>
      <c r="D194" s="48" t="s">
        <v>106</v>
      </c>
      <c r="E194" s="101">
        <v>500</v>
      </c>
      <c r="F194" s="101"/>
      <c r="G194" s="101"/>
      <c r="H194" s="101">
        <f t="shared" si="16"/>
        <v>500</v>
      </c>
      <c r="I194" s="101"/>
      <c r="J194" s="101">
        <f t="shared" si="11"/>
        <v>500</v>
      </c>
      <c r="K194" s="101">
        <v>0</v>
      </c>
      <c r="L194" s="101">
        <f t="shared" si="12"/>
        <v>500</v>
      </c>
    </row>
    <row r="195" spans="1:12" s="30" customFormat="1" ht="21" customHeight="1">
      <c r="A195" s="86"/>
      <c r="B195" s="103"/>
      <c r="C195" s="107">
        <v>4270</v>
      </c>
      <c r="D195" s="48" t="s">
        <v>89</v>
      </c>
      <c r="E195" s="101">
        <v>1100</v>
      </c>
      <c r="F195" s="101"/>
      <c r="G195" s="101"/>
      <c r="H195" s="101">
        <f t="shared" si="16"/>
        <v>1100</v>
      </c>
      <c r="I195" s="101"/>
      <c r="J195" s="101">
        <f t="shared" si="11"/>
        <v>1100</v>
      </c>
      <c r="K195" s="101">
        <v>0</v>
      </c>
      <c r="L195" s="101">
        <f t="shared" si="12"/>
        <v>1100</v>
      </c>
    </row>
    <row r="196" spans="1:12" s="30" customFormat="1" ht="21" customHeight="1">
      <c r="A196" s="86"/>
      <c r="B196" s="103"/>
      <c r="C196" s="107">
        <v>4280</v>
      </c>
      <c r="D196" s="48" t="s">
        <v>239</v>
      </c>
      <c r="E196" s="101">
        <v>400</v>
      </c>
      <c r="F196" s="101"/>
      <c r="G196" s="101"/>
      <c r="H196" s="101">
        <f t="shared" si="16"/>
        <v>400</v>
      </c>
      <c r="I196" s="101"/>
      <c r="J196" s="101">
        <f t="shared" si="11"/>
        <v>400</v>
      </c>
      <c r="K196" s="101">
        <v>0</v>
      </c>
      <c r="L196" s="101">
        <f t="shared" si="12"/>
        <v>400</v>
      </c>
    </row>
    <row r="197" spans="1:12" s="30" customFormat="1" ht="21" customHeight="1">
      <c r="A197" s="86"/>
      <c r="B197" s="103"/>
      <c r="C197" s="107">
        <v>4440</v>
      </c>
      <c r="D197" s="48" t="s">
        <v>127</v>
      </c>
      <c r="E197" s="101">
        <v>15536</v>
      </c>
      <c r="F197" s="101"/>
      <c r="G197" s="101"/>
      <c r="H197" s="101">
        <f t="shared" si="16"/>
        <v>15536</v>
      </c>
      <c r="I197" s="101"/>
      <c r="J197" s="101">
        <f t="shared" si="11"/>
        <v>15536</v>
      </c>
      <c r="K197" s="101">
        <v>0</v>
      </c>
      <c r="L197" s="101">
        <f t="shared" si="12"/>
        <v>15536</v>
      </c>
    </row>
    <row r="198" spans="1:12" s="30" customFormat="1" ht="21.75" customHeight="1">
      <c r="A198" s="109"/>
      <c r="B198" s="103" t="s">
        <v>126</v>
      </c>
      <c r="C198" s="107"/>
      <c r="D198" s="48" t="s">
        <v>137</v>
      </c>
      <c r="E198" s="101">
        <f>SUM(E199:E201)</f>
        <v>2725008</v>
      </c>
      <c r="F198" s="101">
        <f>SUM(F199:F201)</f>
        <v>0</v>
      </c>
      <c r="G198" s="101">
        <f>SUM(G199:G201)</f>
        <v>0</v>
      </c>
      <c r="H198" s="101">
        <f t="shared" si="16"/>
        <v>2725008</v>
      </c>
      <c r="I198" s="101">
        <f>SUM(I199:I201)</f>
        <v>0</v>
      </c>
      <c r="J198" s="101">
        <f>SUM(J199:J201)</f>
        <v>2725008</v>
      </c>
      <c r="K198" s="101">
        <f>SUM(K199:K201)</f>
        <v>0</v>
      </c>
      <c r="L198" s="101">
        <f>SUM(L199:L201)</f>
        <v>2725008</v>
      </c>
    </row>
    <row r="199" spans="1:12" s="30" customFormat="1" ht="26.25" customHeight="1">
      <c r="A199" s="109"/>
      <c r="B199" s="103"/>
      <c r="C199" s="107">
        <v>2510</v>
      </c>
      <c r="D199" s="48" t="s">
        <v>138</v>
      </c>
      <c r="E199" s="101">
        <v>2624508</v>
      </c>
      <c r="F199" s="101"/>
      <c r="G199" s="101"/>
      <c r="H199" s="101">
        <f t="shared" si="16"/>
        <v>2624508</v>
      </c>
      <c r="I199" s="101"/>
      <c r="J199" s="101">
        <f t="shared" si="11"/>
        <v>2624508</v>
      </c>
      <c r="K199" s="101">
        <v>500</v>
      </c>
      <c r="L199" s="101">
        <f t="shared" si="12"/>
        <v>2625008</v>
      </c>
    </row>
    <row r="200" spans="1:12" s="30" customFormat="1" ht="26.25" customHeight="1">
      <c r="A200" s="109"/>
      <c r="B200" s="103"/>
      <c r="C200" s="107">
        <v>4210</v>
      </c>
      <c r="D200" s="48" t="s">
        <v>83</v>
      </c>
      <c r="E200" s="101">
        <v>500</v>
      </c>
      <c r="F200" s="101"/>
      <c r="G200" s="101"/>
      <c r="H200" s="101">
        <f t="shared" si="16"/>
        <v>500</v>
      </c>
      <c r="I200" s="101"/>
      <c r="J200" s="101">
        <f t="shared" si="11"/>
        <v>500</v>
      </c>
      <c r="K200" s="101">
        <v>-500</v>
      </c>
      <c r="L200" s="101">
        <f t="shared" si="12"/>
        <v>0</v>
      </c>
    </row>
    <row r="201" spans="1:12" s="30" customFormat="1" ht="19.5" customHeight="1">
      <c r="A201" s="109"/>
      <c r="B201" s="103"/>
      <c r="C201" s="107">
        <v>4270</v>
      </c>
      <c r="D201" s="48" t="s">
        <v>89</v>
      </c>
      <c r="E201" s="101">
        <v>100000</v>
      </c>
      <c r="F201" s="101"/>
      <c r="G201" s="101"/>
      <c r="H201" s="101">
        <f t="shared" si="16"/>
        <v>100000</v>
      </c>
      <c r="I201" s="101"/>
      <c r="J201" s="101">
        <f t="shared" si="11"/>
        <v>100000</v>
      </c>
      <c r="K201" s="101">
        <v>0</v>
      </c>
      <c r="L201" s="101">
        <f t="shared" si="12"/>
        <v>100000</v>
      </c>
    </row>
    <row r="202" spans="1:12" s="30" customFormat="1" ht="21.75" customHeight="1">
      <c r="A202" s="109"/>
      <c r="B202" s="103" t="s">
        <v>128</v>
      </c>
      <c r="C202" s="107"/>
      <c r="D202" s="48" t="s">
        <v>61</v>
      </c>
      <c r="E202" s="101">
        <f>SUM(E203:E229)</f>
        <v>4810168</v>
      </c>
      <c r="F202" s="101">
        <f>SUM(F203:F229)</f>
        <v>50000</v>
      </c>
      <c r="G202" s="101">
        <f>SUM(G203:G229)</f>
        <v>0</v>
      </c>
      <c r="H202" s="101">
        <f t="shared" si="16"/>
        <v>4860168</v>
      </c>
      <c r="I202" s="101">
        <f>SUM(I203:I229)</f>
        <v>3820</v>
      </c>
      <c r="J202" s="101">
        <f>SUM(J203:J229)</f>
        <v>4863988</v>
      </c>
      <c r="K202" s="101">
        <f>SUM(K203:K229)</f>
        <v>6218</v>
      </c>
      <c r="L202" s="101">
        <f>SUM(L203:L229)</f>
        <v>4870206</v>
      </c>
    </row>
    <row r="203" spans="1:12" s="30" customFormat="1" ht="21" customHeight="1">
      <c r="A203" s="86"/>
      <c r="B203" s="103"/>
      <c r="C203" s="107">
        <v>3020</v>
      </c>
      <c r="D203" s="48" t="s">
        <v>224</v>
      </c>
      <c r="E203" s="101">
        <v>28916</v>
      </c>
      <c r="F203" s="101"/>
      <c r="G203" s="101"/>
      <c r="H203" s="101">
        <f t="shared" si="16"/>
        <v>28916</v>
      </c>
      <c r="I203" s="101"/>
      <c r="J203" s="101">
        <f t="shared" si="11"/>
        <v>28916</v>
      </c>
      <c r="K203" s="101">
        <v>0</v>
      </c>
      <c r="L203" s="101">
        <f t="shared" si="12"/>
        <v>28916</v>
      </c>
    </row>
    <row r="204" spans="1:12" s="30" customFormat="1" ht="21" customHeight="1">
      <c r="A204" s="86"/>
      <c r="B204" s="103"/>
      <c r="C204" s="107">
        <v>4010</v>
      </c>
      <c r="D204" s="48" t="s">
        <v>95</v>
      </c>
      <c r="E204" s="101">
        <v>2920180</v>
      </c>
      <c r="F204" s="101"/>
      <c r="G204" s="101"/>
      <c r="H204" s="101">
        <f t="shared" si="16"/>
        <v>2920180</v>
      </c>
      <c r="I204" s="101"/>
      <c r="J204" s="101">
        <f t="shared" si="11"/>
        <v>2920180</v>
      </c>
      <c r="K204" s="101">
        <v>0</v>
      </c>
      <c r="L204" s="101">
        <f t="shared" si="12"/>
        <v>2920180</v>
      </c>
    </row>
    <row r="205" spans="1:12" s="30" customFormat="1" ht="21" customHeight="1">
      <c r="A205" s="86"/>
      <c r="B205" s="103"/>
      <c r="C205" s="107">
        <v>4040</v>
      </c>
      <c r="D205" s="48" t="s">
        <v>96</v>
      </c>
      <c r="E205" s="101">
        <v>233840</v>
      </c>
      <c r="F205" s="101"/>
      <c r="G205" s="101"/>
      <c r="H205" s="101">
        <f t="shared" si="16"/>
        <v>233840</v>
      </c>
      <c r="I205" s="101"/>
      <c r="J205" s="101">
        <f t="shared" si="11"/>
        <v>233840</v>
      </c>
      <c r="K205" s="101">
        <v>0</v>
      </c>
      <c r="L205" s="101">
        <f t="shared" si="12"/>
        <v>233840</v>
      </c>
    </row>
    <row r="206" spans="1:12" s="30" customFormat="1" ht="21" customHeight="1">
      <c r="A206" s="86"/>
      <c r="B206" s="103"/>
      <c r="C206" s="107">
        <v>4110</v>
      </c>
      <c r="D206" s="48" t="s">
        <v>97</v>
      </c>
      <c r="E206" s="101">
        <v>539098</v>
      </c>
      <c r="F206" s="101"/>
      <c r="G206" s="101"/>
      <c r="H206" s="101">
        <f t="shared" si="16"/>
        <v>539098</v>
      </c>
      <c r="I206" s="101"/>
      <c r="J206" s="101">
        <f aca="true" t="shared" si="17" ref="J206:J273">SUM(H206:I206)</f>
        <v>539098</v>
      </c>
      <c r="K206" s="101">
        <v>0</v>
      </c>
      <c r="L206" s="101">
        <f aca="true" t="shared" si="18" ref="L206:L273">SUM(J206:K206)</f>
        <v>539098</v>
      </c>
    </row>
    <row r="207" spans="1:12" s="30" customFormat="1" ht="21" customHeight="1">
      <c r="A207" s="86"/>
      <c r="B207" s="103"/>
      <c r="C207" s="107">
        <v>4120</v>
      </c>
      <c r="D207" s="48" t="s">
        <v>98</v>
      </c>
      <c r="E207" s="101">
        <v>76111</v>
      </c>
      <c r="F207" s="101"/>
      <c r="G207" s="101"/>
      <c r="H207" s="101">
        <f t="shared" si="16"/>
        <v>76111</v>
      </c>
      <c r="I207" s="101"/>
      <c r="J207" s="101">
        <f t="shared" si="17"/>
        <v>76111</v>
      </c>
      <c r="K207" s="101">
        <v>0</v>
      </c>
      <c r="L207" s="101">
        <f t="shared" si="18"/>
        <v>76111</v>
      </c>
    </row>
    <row r="208" spans="1:12" s="30" customFormat="1" ht="21" customHeight="1">
      <c r="A208" s="86"/>
      <c r="B208" s="103"/>
      <c r="C208" s="107">
        <v>4170</v>
      </c>
      <c r="D208" s="48" t="s">
        <v>228</v>
      </c>
      <c r="E208" s="101">
        <v>11400</v>
      </c>
      <c r="F208" s="101"/>
      <c r="G208" s="101"/>
      <c r="H208" s="101">
        <f t="shared" si="16"/>
        <v>11400</v>
      </c>
      <c r="I208" s="101">
        <v>800</v>
      </c>
      <c r="J208" s="101">
        <f t="shared" si="17"/>
        <v>12200</v>
      </c>
      <c r="K208" s="101">
        <v>0</v>
      </c>
      <c r="L208" s="101">
        <f t="shared" si="18"/>
        <v>12200</v>
      </c>
    </row>
    <row r="209" spans="1:12" s="30" customFormat="1" ht="21" customHeight="1">
      <c r="A209" s="86"/>
      <c r="B209" s="103"/>
      <c r="C209" s="107">
        <v>4210</v>
      </c>
      <c r="D209" s="48" t="s">
        <v>103</v>
      </c>
      <c r="E209" s="101">
        <v>129060</v>
      </c>
      <c r="F209" s="101"/>
      <c r="G209" s="101"/>
      <c r="H209" s="101">
        <f t="shared" si="16"/>
        <v>129060</v>
      </c>
      <c r="I209" s="101">
        <f>300+300</f>
        <v>600</v>
      </c>
      <c r="J209" s="101">
        <f t="shared" si="17"/>
        <v>129660</v>
      </c>
      <c r="K209" s="101">
        <v>2914</v>
      </c>
      <c r="L209" s="101">
        <f t="shared" si="18"/>
        <v>132574</v>
      </c>
    </row>
    <row r="210" spans="1:12" s="30" customFormat="1" ht="21" customHeight="1">
      <c r="A210" s="86"/>
      <c r="B210" s="103"/>
      <c r="C210" s="107">
        <v>4215</v>
      </c>
      <c r="D210" s="48" t="s">
        <v>103</v>
      </c>
      <c r="E210" s="101"/>
      <c r="F210" s="101"/>
      <c r="G210" s="101"/>
      <c r="H210" s="101">
        <v>0</v>
      </c>
      <c r="I210" s="101">
        <v>521</v>
      </c>
      <c r="J210" s="101">
        <f t="shared" si="17"/>
        <v>521</v>
      </c>
      <c r="K210" s="101">
        <v>0</v>
      </c>
      <c r="L210" s="101">
        <f t="shared" si="18"/>
        <v>521</v>
      </c>
    </row>
    <row r="211" spans="1:12" s="30" customFormat="1" ht="21" customHeight="1">
      <c r="A211" s="86"/>
      <c r="B211" s="103"/>
      <c r="C211" s="107">
        <v>4230</v>
      </c>
      <c r="D211" s="48" t="s">
        <v>509</v>
      </c>
      <c r="E211" s="101">
        <v>1400</v>
      </c>
      <c r="F211" s="101"/>
      <c r="G211" s="101"/>
      <c r="H211" s="101">
        <f aca="true" t="shared" si="19" ref="H211:H216">E211+F211-G211</f>
        <v>1400</v>
      </c>
      <c r="I211" s="101"/>
      <c r="J211" s="101">
        <f t="shared" si="17"/>
        <v>1400</v>
      </c>
      <c r="K211" s="101">
        <v>0</v>
      </c>
      <c r="L211" s="101">
        <f t="shared" si="18"/>
        <v>1400</v>
      </c>
    </row>
    <row r="212" spans="1:12" s="30" customFormat="1" ht="21" customHeight="1">
      <c r="A212" s="86"/>
      <c r="B212" s="103"/>
      <c r="C212" s="107">
        <v>4240</v>
      </c>
      <c r="D212" s="48" t="s">
        <v>136</v>
      </c>
      <c r="E212" s="101">
        <f>4500+50000</f>
        <v>54500</v>
      </c>
      <c r="F212" s="101"/>
      <c r="G212" s="101"/>
      <c r="H212" s="101">
        <f t="shared" si="19"/>
        <v>54500</v>
      </c>
      <c r="I212" s="101"/>
      <c r="J212" s="101">
        <f t="shared" si="17"/>
        <v>54500</v>
      </c>
      <c r="K212" s="101">
        <v>0</v>
      </c>
      <c r="L212" s="101">
        <f t="shared" si="18"/>
        <v>54500</v>
      </c>
    </row>
    <row r="213" spans="1:12" s="30" customFormat="1" ht="21" customHeight="1">
      <c r="A213" s="86"/>
      <c r="B213" s="103"/>
      <c r="C213" s="107">
        <v>4260</v>
      </c>
      <c r="D213" s="48" t="s">
        <v>106</v>
      </c>
      <c r="E213" s="101">
        <v>288300</v>
      </c>
      <c r="F213" s="101"/>
      <c r="G213" s="101"/>
      <c r="H213" s="101">
        <f t="shared" si="19"/>
        <v>288300</v>
      </c>
      <c r="I213" s="101">
        <v>-800</v>
      </c>
      <c r="J213" s="101">
        <f t="shared" si="17"/>
        <v>287500</v>
      </c>
      <c r="K213" s="101">
        <v>1304</v>
      </c>
      <c r="L213" s="101">
        <f t="shared" si="18"/>
        <v>288804</v>
      </c>
    </row>
    <row r="214" spans="1:12" s="30" customFormat="1" ht="21" customHeight="1">
      <c r="A214" s="86"/>
      <c r="B214" s="103"/>
      <c r="C214" s="107">
        <v>4270</v>
      </c>
      <c r="D214" s="48" t="s">
        <v>89</v>
      </c>
      <c r="E214" s="101">
        <f>150000+18600</f>
        <v>168600</v>
      </c>
      <c r="F214" s="101"/>
      <c r="G214" s="101"/>
      <c r="H214" s="101">
        <f t="shared" si="19"/>
        <v>168600</v>
      </c>
      <c r="I214" s="101"/>
      <c r="J214" s="101">
        <f t="shared" si="17"/>
        <v>168600</v>
      </c>
      <c r="K214" s="101">
        <v>0</v>
      </c>
      <c r="L214" s="101">
        <f t="shared" si="18"/>
        <v>168600</v>
      </c>
    </row>
    <row r="215" spans="1:12" s="30" customFormat="1" ht="21" customHeight="1">
      <c r="A215" s="86"/>
      <c r="B215" s="103"/>
      <c r="C215" s="107">
        <v>4280</v>
      </c>
      <c r="D215" s="48" t="s">
        <v>239</v>
      </c>
      <c r="E215" s="101">
        <v>7200</v>
      </c>
      <c r="F215" s="101"/>
      <c r="G215" s="101"/>
      <c r="H215" s="101">
        <f t="shared" si="19"/>
        <v>7200</v>
      </c>
      <c r="I215" s="101"/>
      <c r="J215" s="101">
        <f t="shared" si="17"/>
        <v>7200</v>
      </c>
      <c r="K215" s="101">
        <v>0</v>
      </c>
      <c r="L215" s="101">
        <f t="shared" si="18"/>
        <v>7200</v>
      </c>
    </row>
    <row r="216" spans="1:12" s="30" customFormat="1" ht="21" customHeight="1">
      <c r="A216" s="86"/>
      <c r="B216" s="103"/>
      <c r="C216" s="107">
        <v>4300</v>
      </c>
      <c r="D216" s="48" t="s">
        <v>90</v>
      </c>
      <c r="E216" s="101">
        <f>1000+37940</f>
        <v>38940</v>
      </c>
      <c r="F216" s="101">
        <v>50000</v>
      </c>
      <c r="G216" s="101"/>
      <c r="H216" s="101">
        <f t="shared" si="19"/>
        <v>88940</v>
      </c>
      <c r="I216" s="101">
        <v>-3500</v>
      </c>
      <c r="J216" s="101">
        <f t="shared" si="17"/>
        <v>85440</v>
      </c>
      <c r="K216" s="101">
        <v>2000</v>
      </c>
      <c r="L216" s="101">
        <f t="shared" si="18"/>
        <v>87440</v>
      </c>
    </row>
    <row r="217" spans="1:12" s="30" customFormat="1" ht="21" customHeight="1">
      <c r="A217" s="86"/>
      <c r="B217" s="103"/>
      <c r="C217" s="107">
        <v>4305</v>
      </c>
      <c r="D217" s="48" t="s">
        <v>90</v>
      </c>
      <c r="E217" s="101"/>
      <c r="F217" s="101"/>
      <c r="G217" s="101"/>
      <c r="H217" s="101">
        <v>0</v>
      </c>
      <c r="I217" s="101">
        <v>373</v>
      </c>
      <c r="J217" s="101">
        <f t="shared" si="17"/>
        <v>373</v>
      </c>
      <c r="K217" s="101">
        <v>0</v>
      </c>
      <c r="L217" s="101">
        <f t="shared" si="18"/>
        <v>373</v>
      </c>
    </row>
    <row r="218" spans="1:12" s="30" customFormat="1" ht="21" customHeight="1">
      <c r="A218" s="86"/>
      <c r="B218" s="103"/>
      <c r="C218" s="107">
        <v>4350</v>
      </c>
      <c r="D218" s="48" t="s">
        <v>255</v>
      </c>
      <c r="E218" s="101">
        <v>4400</v>
      </c>
      <c r="F218" s="101"/>
      <c r="G218" s="101"/>
      <c r="H218" s="101">
        <f>E218+F218-G218</f>
        <v>4400</v>
      </c>
      <c r="I218" s="101"/>
      <c r="J218" s="101">
        <f t="shared" si="17"/>
        <v>4400</v>
      </c>
      <c r="K218" s="101">
        <v>0</v>
      </c>
      <c r="L218" s="101">
        <f t="shared" si="18"/>
        <v>4400</v>
      </c>
    </row>
    <row r="219" spans="1:12" s="30" customFormat="1" ht="36">
      <c r="A219" s="86"/>
      <c r="B219" s="103"/>
      <c r="C219" s="107">
        <v>4370</v>
      </c>
      <c r="D219" s="15" t="s">
        <v>288</v>
      </c>
      <c r="E219" s="101">
        <v>8000</v>
      </c>
      <c r="F219" s="101"/>
      <c r="G219" s="101"/>
      <c r="H219" s="101">
        <f>E219+F219-G219</f>
        <v>8000</v>
      </c>
      <c r="I219" s="101"/>
      <c r="J219" s="101">
        <f t="shared" si="17"/>
        <v>8000</v>
      </c>
      <c r="K219" s="101">
        <v>0</v>
      </c>
      <c r="L219" s="101">
        <f t="shared" si="18"/>
        <v>8000</v>
      </c>
    </row>
    <row r="220" spans="1:12" s="30" customFormat="1" ht="21" customHeight="1">
      <c r="A220" s="86"/>
      <c r="B220" s="103"/>
      <c r="C220" s="107">
        <v>4390</v>
      </c>
      <c r="D220" s="48" t="s">
        <v>294</v>
      </c>
      <c r="E220" s="101">
        <v>3800</v>
      </c>
      <c r="F220" s="101"/>
      <c r="G220" s="101"/>
      <c r="H220" s="101">
        <f>E220+F220-G220</f>
        <v>3800</v>
      </c>
      <c r="I220" s="101"/>
      <c r="J220" s="101">
        <f t="shared" si="17"/>
        <v>3800</v>
      </c>
      <c r="K220" s="101">
        <v>0</v>
      </c>
      <c r="L220" s="101">
        <f t="shared" si="18"/>
        <v>3800</v>
      </c>
    </row>
    <row r="221" spans="1:12" s="30" customFormat="1" ht="21" customHeight="1">
      <c r="A221" s="86"/>
      <c r="B221" s="103"/>
      <c r="C221" s="107">
        <v>4410</v>
      </c>
      <c r="D221" s="48" t="s">
        <v>101</v>
      </c>
      <c r="E221" s="101">
        <v>6000</v>
      </c>
      <c r="F221" s="101"/>
      <c r="G221" s="101"/>
      <c r="H221" s="101">
        <f>E221+F221-G221</f>
        <v>6000</v>
      </c>
      <c r="I221" s="101"/>
      <c r="J221" s="101">
        <f t="shared" si="17"/>
        <v>6000</v>
      </c>
      <c r="K221" s="101">
        <v>0</v>
      </c>
      <c r="L221" s="101">
        <f t="shared" si="18"/>
        <v>6000</v>
      </c>
    </row>
    <row r="222" spans="1:12" s="30" customFormat="1" ht="21" customHeight="1">
      <c r="A222" s="86"/>
      <c r="B222" s="103"/>
      <c r="C222" s="107">
        <v>4425</v>
      </c>
      <c r="D222" s="48" t="s">
        <v>104</v>
      </c>
      <c r="E222" s="101"/>
      <c r="F222" s="101"/>
      <c r="G222" s="101"/>
      <c r="H222" s="101">
        <v>0</v>
      </c>
      <c r="I222" s="101">
        <v>2326</v>
      </c>
      <c r="J222" s="101">
        <f t="shared" si="17"/>
        <v>2326</v>
      </c>
      <c r="K222" s="101">
        <v>0</v>
      </c>
      <c r="L222" s="101">
        <f t="shared" si="18"/>
        <v>2326</v>
      </c>
    </row>
    <row r="223" spans="1:12" s="30" customFormat="1" ht="21" customHeight="1">
      <c r="A223" s="86"/>
      <c r="B223" s="103"/>
      <c r="C223" s="107">
        <v>4430</v>
      </c>
      <c r="D223" s="48" t="s">
        <v>105</v>
      </c>
      <c r="E223" s="101">
        <v>3300</v>
      </c>
      <c r="F223" s="101"/>
      <c r="G223" s="101"/>
      <c r="H223" s="101">
        <f>E223+F223-G223</f>
        <v>3300</v>
      </c>
      <c r="I223" s="101"/>
      <c r="J223" s="101">
        <f t="shared" si="17"/>
        <v>3300</v>
      </c>
      <c r="K223" s="101">
        <v>0</v>
      </c>
      <c r="L223" s="101">
        <f t="shared" si="18"/>
        <v>3300</v>
      </c>
    </row>
    <row r="224" spans="1:12" s="30" customFormat="1" ht="21" customHeight="1">
      <c r="A224" s="86"/>
      <c r="B224" s="103"/>
      <c r="C224" s="107">
        <v>4440</v>
      </c>
      <c r="D224" s="48" t="s">
        <v>99</v>
      </c>
      <c r="E224" s="101">
        <v>166073</v>
      </c>
      <c r="F224" s="101"/>
      <c r="G224" s="101"/>
      <c r="H224" s="101">
        <f>E224+F224-G224</f>
        <v>166073</v>
      </c>
      <c r="I224" s="101"/>
      <c r="J224" s="101">
        <f t="shared" si="17"/>
        <v>166073</v>
      </c>
      <c r="K224" s="101">
        <v>0</v>
      </c>
      <c r="L224" s="101">
        <f t="shared" si="18"/>
        <v>166073</v>
      </c>
    </row>
    <row r="225" spans="1:12" s="30" customFormat="1" ht="21" customHeight="1">
      <c r="A225" s="86"/>
      <c r="B225" s="103"/>
      <c r="C225" s="107">
        <v>4700</v>
      </c>
      <c r="D225" s="48" t="s">
        <v>291</v>
      </c>
      <c r="E225" s="101"/>
      <c r="F225" s="101"/>
      <c r="G225" s="101"/>
      <c r="H225" s="101">
        <v>0</v>
      </c>
      <c r="I225" s="101">
        <v>3500</v>
      </c>
      <c r="J225" s="101">
        <f t="shared" si="17"/>
        <v>3500</v>
      </c>
      <c r="K225" s="101">
        <v>0</v>
      </c>
      <c r="L225" s="101">
        <f t="shared" si="18"/>
        <v>3500</v>
      </c>
    </row>
    <row r="226" spans="1:12" s="30" customFormat="1" ht="21" customHeight="1">
      <c r="A226" s="86"/>
      <c r="B226" s="103"/>
      <c r="C226" s="107">
        <v>4740</v>
      </c>
      <c r="D226" s="15" t="s">
        <v>290</v>
      </c>
      <c r="E226" s="101">
        <v>3500</v>
      </c>
      <c r="F226" s="101"/>
      <c r="G226" s="101"/>
      <c r="H226" s="101">
        <f aca="true" t="shared" si="20" ref="H226:H236">E226+F226-G226</f>
        <v>3500</v>
      </c>
      <c r="I226" s="101"/>
      <c r="J226" s="101">
        <f t="shared" si="17"/>
        <v>3500</v>
      </c>
      <c r="K226" s="101">
        <v>0</v>
      </c>
      <c r="L226" s="101">
        <f t="shared" si="18"/>
        <v>3500</v>
      </c>
    </row>
    <row r="227" spans="1:12" s="30" customFormat="1" ht="21" customHeight="1">
      <c r="A227" s="86"/>
      <c r="B227" s="103"/>
      <c r="C227" s="107">
        <v>4750</v>
      </c>
      <c r="D227" s="15" t="s">
        <v>292</v>
      </c>
      <c r="E227" s="101">
        <v>8050</v>
      </c>
      <c r="F227" s="101"/>
      <c r="G227" s="101"/>
      <c r="H227" s="101">
        <f t="shared" si="20"/>
        <v>8050</v>
      </c>
      <c r="I227" s="101"/>
      <c r="J227" s="101">
        <f t="shared" si="17"/>
        <v>8050</v>
      </c>
      <c r="K227" s="101">
        <v>0</v>
      </c>
      <c r="L227" s="101">
        <f t="shared" si="18"/>
        <v>8050</v>
      </c>
    </row>
    <row r="228" spans="1:12" s="30" customFormat="1" ht="21" customHeight="1">
      <c r="A228" s="86"/>
      <c r="B228" s="103"/>
      <c r="C228" s="107">
        <v>6050</v>
      </c>
      <c r="D228" s="15" t="s">
        <v>84</v>
      </c>
      <c r="E228" s="101">
        <v>100000</v>
      </c>
      <c r="F228" s="101"/>
      <c r="G228" s="101"/>
      <c r="H228" s="101">
        <f t="shared" si="20"/>
        <v>100000</v>
      </c>
      <c r="I228" s="101"/>
      <c r="J228" s="101">
        <f t="shared" si="17"/>
        <v>100000</v>
      </c>
      <c r="K228" s="101">
        <v>0</v>
      </c>
      <c r="L228" s="101">
        <f t="shared" si="18"/>
        <v>100000</v>
      </c>
    </row>
    <row r="229" spans="1:12" s="30" customFormat="1" ht="21" customHeight="1">
      <c r="A229" s="86"/>
      <c r="B229" s="103"/>
      <c r="C229" s="107">
        <v>6060</v>
      </c>
      <c r="D229" s="48" t="s">
        <v>107</v>
      </c>
      <c r="E229" s="101">
        <v>9500</v>
      </c>
      <c r="F229" s="101"/>
      <c r="G229" s="101"/>
      <c r="H229" s="101">
        <f t="shared" si="20"/>
        <v>9500</v>
      </c>
      <c r="I229" s="101"/>
      <c r="J229" s="101">
        <f t="shared" si="17"/>
        <v>9500</v>
      </c>
      <c r="K229" s="101">
        <v>0</v>
      </c>
      <c r="L229" s="101">
        <f t="shared" si="18"/>
        <v>9500</v>
      </c>
    </row>
    <row r="230" spans="1:12" s="30" customFormat="1" ht="21.75" customHeight="1">
      <c r="A230" s="86"/>
      <c r="B230" s="91" t="s">
        <v>129</v>
      </c>
      <c r="C230" s="64"/>
      <c r="D230" s="15" t="s">
        <v>130</v>
      </c>
      <c r="E230" s="90">
        <f>SUM(E231:E236)</f>
        <v>327983</v>
      </c>
      <c r="F230" s="90">
        <f>SUM(F231:F236)</f>
        <v>0</v>
      </c>
      <c r="G230" s="90">
        <f>SUM(G231:G236)</f>
        <v>0</v>
      </c>
      <c r="H230" s="101">
        <f t="shared" si="20"/>
        <v>327983</v>
      </c>
      <c r="I230" s="90">
        <f>SUM(I231:I236)</f>
        <v>0</v>
      </c>
      <c r="J230" s="101">
        <f>SUM(J231:J236)</f>
        <v>327983</v>
      </c>
      <c r="K230" s="101">
        <f>SUM(K231:K236)</f>
        <v>0</v>
      </c>
      <c r="L230" s="101">
        <f>SUM(L231:L236)</f>
        <v>327983</v>
      </c>
    </row>
    <row r="231" spans="1:12" s="30" customFormat="1" ht="21.75" customHeight="1">
      <c r="A231" s="86"/>
      <c r="B231" s="91"/>
      <c r="C231" s="64">
        <v>4110</v>
      </c>
      <c r="D231" s="48" t="s">
        <v>97</v>
      </c>
      <c r="E231" s="90">
        <v>245</v>
      </c>
      <c r="F231" s="90"/>
      <c r="G231" s="90"/>
      <c r="H231" s="101">
        <f t="shared" si="20"/>
        <v>245</v>
      </c>
      <c r="I231" s="90"/>
      <c r="J231" s="101">
        <f t="shared" si="17"/>
        <v>245</v>
      </c>
      <c r="K231" s="90">
        <v>0</v>
      </c>
      <c r="L231" s="101">
        <f t="shared" si="18"/>
        <v>245</v>
      </c>
    </row>
    <row r="232" spans="1:12" s="30" customFormat="1" ht="21.75" customHeight="1">
      <c r="A232" s="86"/>
      <c r="B232" s="91"/>
      <c r="C232" s="64">
        <v>4120</v>
      </c>
      <c r="D232" s="48" t="s">
        <v>98</v>
      </c>
      <c r="E232" s="90">
        <v>1738</v>
      </c>
      <c r="F232" s="90"/>
      <c r="G232" s="90"/>
      <c r="H232" s="101">
        <f t="shared" si="20"/>
        <v>1738</v>
      </c>
      <c r="I232" s="90"/>
      <c r="J232" s="101">
        <f t="shared" si="17"/>
        <v>1738</v>
      </c>
      <c r="K232" s="90">
        <v>0</v>
      </c>
      <c r="L232" s="101">
        <f t="shared" si="18"/>
        <v>1738</v>
      </c>
    </row>
    <row r="233" spans="1:12" s="30" customFormat="1" ht="21.75" customHeight="1">
      <c r="A233" s="86"/>
      <c r="B233" s="91"/>
      <c r="C233" s="64">
        <v>4170</v>
      </c>
      <c r="D233" s="48" t="s">
        <v>228</v>
      </c>
      <c r="E233" s="90">
        <v>20000</v>
      </c>
      <c r="F233" s="90"/>
      <c r="G233" s="90"/>
      <c r="H233" s="101">
        <f t="shared" si="20"/>
        <v>20000</v>
      </c>
      <c r="I233" s="90"/>
      <c r="J233" s="101">
        <f t="shared" si="17"/>
        <v>20000</v>
      </c>
      <c r="K233" s="90">
        <v>0</v>
      </c>
      <c r="L233" s="101">
        <f t="shared" si="18"/>
        <v>20000</v>
      </c>
    </row>
    <row r="234" spans="1:12" s="30" customFormat="1" ht="21.75" customHeight="1">
      <c r="A234" s="86"/>
      <c r="B234" s="91"/>
      <c r="C234" s="64">
        <v>4210</v>
      </c>
      <c r="D234" s="15" t="s">
        <v>103</v>
      </c>
      <c r="E234" s="90">
        <v>64000</v>
      </c>
      <c r="F234" s="90"/>
      <c r="G234" s="90"/>
      <c r="H234" s="101">
        <f t="shared" si="20"/>
        <v>64000</v>
      </c>
      <c r="I234" s="90"/>
      <c r="J234" s="101">
        <f t="shared" si="17"/>
        <v>64000</v>
      </c>
      <c r="K234" s="90">
        <v>0</v>
      </c>
      <c r="L234" s="101">
        <f t="shared" si="18"/>
        <v>64000</v>
      </c>
    </row>
    <row r="235" spans="1:12" s="30" customFormat="1" ht="21" customHeight="1">
      <c r="A235" s="86"/>
      <c r="B235" s="91"/>
      <c r="C235" s="64">
        <v>4300</v>
      </c>
      <c r="D235" s="15" t="s">
        <v>90</v>
      </c>
      <c r="E235" s="90">
        <v>236000</v>
      </c>
      <c r="F235" s="90"/>
      <c r="G235" s="90"/>
      <c r="H235" s="101">
        <f t="shared" si="20"/>
        <v>236000</v>
      </c>
      <c r="I235" s="90"/>
      <c r="J235" s="101">
        <f t="shared" si="17"/>
        <v>236000</v>
      </c>
      <c r="K235" s="90">
        <v>0</v>
      </c>
      <c r="L235" s="101">
        <f t="shared" si="18"/>
        <v>236000</v>
      </c>
    </row>
    <row r="236" spans="1:12" s="30" customFormat="1" ht="21" customHeight="1">
      <c r="A236" s="86"/>
      <c r="B236" s="91"/>
      <c r="C236" s="64">
        <v>4430</v>
      </c>
      <c r="D236" s="48" t="s">
        <v>105</v>
      </c>
      <c r="E236" s="90">
        <v>6000</v>
      </c>
      <c r="F236" s="90"/>
      <c r="G236" s="90"/>
      <c r="H236" s="101">
        <f t="shared" si="20"/>
        <v>6000</v>
      </c>
      <c r="I236" s="90"/>
      <c r="J236" s="101">
        <f t="shared" si="17"/>
        <v>6000</v>
      </c>
      <c r="K236" s="90">
        <v>0</v>
      </c>
      <c r="L236" s="101">
        <f t="shared" si="18"/>
        <v>6000</v>
      </c>
    </row>
    <row r="237" spans="1:12" s="30" customFormat="1" ht="24" customHeight="1">
      <c r="A237" s="86"/>
      <c r="B237" s="108">
        <v>80146</v>
      </c>
      <c r="C237" s="89"/>
      <c r="D237" s="48" t="s">
        <v>171</v>
      </c>
      <c r="E237" s="101">
        <f>SUM(E238:E239)</f>
        <v>87684</v>
      </c>
      <c r="F237" s="101">
        <f>SUM(F238:F239)</f>
        <v>0</v>
      </c>
      <c r="G237" s="101">
        <f>SUM(G238:G239)</f>
        <v>0</v>
      </c>
      <c r="H237" s="101">
        <f>SUM(H238:H240)</f>
        <v>87684</v>
      </c>
      <c r="I237" s="101">
        <f>SUM(I238:I240)</f>
        <v>0</v>
      </c>
      <c r="J237" s="101">
        <f>SUM(J238:J240)</f>
        <v>87684</v>
      </c>
      <c r="K237" s="101">
        <f>SUM(K238:K240)</f>
        <v>0</v>
      </c>
      <c r="L237" s="101">
        <f>SUM(L238:L240)</f>
        <v>87684</v>
      </c>
    </row>
    <row r="238" spans="1:12" s="30" customFormat="1" ht="21" customHeight="1">
      <c r="A238" s="86"/>
      <c r="B238" s="108"/>
      <c r="C238" s="89">
        <v>2510</v>
      </c>
      <c r="D238" s="48" t="s">
        <v>138</v>
      </c>
      <c r="E238" s="101">
        <v>9289</v>
      </c>
      <c r="F238" s="101"/>
      <c r="G238" s="101"/>
      <c r="H238" s="101">
        <f>E238+F238-G238</f>
        <v>9289</v>
      </c>
      <c r="I238" s="101"/>
      <c r="J238" s="101">
        <f t="shared" si="17"/>
        <v>9289</v>
      </c>
      <c r="K238" s="101">
        <v>0</v>
      </c>
      <c r="L238" s="101">
        <f t="shared" si="18"/>
        <v>9289</v>
      </c>
    </row>
    <row r="239" spans="1:12" s="30" customFormat="1" ht="21" customHeight="1">
      <c r="A239" s="86"/>
      <c r="B239" s="108"/>
      <c r="C239" s="89">
        <v>4300</v>
      </c>
      <c r="D239" s="48" t="s">
        <v>90</v>
      </c>
      <c r="E239" s="101">
        <v>78395</v>
      </c>
      <c r="F239" s="101"/>
      <c r="G239" s="101"/>
      <c r="H239" s="101">
        <f>E239+F239-G239</f>
        <v>78395</v>
      </c>
      <c r="I239" s="101">
        <v>-19766</v>
      </c>
      <c r="J239" s="101">
        <f t="shared" si="17"/>
        <v>58629</v>
      </c>
      <c r="K239" s="101">
        <v>0</v>
      </c>
      <c r="L239" s="101">
        <f t="shared" si="18"/>
        <v>58629</v>
      </c>
    </row>
    <row r="240" spans="1:12" s="30" customFormat="1" ht="21" customHeight="1">
      <c r="A240" s="86"/>
      <c r="B240" s="108"/>
      <c r="C240" s="89">
        <v>4410</v>
      </c>
      <c r="D240" s="48" t="s">
        <v>101</v>
      </c>
      <c r="E240" s="101"/>
      <c r="F240" s="101"/>
      <c r="G240" s="101"/>
      <c r="H240" s="101">
        <v>0</v>
      </c>
      <c r="I240" s="101">
        <v>19766</v>
      </c>
      <c r="J240" s="101">
        <f t="shared" si="17"/>
        <v>19766</v>
      </c>
      <c r="K240" s="101">
        <v>0</v>
      </c>
      <c r="L240" s="101">
        <f t="shared" si="18"/>
        <v>19766</v>
      </c>
    </row>
    <row r="241" spans="1:12" s="30" customFormat="1" ht="21.75" customHeight="1">
      <c r="A241" s="86"/>
      <c r="B241" s="103">
        <v>80195</v>
      </c>
      <c r="C241" s="86"/>
      <c r="D241" s="48" t="s">
        <v>6</v>
      </c>
      <c r="E241" s="101">
        <f>SUM(E242:E244)</f>
        <v>179972</v>
      </c>
      <c r="F241" s="101">
        <f>SUM(F242:F244)</f>
        <v>0</v>
      </c>
      <c r="G241" s="101">
        <f>SUM(G242:G244)</f>
        <v>0</v>
      </c>
      <c r="H241" s="101">
        <f aca="true" t="shared" si="21" ref="H241:H247">E241+F241-G241</f>
        <v>179972</v>
      </c>
      <c r="I241" s="101">
        <f>SUM(I242:I244)</f>
        <v>0</v>
      </c>
      <c r="J241" s="101">
        <f>SUM(J242:J244)</f>
        <v>179972</v>
      </c>
      <c r="K241" s="101">
        <f>SUM(K242:K244)</f>
        <v>0</v>
      </c>
      <c r="L241" s="101">
        <f>SUM(L242:L244)</f>
        <v>179972</v>
      </c>
    </row>
    <row r="242" spans="1:12" s="30" customFormat="1" ht="21" customHeight="1">
      <c r="A242" s="86"/>
      <c r="B242" s="103"/>
      <c r="C242" s="86">
        <v>4440</v>
      </c>
      <c r="D242" s="48" t="s">
        <v>99</v>
      </c>
      <c r="E242" s="101">
        <v>144752</v>
      </c>
      <c r="F242" s="101"/>
      <c r="G242" s="101"/>
      <c r="H242" s="101">
        <f t="shared" si="21"/>
        <v>144752</v>
      </c>
      <c r="I242" s="101"/>
      <c r="J242" s="101">
        <f t="shared" si="17"/>
        <v>144752</v>
      </c>
      <c r="K242" s="101">
        <v>0</v>
      </c>
      <c r="L242" s="101">
        <f t="shared" si="18"/>
        <v>144752</v>
      </c>
    </row>
    <row r="243" spans="1:12" s="30" customFormat="1" ht="24.75" customHeight="1">
      <c r="A243" s="86"/>
      <c r="B243" s="103"/>
      <c r="C243" s="86">
        <v>4700</v>
      </c>
      <c r="D243" s="48" t="s">
        <v>291</v>
      </c>
      <c r="E243" s="101">
        <v>22660</v>
      </c>
      <c r="F243" s="101"/>
      <c r="G243" s="101"/>
      <c r="H243" s="101">
        <f t="shared" si="21"/>
        <v>22660</v>
      </c>
      <c r="I243" s="101"/>
      <c r="J243" s="101">
        <f t="shared" si="17"/>
        <v>22660</v>
      </c>
      <c r="K243" s="101">
        <v>0</v>
      </c>
      <c r="L243" s="101">
        <f t="shared" si="18"/>
        <v>22660</v>
      </c>
    </row>
    <row r="244" spans="1:12" s="30" customFormat="1" ht="24">
      <c r="A244" s="86"/>
      <c r="B244" s="103"/>
      <c r="C244" s="86">
        <v>4750</v>
      </c>
      <c r="D244" s="48" t="s">
        <v>292</v>
      </c>
      <c r="E244" s="101">
        <v>12560</v>
      </c>
      <c r="F244" s="101"/>
      <c r="G244" s="101"/>
      <c r="H244" s="101">
        <f t="shared" si="21"/>
        <v>12560</v>
      </c>
      <c r="I244" s="101"/>
      <c r="J244" s="101">
        <f t="shared" si="17"/>
        <v>12560</v>
      </c>
      <c r="K244" s="101">
        <v>0</v>
      </c>
      <c r="L244" s="101">
        <f t="shared" si="18"/>
        <v>12560</v>
      </c>
    </row>
    <row r="245" spans="1:12" s="8" customFormat="1" ht="24.75" customHeight="1">
      <c r="A245" s="43" t="s">
        <v>131</v>
      </c>
      <c r="B245" s="44"/>
      <c r="C245" s="45"/>
      <c r="D245" s="46" t="s">
        <v>62</v>
      </c>
      <c r="E245" s="47">
        <f>SUM(E248,E260,E246)</f>
        <v>123720</v>
      </c>
      <c r="F245" s="47">
        <f>SUM(F248,F260,F246)</f>
        <v>0</v>
      </c>
      <c r="G245" s="47">
        <f>SUM(G248,G260,G246)</f>
        <v>0</v>
      </c>
      <c r="H245" s="47">
        <f t="shared" si="21"/>
        <v>123720</v>
      </c>
      <c r="I245" s="47">
        <f>SUM(I248,I260,I246)</f>
        <v>0</v>
      </c>
      <c r="J245" s="47">
        <f>SUM(J246,J248,J260,)</f>
        <v>123720</v>
      </c>
      <c r="K245" s="47">
        <f>SUM(K246,K248,K260,)</f>
        <v>0</v>
      </c>
      <c r="L245" s="47">
        <f>SUM(L246,L248,L260,)</f>
        <v>123720</v>
      </c>
    </row>
    <row r="246" spans="1:12" s="8" customFormat="1" ht="24.75" customHeight="1">
      <c r="A246" s="43"/>
      <c r="B246" s="108">
        <v>85153</v>
      </c>
      <c r="C246" s="107"/>
      <c r="D246" s="48" t="s">
        <v>284</v>
      </c>
      <c r="E246" s="101">
        <f>SUM(E247:E247)</f>
        <v>20000</v>
      </c>
      <c r="F246" s="101">
        <f>SUM(F247:F247)</f>
        <v>0</v>
      </c>
      <c r="G246" s="101">
        <f>SUM(G247:G247)</f>
        <v>0</v>
      </c>
      <c r="H246" s="101">
        <f t="shared" si="21"/>
        <v>20000</v>
      </c>
      <c r="I246" s="101">
        <f>SUM(I247:I247)</f>
        <v>0</v>
      </c>
      <c r="J246" s="101">
        <f>SUM(J247)</f>
        <v>20000</v>
      </c>
      <c r="K246" s="101">
        <f>SUM(K247)</f>
        <v>0</v>
      </c>
      <c r="L246" s="101">
        <f>SUM(L247)</f>
        <v>20000</v>
      </c>
    </row>
    <row r="247" spans="1:12" s="8" customFormat="1" ht="24.75" customHeight="1">
      <c r="A247" s="43"/>
      <c r="B247" s="108"/>
      <c r="C247" s="107">
        <v>6060</v>
      </c>
      <c r="D247" s="48" t="s">
        <v>107</v>
      </c>
      <c r="E247" s="101">
        <v>20000</v>
      </c>
      <c r="F247" s="101"/>
      <c r="G247" s="101"/>
      <c r="H247" s="101">
        <f t="shared" si="21"/>
        <v>20000</v>
      </c>
      <c r="I247" s="101"/>
      <c r="J247" s="101">
        <f t="shared" si="17"/>
        <v>20000</v>
      </c>
      <c r="K247" s="101">
        <v>0</v>
      </c>
      <c r="L247" s="101">
        <f t="shared" si="18"/>
        <v>20000</v>
      </c>
    </row>
    <row r="248" spans="1:12" s="30" customFormat="1" ht="19.5" customHeight="1">
      <c r="A248" s="86"/>
      <c r="B248" s="103" t="s">
        <v>132</v>
      </c>
      <c r="C248" s="107"/>
      <c r="D248" s="48" t="s">
        <v>63</v>
      </c>
      <c r="E248" s="101">
        <f>SUM(E250:E257)</f>
        <v>98720</v>
      </c>
      <c r="F248" s="101">
        <f>SUM(F250:F257)</f>
        <v>0</v>
      </c>
      <c r="G248" s="101">
        <f>SUM(G250:G257)</f>
        <v>0</v>
      </c>
      <c r="H248" s="101">
        <f>SUM(H250:H257)</f>
        <v>98720</v>
      </c>
      <c r="I248" s="101">
        <f>SUM(I250:I257)</f>
        <v>0</v>
      </c>
      <c r="J248" s="101">
        <f>SUM(J250:J259)</f>
        <v>98720</v>
      </c>
      <c r="K248" s="101">
        <f>SUM(K250:K259)</f>
        <v>0</v>
      </c>
      <c r="L248" s="101">
        <f>SUM(L250:L259)</f>
        <v>98720</v>
      </c>
    </row>
    <row r="249" spans="1:12" s="30" customFormat="1" ht="22.5" hidden="1">
      <c r="A249" s="86"/>
      <c r="B249" s="108"/>
      <c r="C249" s="107">
        <v>3030</v>
      </c>
      <c r="D249" s="48" t="s">
        <v>100</v>
      </c>
      <c r="E249" s="101"/>
      <c r="F249" s="101"/>
      <c r="G249" s="101"/>
      <c r="H249" s="101">
        <f>E249+F249-G249</f>
        <v>0</v>
      </c>
      <c r="I249" s="101"/>
      <c r="J249" s="101">
        <f t="shared" si="17"/>
        <v>0</v>
      </c>
      <c r="K249" s="101"/>
      <c r="L249" s="101">
        <f t="shared" si="18"/>
        <v>0</v>
      </c>
    </row>
    <row r="250" spans="1:12" s="30" customFormat="1" ht="36">
      <c r="A250" s="86"/>
      <c r="B250" s="108"/>
      <c r="C250" s="107">
        <v>2630</v>
      </c>
      <c r="D250" s="48" t="s">
        <v>282</v>
      </c>
      <c r="E250" s="101">
        <f>10000+16000+40000</f>
        <v>66000</v>
      </c>
      <c r="F250" s="101"/>
      <c r="G250" s="101"/>
      <c r="H250" s="101">
        <f>E250+F250-G250</f>
        <v>66000</v>
      </c>
      <c r="I250" s="101">
        <v>-47100</v>
      </c>
      <c r="J250" s="101">
        <f t="shared" si="17"/>
        <v>18900</v>
      </c>
      <c r="K250" s="101">
        <v>-18900</v>
      </c>
      <c r="L250" s="101">
        <f t="shared" si="18"/>
        <v>0</v>
      </c>
    </row>
    <row r="251" spans="1:12" s="30" customFormat="1" ht="60">
      <c r="A251" s="86"/>
      <c r="B251" s="108"/>
      <c r="C251" s="107">
        <v>2710</v>
      </c>
      <c r="D251" s="48" t="s">
        <v>482</v>
      </c>
      <c r="E251" s="101"/>
      <c r="F251" s="101"/>
      <c r="G251" s="101"/>
      <c r="H251" s="101"/>
      <c r="I251" s="101"/>
      <c r="J251" s="101">
        <v>0</v>
      </c>
      <c r="K251" s="101">
        <v>11551</v>
      </c>
      <c r="L251" s="101">
        <f t="shared" si="18"/>
        <v>11551</v>
      </c>
    </row>
    <row r="252" spans="1:12" s="30" customFormat="1" ht="48">
      <c r="A252" s="86"/>
      <c r="B252" s="108"/>
      <c r="C252" s="107">
        <v>2820</v>
      </c>
      <c r="D252" s="48" t="s">
        <v>433</v>
      </c>
      <c r="E252" s="101"/>
      <c r="F252" s="101"/>
      <c r="G252" s="101"/>
      <c r="H252" s="101">
        <v>0</v>
      </c>
      <c r="I252" s="101">
        <v>7953</v>
      </c>
      <c r="J252" s="101">
        <f t="shared" si="17"/>
        <v>7953</v>
      </c>
      <c r="K252" s="101">
        <v>0</v>
      </c>
      <c r="L252" s="101">
        <f t="shared" si="18"/>
        <v>7953</v>
      </c>
    </row>
    <row r="253" spans="1:12" s="30" customFormat="1" ht="60">
      <c r="A253" s="86"/>
      <c r="B253" s="108"/>
      <c r="C253" s="107">
        <v>2830</v>
      </c>
      <c r="D253" s="48" t="s">
        <v>432</v>
      </c>
      <c r="E253" s="101"/>
      <c r="F253" s="101"/>
      <c r="G253" s="101"/>
      <c r="H253" s="101">
        <v>0</v>
      </c>
      <c r="I253" s="101">
        <f>31147+8000</f>
        <v>39147</v>
      </c>
      <c r="J253" s="101">
        <f t="shared" si="17"/>
        <v>39147</v>
      </c>
      <c r="K253" s="101">
        <v>0</v>
      </c>
      <c r="L253" s="101">
        <f t="shared" si="18"/>
        <v>39147</v>
      </c>
    </row>
    <row r="254" spans="1:12" s="30" customFormat="1" ht="23.25" customHeight="1">
      <c r="A254" s="86"/>
      <c r="B254" s="108"/>
      <c r="C254" s="107">
        <v>4110</v>
      </c>
      <c r="D254" s="15" t="s">
        <v>97</v>
      </c>
      <c r="E254" s="101"/>
      <c r="F254" s="101"/>
      <c r="G254" s="101"/>
      <c r="H254" s="101"/>
      <c r="I254" s="101"/>
      <c r="J254" s="101">
        <v>0</v>
      </c>
      <c r="K254" s="101">
        <v>338</v>
      </c>
      <c r="L254" s="101">
        <f t="shared" si="18"/>
        <v>338</v>
      </c>
    </row>
    <row r="255" spans="1:12" s="30" customFormat="1" ht="21" customHeight="1">
      <c r="A255" s="86"/>
      <c r="B255" s="108"/>
      <c r="C255" s="107">
        <v>4170</v>
      </c>
      <c r="D255" s="48" t="s">
        <v>228</v>
      </c>
      <c r="E255" s="101">
        <v>16000</v>
      </c>
      <c r="F255" s="101"/>
      <c r="G255" s="101"/>
      <c r="H255" s="101">
        <f aca="true" t="shared" si="22" ref="H255:H288">E255+F255-G255</f>
        <v>16000</v>
      </c>
      <c r="I255" s="101"/>
      <c r="J255" s="101">
        <f t="shared" si="17"/>
        <v>16000</v>
      </c>
      <c r="K255" s="101">
        <v>5616</v>
      </c>
      <c r="L255" s="101">
        <f t="shared" si="18"/>
        <v>21616</v>
      </c>
    </row>
    <row r="256" spans="1:12" s="30" customFormat="1" ht="21" customHeight="1">
      <c r="A256" s="86"/>
      <c r="B256" s="108"/>
      <c r="C256" s="107">
        <v>4210</v>
      </c>
      <c r="D256" s="15" t="s">
        <v>103</v>
      </c>
      <c r="E256" s="101"/>
      <c r="F256" s="101"/>
      <c r="G256" s="101"/>
      <c r="H256" s="101"/>
      <c r="I256" s="101"/>
      <c r="J256" s="101">
        <v>0</v>
      </c>
      <c r="K256" s="101">
        <f>1050+943+1300</f>
        <v>3293</v>
      </c>
      <c r="L256" s="101">
        <f t="shared" si="18"/>
        <v>3293</v>
      </c>
    </row>
    <row r="257" spans="1:12" s="30" customFormat="1" ht="21" customHeight="1">
      <c r="A257" s="86"/>
      <c r="B257" s="108"/>
      <c r="C257" s="107">
        <v>4300</v>
      </c>
      <c r="D257" s="48" t="s">
        <v>90</v>
      </c>
      <c r="E257" s="101">
        <f>11000+860+860+4000</f>
        <v>16720</v>
      </c>
      <c r="F257" s="101"/>
      <c r="G257" s="101"/>
      <c r="H257" s="101">
        <f t="shared" si="22"/>
        <v>16720</v>
      </c>
      <c r="I257" s="101"/>
      <c r="J257" s="101">
        <f t="shared" si="17"/>
        <v>16720</v>
      </c>
      <c r="K257" s="101">
        <f>-11000+6360+170</f>
        <v>-4470</v>
      </c>
      <c r="L257" s="101">
        <f t="shared" si="18"/>
        <v>12250</v>
      </c>
    </row>
    <row r="258" spans="1:12" s="30" customFormat="1" ht="21" customHeight="1">
      <c r="A258" s="86"/>
      <c r="B258" s="108"/>
      <c r="C258" s="107">
        <v>4350</v>
      </c>
      <c r="D258" s="15" t="s">
        <v>273</v>
      </c>
      <c r="E258" s="101"/>
      <c r="F258" s="101"/>
      <c r="G258" s="101"/>
      <c r="H258" s="101"/>
      <c r="I258" s="101"/>
      <c r="J258" s="101">
        <v>0</v>
      </c>
      <c r="K258" s="101">
        <v>672</v>
      </c>
      <c r="L258" s="101">
        <f t="shared" si="18"/>
        <v>672</v>
      </c>
    </row>
    <row r="259" spans="1:12" s="30" customFormat="1" ht="21" customHeight="1">
      <c r="A259" s="86"/>
      <c r="B259" s="108"/>
      <c r="C259" s="107">
        <v>4410</v>
      </c>
      <c r="D259" s="15" t="s">
        <v>101</v>
      </c>
      <c r="E259" s="101"/>
      <c r="F259" s="101"/>
      <c r="G259" s="101"/>
      <c r="H259" s="101"/>
      <c r="I259" s="101"/>
      <c r="J259" s="101">
        <v>0</v>
      </c>
      <c r="K259" s="101">
        <v>1900</v>
      </c>
      <c r="L259" s="101">
        <f t="shared" si="18"/>
        <v>1900</v>
      </c>
    </row>
    <row r="260" spans="1:12" s="30" customFormat="1" ht="21" customHeight="1">
      <c r="A260" s="86"/>
      <c r="B260" s="108">
        <v>85195</v>
      </c>
      <c r="C260" s="107"/>
      <c r="D260" s="48" t="s">
        <v>6</v>
      </c>
      <c r="E260" s="101">
        <f>SUM(E261)</f>
        <v>5000</v>
      </c>
      <c r="F260" s="101">
        <f>SUM(F261)</f>
        <v>0</v>
      </c>
      <c r="G260" s="101">
        <f>SUM(G261)</f>
        <v>0</v>
      </c>
      <c r="H260" s="101">
        <f t="shared" si="22"/>
        <v>5000</v>
      </c>
      <c r="I260" s="101">
        <f>SUM(I261)</f>
        <v>0</v>
      </c>
      <c r="J260" s="101">
        <f>SUM(J261)</f>
        <v>5000</v>
      </c>
      <c r="K260" s="101">
        <f>SUM(K261)</f>
        <v>0</v>
      </c>
      <c r="L260" s="101">
        <f>SUM(L261)</f>
        <v>5000</v>
      </c>
    </row>
    <row r="261" spans="1:12" s="30" customFormat="1" ht="21" customHeight="1">
      <c r="A261" s="86"/>
      <c r="B261" s="108"/>
      <c r="C261" s="107">
        <v>4430</v>
      </c>
      <c r="D261" s="48" t="s">
        <v>105</v>
      </c>
      <c r="E261" s="101">
        <v>5000</v>
      </c>
      <c r="F261" s="101"/>
      <c r="G261" s="101"/>
      <c r="H261" s="101">
        <f t="shared" si="22"/>
        <v>5000</v>
      </c>
      <c r="I261" s="101"/>
      <c r="J261" s="101">
        <f t="shared" si="17"/>
        <v>5000</v>
      </c>
      <c r="K261" s="101">
        <v>0</v>
      </c>
      <c r="L261" s="101">
        <f t="shared" si="18"/>
        <v>5000</v>
      </c>
    </row>
    <row r="262" spans="1:12" s="8" customFormat="1" ht="24.75" customHeight="1">
      <c r="A262" s="80">
        <v>852</v>
      </c>
      <c r="B262" s="44"/>
      <c r="C262" s="45"/>
      <c r="D262" s="46" t="s">
        <v>221</v>
      </c>
      <c r="E262" s="47">
        <f>SUM(E263,E284,E286,E289,E291,E316,E318,)</f>
        <v>12388325</v>
      </c>
      <c r="F262" s="47">
        <f>SUM(F263,F284,F286,F289,F291,F316,F318,)</f>
        <v>0</v>
      </c>
      <c r="G262" s="47">
        <f>SUM(G263,G284,G286,G289,G291,G316,G318,)</f>
        <v>0</v>
      </c>
      <c r="H262" s="47">
        <f t="shared" si="22"/>
        <v>12388325</v>
      </c>
      <c r="I262" s="47">
        <f>SUM(I263,I284,I286,I289,I291,I316,I318,)</f>
        <v>-22000</v>
      </c>
      <c r="J262" s="47">
        <f>SUM(J263,J284,J286,J289,J291,J316,J318,)</f>
        <v>12366325</v>
      </c>
      <c r="K262" s="47">
        <f>SUM(K263,K284,K286,K289,K291,K316,K318,)</f>
        <v>0</v>
      </c>
      <c r="L262" s="47">
        <f>SUM(L263,L284,L286,L289,L291,L316,L318,)</f>
        <v>12366325</v>
      </c>
    </row>
    <row r="263" spans="1:12" s="30" customFormat="1" ht="48">
      <c r="A263" s="118"/>
      <c r="B263" s="64">
        <v>85212</v>
      </c>
      <c r="C263" s="99"/>
      <c r="D263" s="97" t="s">
        <v>281</v>
      </c>
      <c r="E263" s="90">
        <f>SUM(E264:E283)</f>
        <v>7804800</v>
      </c>
      <c r="F263" s="90">
        <f>SUM(F264:F283)</f>
        <v>0</v>
      </c>
      <c r="G263" s="90">
        <f>SUM(G264:G283)</f>
        <v>0</v>
      </c>
      <c r="H263" s="101">
        <f t="shared" si="22"/>
        <v>7804800</v>
      </c>
      <c r="I263" s="90">
        <f>SUM(I264:I283)</f>
        <v>7900</v>
      </c>
      <c r="J263" s="101">
        <f>SUM(J264:J283)</f>
        <v>7812700</v>
      </c>
      <c r="K263" s="101">
        <f>SUM(K264:K283)</f>
        <v>0</v>
      </c>
      <c r="L263" s="101">
        <f>SUM(L264:L283)</f>
        <v>7812700</v>
      </c>
    </row>
    <row r="264" spans="1:12" s="30" customFormat="1" ht="21" customHeight="1">
      <c r="A264" s="118"/>
      <c r="B264" s="64"/>
      <c r="C264" s="99">
        <v>3020</v>
      </c>
      <c r="D264" s="48" t="s">
        <v>224</v>
      </c>
      <c r="E264" s="90">
        <v>1000</v>
      </c>
      <c r="F264" s="90"/>
      <c r="G264" s="90"/>
      <c r="H264" s="101">
        <f t="shared" si="22"/>
        <v>1000</v>
      </c>
      <c r="I264" s="90"/>
      <c r="J264" s="101">
        <f t="shared" si="17"/>
        <v>1000</v>
      </c>
      <c r="K264" s="90">
        <v>0</v>
      </c>
      <c r="L264" s="101">
        <f t="shared" si="18"/>
        <v>1000</v>
      </c>
    </row>
    <row r="265" spans="1:12" s="30" customFormat="1" ht="21" customHeight="1">
      <c r="A265" s="118"/>
      <c r="B265" s="64"/>
      <c r="C265" s="99">
        <v>3110</v>
      </c>
      <c r="D265" s="97" t="s">
        <v>125</v>
      </c>
      <c r="E265" s="90">
        <v>7510656</v>
      </c>
      <c r="F265" s="90"/>
      <c r="G265" s="90"/>
      <c r="H265" s="101">
        <f t="shared" si="22"/>
        <v>7510656</v>
      </c>
      <c r="I265" s="90"/>
      <c r="J265" s="101">
        <f t="shared" si="17"/>
        <v>7510656</v>
      </c>
      <c r="K265" s="90">
        <v>0</v>
      </c>
      <c r="L265" s="101">
        <f t="shared" si="18"/>
        <v>7510656</v>
      </c>
    </row>
    <row r="266" spans="1:12" s="30" customFormat="1" ht="21" customHeight="1">
      <c r="A266" s="118"/>
      <c r="B266" s="64"/>
      <c r="C266" s="64">
        <v>4010</v>
      </c>
      <c r="D266" s="15" t="s">
        <v>95</v>
      </c>
      <c r="E266" s="90">
        <v>123700</v>
      </c>
      <c r="F266" s="90"/>
      <c r="G266" s="90"/>
      <c r="H266" s="101">
        <f t="shared" si="22"/>
        <v>123700</v>
      </c>
      <c r="I266" s="90"/>
      <c r="J266" s="101">
        <f t="shared" si="17"/>
        <v>123700</v>
      </c>
      <c r="K266" s="90">
        <v>0</v>
      </c>
      <c r="L266" s="101">
        <f t="shared" si="18"/>
        <v>123700</v>
      </c>
    </row>
    <row r="267" spans="1:12" s="30" customFormat="1" ht="21" customHeight="1">
      <c r="A267" s="118"/>
      <c r="B267" s="64"/>
      <c r="C267" s="64">
        <v>4040</v>
      </c>
      <c r="D267" s="15" t="s">
        <v>96</v>
      </c>
      <c r="E267" s="90">
        <v>11000</v>
      </c>
      <c r="F267" s="90"/>
      <c r="G267" s="90"/>
      <c r="H267" s="101">
        <f t="shared" si="22"/>
        <v>11000</v>
      </c>
      <c r="I267" s="90"/>
      <c r="J267" s="101">
        <f t="shared" si="17"/>
        <v>11000</v>
      </c>
      <c r="K267" s="90">
        <v>0</v>
      </c>
      <c r="L267" s="101">
        <f t="shared" si="18"/>
        <v>11000</v>
      </c>
    </row>
    <row r="268" spans="1:12" s="30" customFormat="1" ht="21" customHeight="1">
      <c r="A268" s="118"/>
      <c r="B268" s="64"/>
      <c r="C268" s="64">
        <v>4110</v>
      </c>
      <c r="D268" s="15" t="s">
        <v>97</v>
      </c>
      <c r="E268" s="90">
        <f>23500+60000</f>
        <v>83500</v>
      </c>
      <c r="F268" s="90"/>
      <c r="G268" s="90"/>
      <c r="H268" s="101">
        <f t="shared" si="22"/>
        <v>83500</v>
      </c>
      <c r="I268" s="90"/>
      <c r="J268" s="101">
        <f t="shared" si="17"/>
        <v>83500</v>
      </c>
      <c r="K268" s="90">
        <v>0</v>
      </c>
      <c r="L268" s="101">
        <f t="shared" si="18"/>
        <v>83500</v>
      </c>
    </row>
    <row r="269" spans="1:12" s="30" customFormat="1" ht="21" customHeight="1">
      <c r="A269" s="118"/>
      <c r="B269" s="64"/>
      <c r="C269" s="64">
        <v>4120</v>
      </c>
      <c r="D269" s="15" t="s">
        <v>98</v>
      </c>
      <c r="E269" s="90">
        <v>3400</v>
      </c>
      <c r="F269" s="90"/>
      <c r="G269" s="90"/>
      <c r="H269" s="101">
        <f t="shared" si="22"/>
        <v>3400</v>
      </c>
      <c r="I269" s="90"/>
      <c r="J269" s="101">
        <f t="shared" si="17"/>
        <v>3400</v>
      </c>
      <c r="K269" s="90">
        <v>0</v>
      </c>
      <c r="L269" s="101">
        <f t="shared" si="18"/>
        <v>3400</v>
      </c>
    </row>
    <row r="270" spans="1:12" s="30" customFormat="1" ht="21" customHeight="1">
      <c r="A270" s="118"/>
      <c r="B270" s="98"/>
      <c r="C270" s="64">
        <v>4170</v>
      </c>
      <c r="D270" s="48" t="s">
        <v>228</v>
      </c>
      <c r="E270" s="90">
        <v>4000</v>
      </c>
      <c r="F270" s="90"/>
      <c r="G270" s="90"/>
      <c r="H270" s="101">
        <f t="shared" si="22"/>
        <v>4000</v>
      </c>
      <c r="I270" s="90"/>
      <c r="J270" s="101">
        <f t="shared" si="17"/>
        <v>4000</v>
      </c>
      <c r="K270" s="90">
        <v>0</v>
      </c>
      <c r="L270" s="101">
        <f t="shared" si="18"/>
        <v>4000</v>
      </c>
    </row>
    <row r="271" spans="1:12" s="30" customFormat="1" ht="21" customHeight="1">
      <c r="A271" s="118"/>
      <c r="B271" s="98"/>
      <c r="C271" s="64">
        <v>4210</v>
      </c>
      <c r="D271" s="15" t="s">
        <v>103</v>
      </c>
      <c r="E271" s="90">
        <f>8000+3410</f>
        <v>11410</v>
      </c>
      <c r="F271" s="90"/>
      <c r="G271" s="90"/>
      <c r="H271" s="101">
        <f t="shared" si="22"/>
        <v>11410</v>
      </c>
      <c r="I271" s="90">
        <v>7900</v>
      </c>
      <c r="J271" s="101">
        <f t="shared" si="17"/>
        <v>19310</v>
      </c>
      <c r="K271" s="90">
        <v>0</v>
      </c>
      <c r="L271" s="101">
        <f t="shared" si="18"/>
        <v>19310</v>
      </c>
    </row>
    <row r="272" spans="1:12" s="30" customFormat="1" ht="21" customHeight="1">
      <c r="A272" s="118"/>
      <c r="B272" s="98"/>
      <c r="C272" s="64">
        <v>4270</v>
      </c>
      <c r="D272" s="15" t="s">
        <v>89</v>
      </c>
      <c r="E272" s="90">
        <v>1000</v>
      </c>
      <c r="F272" s="90"/>
      <c r="G272" s="90"/>
      <c r="H272" s="101">
        <f t="shared" si="22"/>
        <v>1000</v>
      </c>
      <c r="I272" s="90"/>
      <c r="J272" s="101">
        <f t="shared" si="17"/>
        <v>1000</v>
      </c>
      <c r="K272" s="90">
        <v>0</v>
      </c>
      <c r="L272" s="101">
        <f t="shared" si="18"/>
        <v>1000</v>
      </c>
    </row>
    <row r="273" spans="1:12" s="30" customFormat="1" ht="21" customHeight="1">
      <c r="A273" s="118"/>
      <c r="B273" s="98"/>
      <c r="C273" s="64">
        <v>4280</v>
      </c>
      <c r="D273" s="15" t="s">
        <v>271</v>
      </c>
      <c r="E273" s="90">
        <v>500</v>
      </c>
      <c r="F273" s="90"/>
      <c r="G273" s="90"/>
      <c r="H273" s="101">
        <f t="shared" si="22"/>
        <v>500</v>
      </c>
      <c r="I273" s="90"/>
      <c r="J273" s="101">
        <f t="shared" si="17"/>
        <v>500</v>
      </c>
      <c r="K273" s="90">
        <v>0</v>
      </c>
      <c r="L273" s="101">
        <f t="shared" si="18"/>
        <v>500</v>
      </c>
    </row>
    <row r="274" spans="1:12" s="30" customFormat="1" ht="21" customHeight="1">
      <c r="A274" s="118"/>
      <c r="B274" s="98"/>
      <c r="C274" s="64">
        <v>4300</v>
      </c>
      <c r="D274" s="15" t="s">
        <v>90</v>
      </c>
      <c r="E274" s="90">
        <f>24150+3410</f>
        <v>27560</v>
      </c>
      <c r="F274" s="90"/>
      <c r="G274" s="90"/>
      <c r="H274" s="101">
        <f t="shared" si="22"/>
        <v>27560</v>
      </c>
      <c r="I274" s="90"/>
      <c r="J274" s="101">
        <f aca="true" t="shared" si="23" ref="J274:J337">SUM(H274:I274)</f>
        <v>27560</v>
      </c>
      <c r="K274" s="90">
        <v>0</v>
      </c>
      <c r="L274" s="101">
        <f aca="true" t="shared" si="24" ref="L274:L337">SUM(J274:K274)</f>
        <v>27560</v>
      </c>
    </row>
    <row r="275" spans="1:12" s="30" customFormat="1" ht="21" customHeight="1">
      <c r="A275" s="118"/>
      <c r="B275" s="98"/>
      <c r="C275" s="64">
        <v>4350</v>
      </c>
      <c r="D275" s="15" t="s">
        <v>273</v>
      </c>
      <c r="E275" s="90">
        <v>3500</v>
      </c>
      <c r="F275" s="90"/>
      <c r="G275" s="90"/>
      <c r="H275" s="101">
        <f t="shared" si="22"/>
        <v>3500</v>
      </c>
      <c r="I275" s="90"/>
      <c r="J275" s="101">
        <f t="shared" si="23"/>
        <v>3500</v>
      </c>
      <c r="K275" s="90">
        <v>0</v>
      </c>
      <c r="L275" s="101">
        <f t="shared" si="24"/>
        <v>3500</v>
      </c>
    </row>
    <row r="276" spans="1:12" s="30" customFormat="1" ht="36">
      <c r="A276" s="118"/>
      <c r="B276" s="98"/>
      <c r="C276" s="64">
        <v>4360</v>
      </c>
      <c r="D276" s="15" t="s">
        <v>293</v>
      </c>
      <c r="E276" s="90">
        <v>1000</v>
      </c>
      <c r="F276" s="90"/>
      <c r="G276" s="90"/>
      <c r="H276" s="101">
        <f t="shared" si="22"/>
        <v>1000</v>
      </c>
      <c r="I276" s="90"/>
      <c r="J276" s="101">
        <f t="shared" si="23"/>
        <v>1000</v>
      </c>
      <c r="K276" s="90">
        <v>0</v>
      </c>
      <c r="L276" s="101">
        <f t="shared" si="24"/>
        <v>1000</v>
      </c>
    </row>
    <row r="277" spans="1:12" s="30" customFormat="1" ht="36">
      <c r="A277" s="118"/>
      <c r="B277" s="98"/>
      <c r="C277" s="64">
        <v>4370</v>
      </c>
      <c r="D277" s="15" t="s">
        <v>288</v>
      </c>
      <c r="E277" s="90">
        <v>4000</v>
      </c>
      <c r="F277" s="90"/>
      <c r="G277" s="90"/>
      <c r="H277" s="101">
        <f t="shared" si="22"/>
        <v>4000</v>
      </c>
      <c r="I277" s="90"/>
      <c r="J277" s="101">
        <f t="shared" si="23"/>
        <v>4000</v>
      </c>
      <c r="K277" s="90">
        <v>0</v>
      </c>
      <c r="L277" s="101">
        <f t="shared" si="24"/>
        <v>4000</v>
      </c>
    </row>
    <row r="278" spans="1:12" s="30" customFormat="1" ht="21" customHeight="1">
      <c r="A278" s="118"/>
      <c r="B278" s="98"/>
      <c r="C278" s="64">
        <v>4410</v>
      </c>
      <c r="D278" s="15" t="s">
        <v>101</v>
      </c>
      <c r="E278" s="90">
        <v>2500</v>
      </c>
      <c r="F278" s="90"/>
      <c r="G278" s="90"/>
      <c r="H278" s="101">
        <f t="shared" si="22"/>
        <v>2500</v>
      </c>
      <c r="I278" s="90"/>
      <c r="J278" s="101">
        <f t="shared" si="23"/>
        <v>2500</v>
      </c>
      <c r="K278" s="90">
        <v>0</v>
      </c>
      <c r="L278" s="101">
        <f t="shared" si="24"/>
        <v>2500</v>
      </c>
    </row>
    <row r="279" spans="1:12" s="30" customFormat="1" ht="21" customHeight="1">
      <c r="A279" s="118"/>
      <c r="B279" s="98"/>
      <c r="C279" s="64">
        <v>4430</v>
      </c>
      <c r="D279" s="48" t="s">
        <v>105</v>
      </c>
      <c r="E279" s="90">
        <v>2000</v>
      </c>
      <c r="F279" s="90"/>
      <c r="G279" s="90"/>
      <c r="H279" s="101">
        <f t="shared" si="22"/>
        <v>2000</v>
      </c>
      <c r="I279" s="90"/>
      <c r="J279" s="101">
        <f t="shared" si="23"/>
        <v>2000</v>
      </c>
      <c r="K279" s="90">
        <v>0</v>
      </c>
      <c r="L279" s="101">
        <f t="shared" si="24"/>
        <v>2000</v>
      </c>
    </row>
    <row r="280" spans="1:12" s="30" customFormat="1" ht="21" customHeight="1">
      <c r="A280" s="118"/>
      <c r="B280" s="98"/>
      <c r="C280" s="64">
        <v>4440</v>
      </c>
      <c r="D280" s="15" t="s">
        <v>99</v>
      </c>
      <c r="E280" s="90">
        <v>4000</v>
      </c>
      <c r="F280" s="90"/>
      <c r="G280" s="90"/>
      <c r="H280" s="101">
        <f t="shared" si="22"/>
        <v>4000</v>
      </c>
      <c r="I280" s="90"/>
      <c r="J280" s="101">
        <f t="shared" si="23"/>
        <v>4000</v>
      </c>
      <c r="K280" s="90">
        <v>0</v>
      </c>
      <c r="L280" s="101">
        <f t="shared" si="24"/>
        <v>4000</v>
      </c>
    </row>
    <row r="281" spans="1:12" s="30" customFormat="1" ht="21" customHeight="1">
      <c r="A281" s="118"/>
      <c r="B281" s="98"/>
      <c r="C281" s="64">
        <v>4700</v>
      </c>
      <c r="D281" s="15" t="s">
        <v>291</v>
      </c>
      <c r="E281" s="90">
        <v>3000</v>
      </c>
      <c r="F281" s="90"/>
      <c r="G281" s="90"/>
      <c r="H281" s="101">
        <f t="shared" si="22"/>
        <v>3000</v>
      </c>
      <c r="I281" s="90"/>
      <c r="J281" s="101">
        <f t="shared" si="23"/>
        <v>3000</v>
      </c>
      <c r="K281" s="90">
        <v>0</v>
      </c>
      <c r="L281" s="101">
        <f t="shared" si="24"/>
        <v>3000</v>
      </c>
    </row>
    <row r="282" spans="1:12" s="30" customFormat="1" ht="36">
      <c r="A282" s="118"/>
      <c r="B282" s="98"/>
      <c r="C282" s="64">
        <v>4740</v>
      </c>
      <c r="D282" s="15" t="s">
        <v>290</v>
      </c>
      <c r="E282" s="90">
        <v>4000</v>
      </c>
      <c r="F282" s="90"/>
      <c r="G282" s="90"/>
      <c r="H282" s="101">
        <f t="shared" si="22"/>
        <v>4000</v>
      </c>
      <c r="I282" s="90"/>
      <c r="J282" s="101">
        <f t="shared" si="23"/>
        <v>4000</v>
      </c>
      <c r="K282" s="90">
        <v>0</v>
      </c>
      <c r="L282" s="101">
        <f t="shared" si="24"/>
        <v>4000</v>
      </c>
    </row>
    <row r="283" spans="1:12" s="30" customFormat="1" ht="24">
      <c r="A283" s="118"/>
      <c r="B283" s="98"/>
      <c r="C283" s="64">
        <v>4750</v>
      </c>
      <c r="D283" s="15" t="s">
        <v>292</v>
      </c>
      <c r="E283" s="90">
        <v>3074</v>
      </c>
      <c r="F283" s="90"/>
      <c r="G283" s="90"/>
      <c r="H283" s="101">
        <f t="shared" si="22"/>
        <v>3074</v>
      </c>
      <c r="I283" s="90"/>
      <c r="J283" s="101">
        <f t="shared" si="23"/>
        <v>3074</v>
      </c>
      <c r="K283" s="90">
        <v>0</v>
      </c>
      <c r="L283" s="101">
        <f t="shared" si="24"/>
        <v>3074</v>
      </c>
    </row>
    <row r="284" spans="1:12" s="30" customFormat="1" ht="60" customHeight="1">
      <c r="A284" s="86"/>
      <c r="B284" s="108">
        <v>85213</v>
      </c>
      <c r="C284" s="107"/>
      <c r="D284" s="48" t="s">
        <v>219</v>
      </c>
      <c r="E284" s="101">
        <f>SUM(E285)</f>
        <v>99900</v>
      </c>
      <c r="F284" s="101">
        <f>SUM(F285)</f>
        <v>0</v>
      </c>
      <c r="G284" s="101">
        <f>SUM(G285)</f>
        <v>0</v>
      </c>
      <c r="H284" s="101">
        <f t="shared" si="22"/>
        <v>99900</v>
      </c>
      <c r="I284" s="101">
        <f>SUM(I285)</f>
        <v>-21500</v>
      </c>
      <c r="J284" s="101">
        <f>SUM(J285)</f>
        <v>78400</v>
      </c>
      <c r="K284" s="101">
        <f>SUM(K285)</f>
        <v>0</v>
      </c>
      <c r="L284" s="101">
        <f>SUM(L285)</f>
        <v>78400</v>
      </c>
    </row>
    <row r="285" spans="1:12" s="30" customFormat="1" ht="21" customHeight="1">
      <c r="A285" s="86"/>
      <c r="B285" s="108"/>
      <c r="C285" s="107">
        <v>4130</v>
      </c>
      <c r="D285" s="48" t="s">
        <v>133</v>
      </c>
      <c r="E285" s="101">
        <v>99900</v>
      </c>
      <c r="F285" s="101"/>
      <c r="G285" s="101"/>
      <c r="H285" s="101">
        <f t="shared" si="22"/>
        <v>99900</v>
      </c>
      <c r="I285" s="101">
        <v>-21500</v>
      </c>
      <c r="J285" s="101">
        <f t="shared" si="23"/>
        <v>78400</v>
      </c>
      <c r="K285" s="101">
        <v>0</v>
      </c>
      <c r="L285" s="101">
        <f t="shared" si="24"/>
        <v>78400</v>
      </c>
    </row>
    <row r="286" spans="1:12" s="30" customFormat="1" ht="33.75" customHeight="1">
      <c r="A286" s="86"/>
      <c r="B286" s="103">
        <v>85214</v>
      </c>
      <c r="C286" s="107"/>
      <c r="D286" s="48" t="s">
        <v>254</v>
      </c>
      <c r="E286" s="101">
        <f>SUM(E287:E288)</f>
        <v>1514100</v>
      </c>
      <c r="F286" s="101">
        <f>SUM(F287:F288)</f>
        <v>0</v>
      </c>
      <c r="G286" s="101">
        <f>SUM(G287:G288)</f>
        <v>0</v>
      </c>
      <c r="H286" s="101">
        <f t="shared" si="22"/>
        <v>1514100</v>
      </c>
      <c r="I286" s="101">
        <f>SUM(I287:I288)</f>
        <v>-8400</v>
      </c>
      <c r="J286" s="101">
        <f>SUM(J287:J288)</f>
        <v>1505700</v>
      </c>
      <c r="K286" s="101">
        <f>SUM(K287:K288)</f>
        <v>0</v>
      </c>
      <c r="L286" s="101">
        <f>SUM(L287:L288)</f>
        <v>1505700</v>
      </c>
    </row>
    <row r="287" spans="1:12" s="30" customFormat="1" ht="21" customHeight="1">
      <c r="A287" s="86"/>
      <c r="B287" s="103"/>
      <c r="C287" s="107">
        <v>3110</v>
      </c>
      <c r="D287" s="48" t="s">
        <v>125</v>
      </c>
      <c r="E287" s="101">
        <f>3000+500000+439200-3000+571900</f>
        <v>1511100</v>
      </c>
      <c r="F287" s="101"/>
      <c r="G287" s="101"/>
      <c r="H287" s="101">
        <f t="shared" si="22"/>
        <v>1511100</v>
      </c>
      <c r="I287" s="101">
        <v>-8400</v>
      </c>
      <c r="J287" s="101">
        <f t="shared" si="23"/>
        <v>1502700</v>
      </c>
      <c r="K287" s="101">
        <v>0</v>
      </c>
      <c r="L287" s="101">
        <f t="shared" si="24"/>
        <v>1502700</v>
      </c>
    </row>
    <row r="288" spans="1:12" s="30" customFormat="1" ht="21" customHeight="1">
      <c r="A288" s="86"/>
      <c r="B288" s="103"/>
      <c r="C288" s="107">
        <v>4110</v>
      </c>
      <c r="D288" s="48" t="s">
        <v>97</v>
      </c>
      <c r="E288" s="101">
        <v>3000</v>
      </c>
      <c r="F288" s="101"/>
      <c r="G288" s="101"/>
      <c r="H288" s="101">
        <f t="shared" si="22"/>
        <v>3000</v>
      </c>
      <c r="I288" s="101"/>
      <c r="J288" s="101">
        <f t="shared" si="23"/>
        <v>3000</v>
      </c>
      <c r="K288" s="101">
        <v>0</v>
      </c>
      <c r="L288" s="101">
        <f t="shared" si="24"/>
        <v>3000</v>
      </c>
    </row>
    <row r="289" spans="1:12" s="30" customFormat="1" ht="21.75" customHeight="1">
      <c r="A289" s="86"/>
      <c r="B289" s="103">
        <v>85215</v>
      </c>
      <c r="C289" s="107"/>
      <c r="D289" s="48" t="s">
        <v>67</v>
      </c>
      <c r="E289" s="101">
        <f>SUM(E290)</f>
        <v>1450000</v>
      </c>
      <c r="F289" s="101">
        <f>SUM(F290)</f>
        <v>0</v>
      </c>
      <c r="G289" s="101">
        <f>SUM(G290)</f>
        <v>0</v>
      </c>
      <c r="H289" s="101">
        <f aca="true" t="shared" si="25" ref="H289:H320">E289+F289-G289</f>
        <v>1450000</v>
      </c>
      <c r="I289" s="101">
        <f>SUM(I290)</f>
        <v>0</v>
      </c>
      <c r="J289" s="101">
        <f>SUM(J290)</f>
        <v>1450000</v>
      </c>
      <c r="K289" s="101">
        <f>SUM(K290)</f>
        <v>0</v>
      </c>
      <c r="L289" s="101">
        <f>SUM(L290)</f>
        <v>1450000</v>
      </c>
    </row>
    <row r="290" spans="1:12" s="30" customFormat="1" ht="21" customHeight="1">
      <c r="A290" s="86"/>
      <c r="B290" s="103"/>
      <c r="C290" s="107">
        <v>3110</v>
      </c>
      <c r="D290" s="48" t="s">
        <v>125</v>
      </c>
      <c r="E290" s="101">
        <v>1450000</v>
      </c>
      <c r="F290" s="101"/>
      <c r="G290" s="101"/>
      <c r="H290" s="101">
        <f t="shared" si="25"/>
        <v>1450000</v>
      </c>
      <c r="I290" s="101"/>
      <c r="J290" s="101">
        <f t="shared" si="23"/>
        <v>1450000</v>
      </c>
      <c r="K290" s="101">
        <v>0</v>
      </c>
      <c r="L290" s="101">
        <f t="shared" si="24"/>
        <v>1450000</v>
      </c>
    </row>
    <row r="291" spans="1:12" s="30" customFormat="1" ht="21.75" customHeight="1">
      <c r="A291" s="86"/>
      <c r="B291" s="103">
        <v>85219</v>
      </c>
      <c r="C291" s="107"/>
      <c r="D291" s="48" t="s">
        <v>68</v>
      </c>
      <c r="E291" s="101">
        <f>SUM(E292:E315)</f>
        <v>1045805</v>
      </c>
      <c r="F291" s="101">
        <f>SUM(F292:F315)</f>
        <v>0</v>
      </c>
      <c r="G291" s="101">
        <f>SUM(G292:G315)</f>
        <v>0</v>
      </c>
      <c r="H291" s="101">
        <f t="shared" si="25"/>
        <v>1045805</v>
      </c>
      <c r="I291" s="101">
        <f>SUM(I292:I315)</f>
        <v>0</v>
      </c>
      <c r="J291" s="101">
        <f>SUM(J292:J315)</f>
        <v>1045805</v>
      </c>
      <c r="K291" s="101">
        <f>SUM(K292:K315)</f>
        <v>0</v>
      </c>
      <c r="L291" s="101">
        <f>SUM(L292:L315)</f>
        <v>1045805</v>
      </c>
    </row>
    <row r="292" spans="1:12" s="30" customFormat="1" ht="21" customHeight="1">
      <c r="A292" s="86"/>
      <c r="B292" s="103"/>
      <c r="C292" s="107">
        <v>3020</v>
      </c>
      <c r="D292" s="48" t="s">
        <v>262</v>
      </c>
      <c r="E292" s="101">
        <f>2100+550</f>
        <v>2650</v>
      </c>
      <c r="F292" s="101"/>
      <c r="G292" s="101"/>
      <c r="H292" s="101">
        <f t="shared" si="25"/>
        <v>2650</v>
      </c>
      <c r="I292" s="101"/>
      <c r="J292" s="101">
        <f t="shared" si="23"/>
        <v>2650</v>
      </c>
      <c r="K292" s="101">
        <v>0</v>
      </c>
      <c r="L292" s="101">
        <f t="shared" si="24"/>
        <v>2650</v>
      </c>
    </row>
    <row r="293" spans="1:12" s="30" customFormat="1" ht="21" customHeight="1">
      <c r="A293" s="86"/>
      <c r="B293" s="103"/>
      <c r="C293" s="107">
        <v>4010</v>
      </c>
      <c r="D293" s="48" t="s">
        <v>95</v>
      </c>
      <c r="E293" s="101">
        <f>19769+463372+44252</f>
        <v>527393</v>
      </c>
      <c r="F293" s="101"/>
      <c r="G293" s="101"/>
      <c r="H293" s="101">
        <f t="shared" si="25"/>
        <v>527393</v>
      </c>
      <c r="I293" s="101"/>
      <c r="J293" s="101">
        <f t="shared" si="23"/>
        <v>527393</v>
      </c>
      <c r="K293" s="101">
        <v>1661</v>
      </c>
      <c r="L293" s="101">
        <f t="shared" si="24"/>
        <v>529054</v>
      </c>
    </row>
    <row r="294" spans="1:12" s="30" customFormat="1" ht="21" customHeight="1">
      <c r="A294" s="86"/>
      <c r="B294" s="103"/>
      <c r="C294" s="107">
        <v>4040</v>
      </c>
      <c r="D294" s="48" t="s">
        <v>96</v>
      </c>
      <c r="E294" s="101">
        <f>1500+32700+2985</f>
        <v>37185</v>
      </c>
      <c r="F294" s="101"/>
      <c r="G294" s="101"/>
      <c r="H294" s="101">
        <f t="shared" si="25"/>
        <v>37185</v>
      </c>
      <c r="I294" s="101"/>
      <c r="J294" s="101">
        <f t="shared" si="23"/>
        <v>37185</v>
      </c>
      <c r="K294" s="101">
        <v>0</v>
      </c>
      <c r="L294" s="101">
        <f t="shared" si="24"/>
        <v>37185</v>
      </c>
    </row>
    <row r="295" spans="1:12" s="30" customFormat="1" ht="21" customHeight="1">
      <c r="A295" s="86"/>
      <c r="B295" s="103"/>
      <c r="C295" s="107">
        <v>4110</v>
      </c>
      <c r="D295" s="48" t="s">
        <v>97</v>
      </c>
      <c r="E295" s="101">
        <f>3771+86738+8141</f>
        <v>98650</v>
      </c>
      <c r="F295" s="101"/>
      <c r="G295" s="101"/>
      <c r="H295" s="101">
        <f t="shared" si="25"/>
        <v>98650</v>
      </c>
      <c r="I295" s="101"/>
      <c r="J295" s="101">
        <f t="shared" si="23"/>
        <v>98650</v>
      </c>
      <c r="K295" s="101">
        <v>279</v>
      </c>
      <c r="L295" s="101">
        <f t="shared" si="24"/>
        <v>98929</v>
      </c>
    </row>
    <row r="296" spans="1:12" s="30" customFormat="1" ht="21" customHeight="1">
      <c r="A296" s="86"/>
      <c r="B296" s="103"/>
      <c r="C296" s="107">
        <v>4120</v>
      </c>
      <c r="D296" s="48" t="s">
        <v>98</v>
      </c>
      <c r="E296" s="101">
        <f>522+1125+11986</f>
        <v>13633</v>
      </c>
      <c r="F296" s="101"/>
      <c r="G296" s="101"/>
      <c r="H296" s="101">
        <f t="shared" si="25"/>
        <v>13633</v>
      </c>
      <c r="I296" s="101"/>
      <c r="J296" s="101">
        <f t="shared" si="23"/>
        <v>13633</v>
      </c>
      <c r="K296" s="101">
        <v>38</v>
      </c>
      <c r="L296" s="101">
        <f t="shared" si="24"/>
        <v>13671</v>
      </c>
    </row>
    <row r="297" spans="1:12" s="30" customFormat="1" ht="21" customHeight="1">
      <c r="A297" s="86"/>
      <c r="B297" s="103"/>
      <c r="C297" s="107">
        <v>4170</v>
      </c>
      <c r="D297" s="48" t="s">
        <v>228</v>
      </c>
      <c r="E297" s="101">
        <f>13200+9240</f>
        <v>22440</v>
      </c>
      <c r="F297" s="101"/>
      <c r="G297" s="101"/>
      <c r="H297" s="101">
        <f t="shared" si="25"/>
        <v>22440</v>
      </c>
      <c r="I297" s="101"/>
      <c r="J297" s="101">
        <f t="shared" si="23"/>
        <v>22440</v>
      </c>
      <c r="K297" s="101">
        <v>0</v>
      </c>
      <c r="L297" s="101">
        <f t="shared" si="24"/>
        <v>22440</v>
      </c>
    </row>
    <row r="298" spans="1:12" s="30" customFormat="1" ht="21" customHeight="1">
      <c r="A298" s="86"/>
      <c r="B298" s="103"/>
      <c r="C298" s="107">
        <v>4210</v>
      </c>
      <c r="D298" s="48" t="s">
        <v>103</v>
      </c>
      <c r="E298" s="101">
        <f>9300+5600+20500</f>
        <v>35400</v>
      </c>
      <c r="F298" s="101"/>
      <c r="G298" s="101"/>
      <c r="H298" s="101">
        <f t="shared" si="25"/>
        <v>35400</v>
      </c>
      <c r="I298" s="101"/>
      <c r="J298" s="101">
        <f t="shared" si="23"/>
        <v>35400</v>
      </c>
      <c r="K298" s="101">
        <v>0</v>
      </c>
      <c r="L298" s="101">
        <f t="shared" si="24"/>
        <v>35400</v>
      </c>
    </row>
    <row r="299" spans="1:12" s="30" customFormat="1" ht="21" customHeight="1">
      <c r="A299" s="86"/>
      <c r="B299" s="103"/>
      <c r="C299" s="107">
        <v>4220</v>
      </c>
      <c r="D299" s="48" t="s">
        <v>209</v>
      </c>
      <c r="E299" s="101">
        <v>85000</v>
      </c>
      <c r="F299" s="101"/>
      <c r="G299" s="101"/>
      <c r="H299" s="101">
        <f t="shared" si="25"/>
        <v>85000</v>
      </c>
      <c r="I299" s="101"/>
      <c r="J299" s="101">
        <f t="shared" si="23"/>
        <v>85000</v>
      </c>
      <c r="K299" s="101">
        <v>0</v>
      </c>
      <c r="L299" s="101">
        <f t="shared" si="24"/>
        <v>85000</v>
      </c>
    </row>
    <row r="300" spans="1:12" s="30" customFormat="1" ht="21" customHeight="1">
      <c r="A300" s="86"/>
      <c r="B300" s="103"/>
      <c r="C300" s="107">
        <v>4230</v>
      </c>
      <c r="D300" s="48" t="s">
        <v>509</v>
      </c>
      <c r="E300" s="101">
        <v>200</v>
      </c>
      <c r="F300" s="101"/>
      <c r="G300" s="101"/>
      <c r="H300" s="101">
        <f t="shared" si="25"/>
        <v>200</v>
      </c>
      <c r="I300" s="101"/>
      <c r="J300" s="101">
        <f t="shared" si="23"/>
        <v>200</v>
      </c>
      <c r="K300" s="101">
        <v>0</v>
      </c>
      <c r="L300" s="101">
        <f t="shared" si="24"/>
        <v>200</v>
      </c>
    </row>
    <row r="301" spans="1:12" s="30" customFormat="1" ht="21" customHeight="1">
      <c r="A301" s="86"/>
      <c r="B301" s="103"/>
      <c r="C301" s="107">
        <v>4260</v>
      </c>
      <c r="D301" s="48" t="s">
        <v>106</v>
      </c>
      <c r="E301" s="101">
        <f>4000+5200</f>
        <v>9200</v>
      </c>
      <c r="F301" s="101"/>
      <c r="G301" s="101"/>
      <c r="H301" s="101">
        <f t="shared" si="25"/>
        <v>9200</v>
      </c>
      <c r="I301" s="101"/>
      <c r="J301" s="101">
        <f t="shared" si="23"/>
        <v>9200</v>
      </c>
      <c r="K301" s="101">
        <v>0</v>
      </c>
      <c r="L301" s="101">
        <f t="shared" si="24"/>
        <v>9200</v>
      </c>
    </row>
    <row r="302" spans="1:12" s="30" customFormat="1" ht="21" customHeight="1">
      <c r="A302" s="86"/>
      <c r="B302" s="103"/>
      <c r="C302" s="107">
        <v>4270</v>
      </c>
      <c r="D302" s="48" t="s">
        <v>89</v>
      </c>
      <c r="E302" s="101">
        <v>3244</v>
      </c>
      <c r="F302" s="101"/>
      <c r="G302" s="101"/>
      <c r="H302" s="101">
        <f t="shared" si="25"/>
        <v>3244</v>
      </c>
      <c r="I302" s="101"/>
      <c r="J302" s="101">
        <f t="shared" si="23"/>
        <v>3244</v>
      </c>
      <c r="K302" s="101">
        <v>0</v>
      </c>
      <c r="L302" s="101">
        <f t="shared" si="24"/>
        <v>3244</v>
      </c>
    </row>
    <row r="303" spans="1:12" s="30" customFormat="1" ht="21" customHeight="1">
      <c r="A303" s="86"/>
      <c r="B303" s="103"/>
      <c r="C303" s="107">
        <v>4280</v>
      </c>
      <c r="D303" s="48" t="s">
        <v>239</v>
      </c>
      <c r="E303" s="101">
        <f>150+350+300</f>
        <v>800</v>
      </c>
      <c r="F303" s="101"/>
      <c r="G303" s="101"/>
      <c r="H303" s="101">
        <f t="shared" si="25"/>
        <v>800</v>
      </c>
      <c r="I303" s="101"/>
      <c r="J303" s="101">
        <f t="shared" si="23"/>
        <v>800</v>
      </c>
      <c r="K303" s="101">
        <v>0</v>
      </c>
      <c r="L303" s="101">
        <f t="shared" si="24"/>
        <v>800</v>
      </c>
    </row>
    <row r="304" spans="1:12" s="30" customFormat="1" ht="21" customHeight="1">
      <c r="A304" s="86"/>
      <c r="B304" s="103"/>
      <c r="C304" s="107">
        <v>4300</v>
      </c>
      <c r="D304" s="48" t="s">
        <v>90</v>
      </c>
      <c r="E304" s="101">
        <f>46605+23261+4400</f>
        <v>74266</v>
      </c>
      <c r="F304" s="101"/>
      <c r="G304" s="101"/>
      <c r="H304" s="101">
        <f t="shared" si="25"/>
        <v>74266</v>
      </c>
      <c r="I304" s="101"/>
      <c r="J304" s="101">
        <f t="shared" si="23"/>
        <v>74266</v>
      </c>
      <c r="K304" s="101">
        <f>-4978-300+3000</f>
        <v>-2278</v>
      </c>
      <c r="L304" s="101">
        <f t="shared" si="24"/>
        <v>71988</v>
      </c>
    </row>
    <row r="305" spans="1:12" s="30" customFormat="1" ht="21" customHeight="1">
      <c r="A305" s="86"/>
      <c r="B305" s="103"/>
      <c r="C305" s="107">
        <v>4350</v>
      </c>
      <c r="D305" s="48" t="s">
        <v>255</v>
      </c>
      <c r="E305" s="101">
        <f>665+627</f>
        <v>1292</v>
      </c>
      <c r="F305" s="101"/>
      <c r="G305" s="101"/>
      <c r="H305" s="101">
        <f t="shared" si="25"/>
        <v>1292</v>
      </c>
      <c r="I305" s="101"/>
      <c r="J305" s="101">
        <f t="shared" si="23"/>
        <v>1292</v>
      </c>
      <c r="K305" s="101">
        <v>-144</v>
      </c>
      <c r="L305" s="101">
        <f t="shared" si="24"/>
        <v>1148</v>
      </c>
    </row>
    <row r="306" spans="1:12" s="30" customFormat="1" ht="36">
      <c r="A306" s="86"/>
      <c r="B306" s="103"/>
      <c r="C306" s="107">
        <v>4360</v>
      </c>
      <c r="D306" s="48" t="s">
        <v>293</v>
      </c>
      <c r="E306" s="101">
        <v>366</v>
      </c>
      <c r="F306" s="101"/>
      <c r="G306" s="101"/>
      <c r="H306" s="101">
        <f t="shared" si="25"/>
        <v>366</v>
      </c>
      <c r="I306" s="101"/>
      <c r="J306" s="101">
        <f t="shared" si="23"/>
        <v>366</v>
      </c>
      <c r="K306" s="101">
        <v>0</v>
      </c>
      <c r="L306" s="101">
        <f t="shared" si="24"/>
        <v>366</v>
      </c>
    </row>
    <row r="307" spans="1:12" s="30" customFormat="1" ht="36">
      <c r="A307" s="86"/>
      <c r="B307" s="103"/>
      <c r="C307" s="107">
        <v>4370</v>
      </c>
      <c r="D307" s="48" t="s">
        <v>288</v>
      </c>
      <c r="E307" s="101">
        <f>2400+10200+360</f>
        <v>12960</v>
      </c>
      <c r="F307" s="101"/>
      <c r="G307" s="101"/>
      <c r="H307" s="101">
        <f t="shared" si="25"/>
        <v>12960</v>
      </c>
      <c r="I307" s="101"/>
      <c r="J307" s="101">
        <f t="shared" si="23"/>
        <v>12960</v>
      </c>
      <c r="K307" s="101">
        <v>444</v>
      </c>
      <c r="L307" s="101">
        <f t="shared" si="24"/>
        <v>13404</v>
      </c>
    </row>
    <row r="308" spans="1:12" s="30" customFormat="1" ht="36">
      <c r="A308" s="86"/>
      <c r="B308" s="103"/>
      <c r="C308" s="107">
        <v>4400</v>
      </c>
      <c r="D308" s="48" t="s">
        <v>527</v>
      </c>
      <c r="E308" s="101">
        <f>1922+54307+11378</f>
        <v>67607</v>
      </c>
      <c r="F308" s="101"/>
      <c r="G308" s="101"/>
      <c r="H308" s="101">
        <f t="shared" si="25"/>
        <v>67607</v>
      </c>
      <c r="I308" s="101"/>
      <c r="J308" s="101">
        <f t="shared" si="23"/>
        <v>67607</v>
      </c>
      <c r="K308" s="101">
        <v>0</v>
      </c>
      <c r="L308" s="101">
        <f t="shared" si="24"/>
        <v>67607</v>
      </c>
    </row>
    <row r="309" spans="1:12" s="30" customFormat="1" ht="21" customHeight="1">
      <c r="A309" s="86"/>
      <c r="B309" s="103"/>
      <c r="C309" s="107">
        <v>4410</v>
      </c>
      <c r="D309" s="48" t="s">
        <v>101</v>
      </c>
      <c r="E309" s="101">
        <f>500+10260</f>
        <v>10760</v>
      </c>
      <c r="F309" s="101"/>
      <c r="G309" s="101"/>
      <c r="H309" s="101">
        <f t="shared" si="25"/>
        <v>10760</v>
      </c>
      <c r="I309" s="101"/>
      <c r="J309" s="101">
        <f t="shared" si="23"/>
        <v>10760</v>
      </c>
      <c r="K309" s="101">
        <v>0</v>
      </c>
      <c r="L309" s="101">
        <f t="shared" si="24"/>
        <v>10760</v>
      </c>
    </row>
    <row r="310" spans="1:12" s="30" customFormat="1" ht="21" customHeight="1">
      <c r="A310" s="86"/>
      <c r="B310" s="103"/>
      <c r="C310" s="107">
        <v>4430</v>
      </c>
      <c r="D310" s="48" t="s">
        <v>105</v>
      </c>
      <c r="E310" s="101">
        <v>600</v>
      </c>
      <c r="F310" s="101"/>
      <c r="G310" s="101"/>
      <c r="H310" s="101">
        <f t="shared" si="25"/>
        <v>600</v>
      </c>
      <c r="I310" s="101"/>
      <c r="J310" s="101">
        <f t="shared" si="23"/>
        <v>600</v>
      </c>
      <c r="K310" s="101">
        <v>0</v>
      </c>
      <c r="L310" s="101">
        <f t="shared" si="24"/>
        <v>600</v>
      </c>
    </row>
    <row r="311" spans="1:12" s="30" customFormat="1" ht="21" customHeight="1">
      <c r="A311" s="86"/>
      <c r="B311" s="103"/>
      <c r="C311" s="107">
        <v>4440</v>
      </c>
      <c r="D311" s="48" t="s">
        <v>99</v>
      </c>
      <c r="E311" s="101">
        <f>776+2327+14690</f>
        <v>17793</v>
      </c>
      <c r="F311" s="101"/>
      <c r="G311" s="101"/>
      <c r="H311" s="101">
        <f t="shared" si="25"/>
        <v>17793</v>
      </c>
      <c r="I311" s="101"/>
      <c r="J311" s="101">
        <f t="shared" si="23"/>
        <v>17793</v>
      </c>
      <c r="K311" s="101">
        <v>0</v>
      </c>
      <c r="L311" s="101">
        <f t="shared" si="24"/>
        <v>17793</v>
      </c>
    </row>
    <row r="312" spans="1:12" s="30" customFormat="1" ht="24" customHeight="1">
      <c r="A312" s="86"/>
      <c r="B312" s="103"/>
      <c r="C312" s="107">
        <v>4700</v>
      </c>
      <c r="D312" s="48" t="s">
        <v>291</v>
      </c>
      <c r="E312" s="101">
        <v>3500</v>
      </c>
      <c r="F312" s="101"/>
      <c r="G312" s="101"/>
      <c r="H312" s="101">
        <f t="shared" si="25"/>
        <v>3500</v>
      </c>
      <c r="I312" s="101"/>
      <c r="J312" s="101">
        <f t="shared" si="23"/>
        <v>3500</v>
      </c>
      <c r="K312" s="101">
        <v>0</v>
      </c>
      <c r="L312" s="101">
        <f t="shared" si="24"/>
        <v>3500</v>
      </c>
    </row>
    <row r="313" spans="1:12" s="30" customFormat="1" ht="36">
      <c r="A313" s="86"/>
      <c r="B313" s="103"/>
      <c r="C313" s="107">
        <v>4740</v>
      </c>
      <c r="D313" s="48" t="s">
        <v>290</v>
      </c>
      <c r="E313" s="101">
        <f>200+1406</f>
        <v>1606</v>
      </c>
      <c r="F313" s="101"/>
      <c r="G313" s="101"/>
      <c r="H313" s="101">
        <f t="shared" si="25"/>
        <v>1606</v>
      </c>
      <c r="I313" s="101"/>
      <c r="J313" s="101">
        <f t="shared" si="23"/>
        <v>1606</v>
      </c>
      <c r="K313" s="101">
        <v>0</v>
      </c>
      <c r="L313" s="101">
        <f t="shared" si="24"/>
        <v>1606</v>
      </c>
    </row>
    <row r="314" spans="1:12" s="30" customFormat="1" ht="24">
      <c r="A314" s="86"/>
      <c r="B314" s="103"/>
      <c r="C314" s="107">
        <v>4750</v>
      </c>
      <c r="D314" s="48" t="s">
        <v>292</v>
      </c>
      <c r="E314" s="101">
        <v>710</v>
      </c>
      <c r="F314" s="101"/>
      <c r="G314" s="101"/>
      <c r="H314" s="101">
        <f t="shared" si="25"/>
        <v>710</v>
      </c>
      <c r="I314" s="101"/>
      <c r="J314" s="101">
        <f t="shared" si="23"/>
        <v>710</v>
      </c>
      <c r="K314" s="101">
        <v>0</v>
      </c>
      <c r="L314" s="101">
        <f t="shared" si="24"/>
        <v>710</v>
      </c>
    </row>
    <row r="315" spans="1:12" s="30" customFormat="1" ht="21" customHeight="1">
      <c r="A315" s="86"/>
      <c r="B315" s="103"/>
      <c r="C315" s="107">
        <v>6060</v>
      </c>
      <c r="D315" s="48" t="s">
        <v>107</v>
      </c>
      <c r="E315" s="101">
        <f>9750+8800</f>
        <v>18550</v>
      </c>
      <c r="F315" s="101"/>
      <c r="G315" s="101"/>
      <c r="H315" s="101">
        <f t="shared" si="25"/>
        <v>18550</v>
      </c>
      <c r="I315" s="101"/>
      <c r="J315" s="101">
        <f t="shared" si="23"/>
        <v>18550</v>
      </c>
      <c r="K315" s="101">
        <v>0</v>
      </c>
      <c r="L315" s="101">
        <f t="shared" si="24"/>
        <v>18550</v>
      </c>
    </row>
    <row r="316" spans="1:12" s="30" customFormat="1" ht="21.75" customHeight="1">
      <c r="A316" s="86"/>
      <c r="B316" s="103">
        <v>85228</v>
      </c>
      <c r="C316" s="107"/>
      <c r="D316" s="48" t="s">
        <v>134</v>
      </c>
      <c r="E316" s="101">
        <f>SUM(E317)</f>
        <v>140000</v>
      </c>
      <c r="F316" s="101">
        <f>SUM(F317)</f>
        <v>0</v>
      </c>
      <c r="G316" s="101">
        <f>SUM(G317)</f>
        <v>0</v>
      </c>
      <c r="H316" s="101">
        <f t="shared" si="25"/>
        <v>140000</v>
      </c>
      <c r="I316" s="101">
        <f>SUM(I317)</f>
        <v>0</v>
      </c>
      <c r="J316" s="101">
        <f>SUM(J317)</f>
        <v>140000</v>
      </c>
      <c r="K316" s="101">
        <f>SUM(K317)</f>
        <v>0</v>
      </c>
      <c r="L316" s="101">
        <f>SUM(L317)</f>
        <v>140000</v>
      </c>
    </row>
    <row r="317" spans="1:12" s="30" customFormat="1" ht="21" customHeight="1">
      <c r="A317" s="86"/>
      <c r="B317" s="103"/>
      <c r="C317" s="107">
        <v>4300</v>
      </c>
      <c r="D317" s="48" t="s">
        <v>90</v>
      </c>
      <c r="E317" s="101">
        <v>140000</v>
      </c>
      <c r="F317" s="101"/>
      <c r="G317" s="101"/>
      <c r="H317" s="101">
        <f t="shared" si="25"/>
        <v>140000</v>
      </c>
      <c r="I317" s="101"/>
      <c r="J317" s="101">
        <f t="shared" si="23"/>
        <v>140000</v>
      </c>
      <c r="K317" s="101">
        <v>0</v>
      </c>
      <c r="L317" s="101">
        <f t="shared" si="24"/>
        <v>140000</v>
      </c>
    </row>
    <row r="318" spans="1:12" s="30" customFormat="1" ht="21.75" customHeight="1">
      <c r="A318" s="86"/>
      <c r="B318" s="103" t="s">
        <v>182</v>
      </c>
      <c r="C318" s="107"/>
      <c r="D318" s="48" t="s">
        <v>6</v>
      </c>
      <c r="E318" s="101">
        <f>SUM(E319:E320)</f>
        <v>333720</v>
      </c>
      <c r="F318" s="101">
        <f>SUM(F319:F320)</f>
        <v>0</v>
      </c>
      <c r="G318" s="101">
        <f>SUM(G319:G320)</f>
        <v>0</v>
      </c>
      <c r="H318" s="101">
        <f t="shared" si="25"/>
        <v>333720</v>
      </c>
      <c r="I318" s="101">
        <f>SUM(I319:I320)</f>
        <v>0</v>
      </c>
      <c r="J318" s="101">
        <f>SUM(J319:J320)</f>
        <v>333720</v>
      </c>
      <c r="K318" s="101">
        <f>SUM(K319:K320)</f>
        <v>0</v>
      </c>
      <c r="L318" s="101">
        <f>SUM(L319:L320)</f>
        <v>333720</v>
      </c>
    </row>
    <row r="319" spans="1:12" s="30" customFormat="1" ht="21" customHeight="1">
      <c r="A319" s="86"/>
      <c r="B319" s="103"/>
      <c r="C319" s="107">
        <v>3110</v>
      </c>
      <c r="D319" s="48" t="s">
        <v>125</v>
      </c>
      <c r="E319" s="101">
        <v>328200</v>
      </c>
      <c r="F319" s="101"/>
      <c r="G319" s="101"/>
      <c r="H319" s="101">
        <f t="shared" si="25"/>
        <v>328200</v>
      </c>
      <c r="I319" s="101"/>
      <c r="J319" s="101">
        <f t="shared" si="23"/>
        <v>328200</v>
      </c>
      <c r="K319" s="101">
        <v>0</v>
      </c>
      <c r="L319" s="101">
        <f t="shared" si="24"/>
        <v>328200</v>
      </c>
    </row>
    <row r="320" spans="1:12" s="30" customFormat="1" ht="21" customHeight="1">
      <c r="A320" s="86"/>
      <c r="B320" s="103"/>
      <c r="C320" s="107">
        <v>4430</v>
      </c>
      <c r="D320" s="48" t="s">
        <v>105</v>
      </c>
      <c r="E320" s="101">
        <v>5520</v>
      </c>
      <c r="F320" s="101"/>
      <c r="G320" s="101"/>
      <c r="H320" s="101">
        <f t="shared" si="25"/>
        <v>5520</v>
      </c>
      <c r="I320" s="101"/>
      <c r="J320" s="101">
        <f t="shared" si="23"/>
        <v>5520</v>
      </c>
      <c r="K320" s="101">
        <v>0</v>
      </c>
      <c r="L320" s="101">
        <f t="shared" si="24"/>
        <v>5520</v>
      </c>
    </row>
    <row r="321" spans="1:12" s="9" customFormat="1" ht="24.75" customHeight="1">
      <c r="A321" s="43" t="s">
        <v>135</v>
      </c>
      <c r="B321" s="44"/>
      <c r="C321" s="45"/>
      <c r="D321" s="46" t="s">
        <v>69</v>
      </c>
      <c r="E321" s="47">
        <f>SUM(E322,E335,E345,E342,E340)</f>
        <v>1173390</v>
      </c>
      <c r="F321" s="47">
        <f>SUM(F322,F335,F345,F342,F340)</f>
        <v>0</v>
      </c>
      <c r="G321" s="47">
        <f>SUM(G322,G335,G345,G342,G340)</f>
        <v>70000</v>
      </c>
      <c r="H321" s="47">
        <f aca="true" t="shared" si="26" ref="H321:H341">E321+F321-G321</f>
        <v>1103390</v>
      </c>
      <c r="I321" s="47">
        <f>SUM(I322,I335,I345,I342,I340)</f>
        <v>0</v>
      </c>
      <c r="J321" s="47">
        <f>SUM(J322,J335,J340,J342,J345,)</f>
        <v>1103390</v>
      </c>
      <c r="K321" s="47">
        <f>SUM(K322,K335,K340,K342,K345,)</f>
        <v>252197</v>
      </c>
      <c r="L321" s="47">
        <f>SUM(L322,L335,L340,L342,L345,)</f>
        <v>1355587</v>
      </c>
    </row>
    <row r="322" spans="1:12" s="30" customFormat="1" ht="21.75" customHeight="1">
      <c r="A322" s="86"/>
      <c r="B322" s="103">
        <v>85401</v>
      </c>
      <c r="C322" s="107"/>
      <c r="D322" s="48" t="s">
        <v>70</v>
      </c>
      <c r="E322" s="101">
        <f>SUM(E323:E334)</f>
        <v>675335</v>
      </c>
      <c r="F322" s="101">
        <f>SUM(F323:F334)</f>
        <v>0</v>
      </c>
      <c r="G322" s="101">
        <f>SUM(G323:G334)</f>
        <v>0</v>
      </c>
      <c r="H322" s="101">
        <f t="shared" si="26"/>
        <v>675335</v>
      </c>
      <c r="I322" s="101">
        <f>SUM(I323:I334)</f>
        <v>0</v>
      </c>
      <c r="J322" s="101">
        <f>SUM(J323:J334)</f>
        <v>675335</v>
      </c>
      <c r="K322" s="101">
        <f>SUM(K323:K334)</f>
        <v>0</v>
      </c>
      <c r="L322" s="101">
        <f>SUM(L323:L334)</f>
        <v>675335</v>
      </c>
    </row>
    <row r="323" spans="1:12" s="30" customFormat="1" ht="21" customHeight="1">
      <c r="A323" s="86"/>
      <c r="B323" s="103"/>
      <c r="C323" s="107">
        <v>3020</v>
      </c>
      <c r="D323" s="48" t="s">
        <v>262</v>
      </c>
      <c r="E323" s="101">
        <v>10983</v>
      </c>
      <c r="F323" s="101"/>
      <c r="G323" s="101"/>
      <c r="H323" s="101">
        <f t="shared" si="26"/>
        <v>10983</v>
      </c>
      <c r="I323" s="101"/>
      <c r="J323" s="101">
        <f t="shared" si="23"/>
        <v>10983</v>
      </c>
      <c r="K323" s="101">
        <v>0</v>
      </c>
      <c r="L323" s="101">
        <f t="shared" si="24"/>
        <v>10983</v>
      </c>
    </row>
    <row r="324" spans="1:12" s="30" customFormat="1" ht="21" customHeight="1">
      <c r="A324" s="86"/>
      <c r="B324" s="103"/>
      <c r="C324" s="107">
        <v>4010</v>
      </c>
      <c r="D324" s="48" t="s">
        <v>95</v>
      </c>
      <c r="E324" s="101">
        <v>485405</v>
      </c>
      <c r="F324" s="101"/>
      <c r="G324" s="101"/>
      <c r="H324" s="101">
        <f t="shared" si="26"/>
        <v>485405</v>
      </c>
      <c r="I324" s="101"/>
      <c r="J324" s="101">
        <f t="shared" si="23"/>
        <v>485405</v>
      </c>
      <c r="K324" s="101">
        <v>0</v>
      </c>
      <c r="L324" s="101">
        <f t="shared" si="24"/>
        <v>485405</v>
      </c>
    </row>
    <row r="325" spans="1:12" s="30" customFormat="1" ht="21" customHeight="1">
      <c r="A325" s="86"/>
      <c r="B325" s="103"/>
      <c r="C325" s="107">
        <v>4040</v>
      </c>
      <c r="D325" s="48" t="s">
        <v>96</v>
      </c>
      <c r="E325" s="101">
        <v>34981</v>
      </c>
      <c r="F325" s="101"/>
      <c r="G325" s="101"/>
      <c r="H325" s="101">
        <f t="shared" si="26"/>
        <v>34981</v>
      </c>
      <c r="I325" s="101"/>
      <c r="J325" s="101">
        <f t="shared" si="23"/>
        <v>34981</v>
      </c>
      <c r="K325" s="101">
        <v>0</v>
      </c>
      <c r="L325" s="101">
        <f t="shared" si="24"/>
        <v>34981</v>
      </c>
    </row>
    <row r="326" spans="1:12" s="30" customFormat="1" ht="21" customHeight="1">
      <c r="A326" s="86"/>
      <c r="B326" s="103"/>
      <c r="C326" s="107">
        <v>4110</v>
      </c>
      <c r="D326" s="48" t="s">
        <v>97</v>
      </c>
      <c r="E326" s="101">
        <v>84863</v>
      </c>
      <c r="F326" s="101"/>
      <c r="G326" s="101"/>
      <c r="H326" s="101">
        <f t="shared" si="26"/>
        <v>84863</v>
      </c>
      <c r="I326" s="101"/>
      <c r="J326" s="101">
        <f t="shared" si="23"/>
        <v>84863</v>
      </c>
      <c r="K326" s="101">
        <v>0</v>
      </c>
      <c r="L326" s="101">
        <f t="shared" si="24"/>
        <v>84863</v>
      </c>
    </row>
    <row r="327" spans="1:12" s="30" customFormat="1" ht="21" customHeight="1">
      <c r="A327" s="86"/>
      <c r="B327" s="103"/>
      <c r="C327" s="107">
        <v>4120</v>
      </c>
      <c r="D327" s="48" t="s">
        <v>98</v>
      </c>
      <c r="E327" s="101">
        <v>11990</v>
      </c>
      <c r="F327" s="101"/>
      <c r="G327" s="101"/>
      <c r="H327" s="101">
        <f t="shared" si="26"/>
        <v>11990</v>
      </c>
      <c r="I327" s="101"/>
      <c r="J327" s="101">
        <f t="shared" si="23"/>
        <v>11990</v>
      </c>
      <c r="K327" s="101">
        <v>0</v>
      </c>
      <c r="L327" s="101">
        <f t="shared" si="24"/>
        <v>11990</v>
      </c>
    </row>
    <row r="328" spans="1:12" s="30" customFormat="1" ht="21" customHeight="1">
      <c r="A328" s="86"/>
      <c r="B328" s="103"/>
      <c r="C328" s="107">
        <v>4210</v>
      </c>
      <c r="D328" s="48" t="s">
        <v>103</v>
      </c>
      <c r="E328" s="101">
        <v>14070</v>
      </c>
      <c r="F328" s="101"/>
      <c r="G328" s="101"/>
      <c r="H328" s="101">
        <f t="shared" si="26"/>
        <v>14070</v>
      </c>
      <c r="I328" s="101"/>
      <c r="J328" s="101">
        <f t="shared" si="23"/>
        <v>14070</v>
      </c>
      <c r="K328" s="101">
        <v>0</v>
      </c>
      <c r="L328" s="101">
        <f t="shared" si="24"/>
        <v>14070</v>
      </c>
    </row>
    <row r="329" spans="1:12" s="30" customFormat="1" ht="21" customHeight="1">
      <c r="A329" s="86"/>
      <c r="B329" s="103"/>
      <c r="C329" s="107">
        <v>4230</v>
      </c>
      <c r="D329" s="48" t="s">
        <v>509</v>
      </c>
      <c r="E329" s="101">
        <v>100</v>
      </c>
      <c r="F329" s="101"/>
      <c r="G329" s="101"/>
      <c r="H329" s="101">
        <f t="shared" si="26"/>
        <v>100</v>
      </c>
      <c r="I329" s="101"/>
      <c r="J329" s="101">
        <f t="shared" si="23"/>
        <v>100</v>
      </c>
      <c r="K329" s="101">
        <v>0</v>
      </c>
      <c r="L329" s="101">
        <f t="shared" si="24"/>
        <v>100</v>
      </c>
    </row>
    <row r="330" spans="1:12" s="30" customFormat="1" ht="21" customHeight="1">
      <c r="A330" s="86"/>
      <c r="B330" s="103"/>
      <c r="C330" s="107">
        <v>4240</v>
      </c>
      <c r="D330" s="48" t="s">
        <v>136</v>
      </c>
      <c r="E330" s="101">
        <v>1100</v>
      </c>
      <c r="F330" s="101"/>
      <c r="G330" s="101"/>
      <c r="H330" s="101">
        <f t="shared" si="26"/>
        <v>1100</v>
      </c>
      <c r="I330" s="101"/>
      <c r="J330" s="101">
        <f t="shared" si="23"/>
        <v>1100</v>
      </c>
      <c r="K330" s="101">
        <v>0</v>
      </c>
      <c r="L330" s="101">
        <f t="shared" si="24"/>
        <v>1100</v>
      </c>
    </row>
    <row r="331" spans="1:12" s="30" customFormat="1" ht="21" customHeight="1">
      <c r="A331" s="86"/>
      <c r="B331" s="103"/>
      <c r="C331" s="107">
        <v>4270</v>
      </c>
      <c r="D331" s="48" t="s">
        <v>89</v>
      </c>
      <c r="E331" s="101">
        <v>600</v>
      </c>
      <c r="F331" s="101"/>
      <c r="G331" s="101"/>
      <c r="H331" s="101">
        <f t="shared" si="26"/>
        <v>600</v>
      </c>
      <c r="I331" s="101"/>
      <c r="J331" s="101">
        <f t="shared" si="23"/>
        <v>600</v>
      </c>
      <c r="K331" s="101">
        <v>0</v>
      </c>
      <c r="L331" s="101">
        <f t="shared" si="24"/>
        <v>600</v>
      </c>
    </row>
    <row r="332" spans="1:12" s="30" customFormat="1" ht="21" customHeight="1">
      <c r="A332" s="86"/>
      <c r="B332" s="103"/>
      <c r="C332" s="107">
        <v>4280</v>
      </c>
      <c r="D332" s="48" t="s">
        <v>239</v>
      </c>
      <c r="E332" s="101">
        <v>610</v>
      </c>
      <c r="F332" s="101"/>
      <c r="G332" s="101"/>
      <c r="H332" s="101">
        <f t="shared" si="26"/>
        <v>610</v>
      </c>
      <c r="I332" s="101"/>
      <c r="J332" s="101">
        <f t="shared" si="23"/>
        <v>610</v>
      </c>
      <c r="K332" s="101">
        <v>0</v>
      </c>
      <c r="L332" s="101">
        <f t="shared" si="24"/>
        <v>610</v>
      </c>
    </row>
    <row r="333" spans="1:12" s="30" customFormat="1" ht="21" customHeight="1">
      <c r="A333" s="86"/>
      <c r="B333" s="103"/>
      <c r="C333" s="107">
        <v>4300</v>
      </c>
      <c r="D333" s="48" t="s">
        <v>90</v>
      </c>
      <c r="E333" s="101">
        <v>300</v>
      </c>
      <c r="F333" s="101"/>
      <c r="G333" s="101"/>
      <c r="H333" s="101">
        <f t="shared" si="26"/>
        <v>300</v>
      </c>
      <c r="I333" s="101"/>
      <c r="J333" s="101">
        <f t="shared" si="23"/>
        <v>300</v>
      </c>
      <c r="K333" s="101">
        <v>0</v>
      </c>
      <c r="L333" s="101">
        <f t="shared" si="24"/>
        <v>300</v>
      </c>
    </row>
    <row r="334" spans="1:12" s="30" customFormat="1" ht="24">
      <c r="A334" s="86"/>
      <c r="B334" s="103"/>
      <c r="C334" s="107">
        <v>4440</v>
      </c>
      <c r="D334" s="48" t="s">
        <v>99</v>
      </c>
      <c r="E334" s="101">
        <v>30333</v>
      </c>
      <c r="F334" s="101"/>
      <c r="G334" s="101"/>
      <c r="H334" s="101">
        <f t="shared" si="26"/>
        <v>30333</v>
      </c>
      <c r="I334" s="101"/>
      <c r="J334" s="101">
        <f t="shared" si="23"/>
        <v>30333</v>
      </c>
      <c r="K334" s="101">
        <v>0</v>
      </c>
      <c r="L334" s="101">
        <f t="shared" si="24"/>
        <v>30333</v>
      </c>
    </row>
    <row r="335" spans="1:12" s="30" customFormat="1" ht="36">
      <c r="A335" s="86"/>
      <c r="B335" s="103" t="s">
        <v>139</v>
      </c>
      <c r="C335" s="107"/>
      <c r="D335" s="48" t="s">
        <v>183</v>
      </c>
      <c r="E335" s="101">
        <f>SUM(E336:E339)</f>
        <v>149500</v>
      </c>
      <c r="F335" s="101">
        <f>SUM(F336:F339)</f>
        <v>0</v>
      </c>
      <c r="G335" s="101">
        <f>SUM(G336:G339)</f>
        <v>70000</v>
      </c>
      <c r="H335" s="101">
        <f t="shared" si="26"/>
        <v>79500</v>
      </c>
      <c r="I335" s="101">
        <f>SUM(I336:I339)</f>
        <v>0</v>
      </c>
      <c r="J335" s="101">
        <f>SUM(J336:J339)</f>
        <v>79500</v>
      </c>
      <c r="K335" s="101">
        <f>SUM(K336:K339)</f>
        <v>0</v>
      </c>
      <c r="L335" s="101">
        <f>SUM(L336:L339)</f>
        <v>79500</v>
      </c>
    </row>
    <row r="336" spans="1:12" s="30" customFormat="1" ht="36">
      <c r="A336" s="86"/>
      <c r="B336" s="103"/>
      <c r="C336" s="107">
        <v>2630</v>
      </c>
      <c r="D336" s="48" t="s">
        <v>282</v>
      </c>
      <c r="E336" s="101">
        <v>36000</v>
      </c>
      <c r="F336" s="101"/>
      <c r="G336" s="101"/>
      <c r="H336" s="101">
        <f t="shared" si="26"/>
        <v>36000</v>
      </c>
      <c r="I336" s="101"/>
      <c r="J336" s="101">
        <f t="shared" si="23"/>
        <v>36000</v>
      </c>
      <c r="K336" s="101">
        <v>0</v>
      </c>
      <c r="L336" s="101">
        <f t="shared" si="24"/>
        <v>36000</v>
      </c>
    </row>
    <row r="337" spans="1:12" s="30" customFormat="1" ht="21" customHeight="1">
      <c r="A337" s="86"/>
      <c r="B337" s="103"/>
      <c r="C337" s="107">
        <v>4210</v>
      </c>
      <c r="D337" s="48" t="s">
        <v>103</v>
      </c>
      <c r="E337" s="101">
        <f>5500+1500</f>
        <v>7000</v>
      </c>
      <c r="F337" s="101"/>
      <c r="G337" s="101"/>
      <c r="H337" s="101">
        <f t="shared" si="26"/>
        <v>7000</v>
      </c>
      <c r="I337" s="101"/>
      <c r="J337" s="101">
        <f t="shared" si="23"/>
        <v>7000</v>
      </c>
      <c r="K337" s="101">
        <v>0</v>
      </c>
      <c r="L337" s="101">
        <f t="shared" si="24"/>
        <v>7000</v>
      </c>
    </row>
    <row r="338" spans="1:12" s="30" customFormat="1" ht="21" customHeight="1">
      <c r="A338" s="107"/>
      <c r="B338" s="108"/>
      <c r="C338" s="107">
        <v>4300</v>
      </c>
      <c r="D338" s="48" t="s">
        <v>90</v>
      </c>
      <c r="E338" s="101">
        <f>5500+1000</f>
        <v>6500</v>
      </c>
      <c r="F338" s="101"/>
      <c r="G338" s="101"/>
      <c r="H338" s="101">
        <f t="shared" si="26"/>
        <v>6500</v>
      </c>
      <c r="I338" s="101"/>
      <c r="J338" s="101">
        <f aca="true" t="shared" si="27" ref="J338:J403">SUM(H338:I338)</f>
        <v>6500</v>
      </c>
      <c r="K338" s="101">
        <v>0</v>
      </c>
      <c r="L338" s="101">
        <f aca="true" t="shared" si="28" ref="L338:L403">SUM(J338:K338)</f>
        <v>6500</v>
      </c>
    </row>
    <row r="339" spans="1:12" s="30" customFormat="1" ht="21" customHeight="1">
      <c r="A339" s="107"/>
      <c r="B339" s="108"/>
      <c r="C339" s="107">
        <v>6050</v>
      </c>
      <c r="D339" s="48" t="s">
        <v>84</v>
      </c>
      <c r="E339" s="101">
        <v>100000</v>
      </c>
      <c r="F339" s="101"/>
      <c r="G339" s="101">
        <v>70000</v>
      </c>
      <c r="H339" s="101">
        <f t="shared" si="26"/>
        <v>30000</v>
      </c>
      <c r="I339" s="101"/>
      <c r="J339" s="101">
        <f t="shared" si="27"/>
        <v>30000</v>
      </c>
      <c r="K339" s="101">
        <v>0</v>
      </c>
      <c r="L339" s="101">
        <f t="shared" si="28"/>
        <v>30000</v>
      </c>
    </row>
    <row r="340" spans="1:12" s="30" customFormat="1" ht="21" customHeight="1">
      <c r="A340" s="107"/>
      <c r="B340" s="108">
        <v>85415</v>
      </c>
      <c r="C340" s="107"/>
      <c r="D340" s="48" t="s">
        <v>297</v>
      </c>
      <c r="E340" s="101">
        <f>SUM(E341)</f>
        <v>117924</v>
      </c>
      <c r="F340" s="101">
        <f>SUM(F341)</f>
        <v>0</v>
      </c>
      <c r="G340" s="101">
        <f>SUM(G341)</f>
        <v>0</v>
      </c>
      <c r="H340" s="101">
        <f t="shared" si="26"/>
        <v>117924</v>
      </c>
      <c r="I340" s="101">
        <f>SUM(I341)</f>
        <v>0</v>
      </c>
      <c r="J340" s="101">
        <f t="shared" si="27"/>
        <v>117924</v>
      </c>
      <c r="K340" s="101">
        <f>SUM(K341)</f>
        <v>252197</v>
      </c>
      <c r="L340" s="101">
        <f t="shared" si="28"/>
        <v>370121</v>
      </c>
    </row>
    <row r="341" spans="1:12" s="30" customFormat="1" ht="21" customHeight="1">
      <c r="A341" s="107"/>
      <c r="B341" s="108"/>
      <c r="C341" s="107">
        <v>3240</v>
      </c>
      <c r="D341" s="48" t="s">
        <v>298</v>
      </c>
      <c r="E341" s="101">
        <v>117924</v>
      </c>
      <c r="F341" s="101"/>
      <c r="G341" s="101"/>
      <c r="H341" s="101">
        <f t="shared" si="26"/>
        <v>117924</v>
      </c>
      <c r="I341" s="101"/>
      <c r="J341" s="101">
        <f t="shared" si="27"/>
        <v>117924</v>
      </c>
      <c r="K341" s="90">
        <v>252197</v>
      </c>
      <c r="L341" s="101">
        <f t="shared" si="28"/>
        <v>370121</v>
      </c>
    </row>
    <row r="342" spans="1:12" s="30" customFormat="1" ht="21.75" customHeight="1">
      <c r="A342" s="107"/>
      <c r="B342" s="108">
        <v>85446</v>
      </c>
      <c r="C342" s="107"/>
      <c r="D342" s="48" t="s">
        <v>171</v>
      </c>
      <c r="E342" s="101">
        <f>SUM(E343:E343)</f>
        <v>3981</v>
      </c>
      <c r="F342" s="101">
        <f>SUM(F343:F343)</f>
        <v>0</v>
      </c>
      <c r="G342" s="101">
        <f>SUM(G343:G343)</f>
        <v>0</v>
      </c>
      <c r="H342" s="101">
        <f>SUM(H343:H344)</f>
        <v>3981</v>
      </c>
      <c r="I342" s="101">
        <f>SUM(I343:I344)</f>
        <v>0</v>
      </c>
      <c r="J342" s="101">
        <f>SUM(J343:J344)</f>
        <v>3981</v>
      </c>
      <c r="K342" s="101">
        <f>SUM(K343:K344)</f>
        <v>0</v>
      </c>
      <c r="L342" s="101">
        <f>SUM(L343:L344)</f>
        <v>3981</v>
      </c>
    </row>
    <row r="343" spans="1:12" s="30" customFormat="1" ht="21" customHeight="1">
      <c r="A343" s="107"/>
      <c r="B343" s="108"/>
      <c r="C343" s="107">
        <v>4300</v>
      </c>
      <c r="D343" s="48" t="s">
        <v>90</v>
      </c>
      <c r="E343" s="101">
        <v>3981</v>
      </c>
      <c r="F343" s="101"/>
      <c r="G343" s="101"/>
      <c r="H343" s="101">
        <f>E343+F343-G343</f>
        <v>3981</v>
      </c>
      <c r="I343" s="101">
        <v>-998</v>
      </c>
      <c r="J343" s="101">
        <f t="shared" si="27"/>
        <v>2983</v>
      </c>
      <c r="K343" s="101">
        <v>0</v>
      </c>
      <c r="L343" s="101">
        <f t="shared" si="28"/>
        <v>2983</v>
      </c>
    </row>
    <row r="344" spans="1:12" s="30" customFormat="1" ht="21" customHeight="1">
      <c r="A344" s="107"/>
      <c r="B344" s="108"/>
      <c r="C344" s="107">
        <v>4410</v>
      </c>
      <c r="D344" s="48" t="s">
        <v>101</v>
      </c>
      <c r="E344" s="101"/>
      <c r="F344" s="101"/>
      <c r="G344" s="101"/>
      <c r="H344" s="101">
        <v>0</v>
      </c>
      <c r="I344" s="101">
        <v>998</v>
      </c>
      <c r="J344" s="101">
        <f t="shared" si="27"/>
        <v>998</v>
      </c>
      <c r="K344" s="101">
        <v>0</v>
      </c>
      <c r="L344" s="101">
        <f t="shared" si="28"/>
        <v>998</v>
      </c>
    </row>
    <row r="345" spans="1:12" s="30" customFormat="1" ht="21.75" customHeight="1">
      <c r="A345" s="107"/>
      <c r="B345" s="108">
        <v>85495</v>
      </c>
      <c r="C345" s="107"/>
      <c r="D345" s="48" t="s">
        <v>6</v>
      </c>
      <c r="E345" s="101">
        <f>SUM(E346:E346)</f>
        <v>226650</v>
      </c>
      <c r="F345" s="101">
        <f>SUM(F346:F346)</f>
        <v>0</v>
      </c>
      <c r="G345" s="101">
        <f>SUM(G346:G346)</f>
        <v>0</v>
      </c>
      <c r="H345" s="101">
        <f aca="true" t="shared" si="29" ref="H345:H390">E345+F345-G345</f>
        <v>226650</v>
      </c>
      <c r="I345" s="101">
        <f>SUM(I346:I346)</f>
        <v>0</v>
      </c>
      <c r="J345" s="101">
        <f>SUM(J346)</f>
        <v>226650</v>
      </c>
      <c r="K345" s="101">
        <f>SUM(K346)</f>
        <v>0</v>
      </c>
      <c r="L345" s="101">
        <f>SUM(L346)</f>
        <v>226650</v>
      </c>
    </row>
    <row r="346" spans="1:12" s="30" customFormat="1" ht="60">
      <c r="A346" s="107"/>
      <c r="B346" s="108"/>
      <c r="C346" s="107">
        <v>2320</v>
      </c>
      <c r="D346" s="48" t="s">
        <v>174</v>
      </c>
      <c r="E346" s="101">
        <f>200000+26650</f>
        <v>226650</v>
      </c>
      <c r="F346" s="101"/>
      <c r="G346" s="101"/>
      <c r="H346" s="101">
        <f t="shared" si="29"/>
        <v>226650</v>
      </c>
      <c r="I346" s="101"/>
      <c r="J346" s="101">
        <f t="shared" si="27"/>
        <v>226650</v>
      </c>
      <c r="K346" s="101">
        <v>0</v>
      </c>
      <c r="L346" s="101">
        <f t="shared" si="28"/>
        <v>226650</v>
      </c>
    </row>
    <row r="347" spans="1:12" s="9" customFormat="1" ht="24.75" customHeight="1">
      <c r="A347" s="43" t="s">
        <v>141</v>
      </c>
      <c r="B347" s="44"/>
      <c r="C347" s="45"/>
      <c r="D347" s="46" t="s">
        <v>71</v>
      </c>
      <c r="E347" s="47">
        <f>SUM(E348,E353,E355,E359,E361,E363,E368,)</f>
        <v>2120241</v>
      </c>
      <c r="F347" s="47">
        <f>SUM(F348,F353,F355,F359,F361,F363,F368,)</f>
        <v>560000</v>
      </c>
      <c r="G347" s="47">
        <f>SUM(G348,G353,G355,G359,G361,G363,G368,)</f>
        <v>268000</v>
      </c>
      <c r="H347" s="47">
        <f t="shared" si="29"/>
        <v>2412241</v>
      </c>
      <c r="I347" s="47">
        <f>SUM(I348,I353,I355,I359,I361,I363,I368,)</f>
        <v>-12</v>
      </c>
      <c r="J347" s="47">
        <f>SUM(J348,J353,J355,J359,J361,J363,J368,)</f>
        <v>2412229</v>
      </c>
      <c r="K347" s="47">
        <f>SUM(K348,K353,K355,K359,K361,K363,K368,)</f>
        <v>554715</v>
      </c>
      <c r="L347" s="47">
        <f>SUM(L348,L353,L355,L359,L361,L363,L368,)</f>
        <v>2966944</v>
      </c>
    </row>
    <row r="348" spans="1:12" s="30" customFormat="1" ht="21.75" customHeight="1">
      <c r="A348" s="86"/>
      <c r="B348" s="103" t="s">
        <v>142</v>
      </c>
      <c r="C348" s="107"/>
      <c r="D348" s="48" t="s">
        <v>72</v>
      </c>
      <c r="E348" s="101">
        <f>SUM(E349:E352)</f>
        <v>303075</v>
      </c>
      <c r="F348" s="101">
        <f>SUM(F349:F352)</f>
        <v>560000</v>
      </c>
      <c r="G348" s="101">
        <f>SUM(G349:G352)</f>
        <v>260000</v>
      </c>
      <c r="H348" s="101">
        <f t="shared" si="29"/>
        <v>603075</v>
      </c>
      <c r="I348" s="101">
        <f>SUM(I349:I352)</f>
        <v>0</v>
      </c>
      <c r="J348" s="101">
        <f>SUM(J349:J352)</f>
        <v>603075</v>
      </c>
      <c r="K348" s="101">
        <f>SUM(K349:K352)</f>
        <v>505115</v>
      </c>
      <c r="L348" s="101">
        <f>SUM(L349:L352)</f>
        <v>1108190</v>
      </c>
    </row>
    <row r="349" spans="1:12" s="30" customFormat="1" ht="21" customHeight="1">
      <c r="A349" s="86"/>
      <c r="B349" s="103"/>
      <c r="C349" s="86">
        <v>4300</v>
      </c>
      <c r="D349" s="48" t="s">
        <v>90</v>
      </c>
      <c r="E349" s="101">
        <f>40000+3000</f>
        <v>43000</v>
      </c>
      <c r="F349" s="101">
        <v>50000</v>
      </c>
      <c r="G349" s="101"/>
      <c r="H349" s="101">
        <f t="shared" si="29"/>
        <v>93000</v>
      </c>
      <c r="I349" s="101"/>
      <c r="J349" s="101">
        <f t="shared" si="27"/>
        <v>93000</v>
      </c>
      <c r="K349" s="101">
        <v>0</v>
      </c>
      <c r="L349" s="101">
        <f t="shared" si="28"/>
        <v>93000</v>
      </c>
    </row>
    <row r="350" spans="1:12" s="30" customFormat="1" ht="21" customHeight="1">
      <c r="A350" s="86"/>
      <c r="B350" s="103"/>
      <c r="C350" s="86">
        <v>4430</v>
      </c>
      <c r="D350" s="48" t="s">
        <v>105</v>
      </c>
      <c r="E350" s="101">
        <v>75</v>
      </c>
      <c r="F350" s="101"/>
      <c r="G350" s="101"/>
      <c r="H350" s="101">
        <f t="shared" si="29"/>
        <v>75</v>
      </c>
      <c r="I350" s="101"/>
      <c r="J350" s="101">
        <f t="shared" si="27"/>
        <v>75</v>
      </c>
      <c r="K350" s="101">
        <v>0</v>
      </c>
      <c r="L350" s="101">
        <f t="shared" si="28"/>
        <v>75</v>
      </c>
    </row>
    <row r="351" spans="1:12" s="30" customFormat="1" ht="72">
      <c r="A351" s="86"/>
      <c r="B351" s="103"/>
      <c r="C351" s="86">
        <v>6010</v>
      </c>
      <c r="D351" s="48" t="s">
        <v>296</v>
      </c>
      <c r="E351" s="101"/>
      <c r="F351" s="101"/>
      <c r="G351" s="101"/>
      <c r="H351" s="101"/>
      <c r="I351" s="101"/>
      <c r="J351" s="101">
        <v>0</v>
      </c>
      <c r="K351" s="101">
        <v>115</v>
      </c>
      <c r="L351" s="101">
        <f t="shared" si="28"/>
        <v>115</v>
      </c>
    </row>
    <row r="352" spans="1:12" s="30" customFormat="1" ht="21" customHeight="1">
      <c r="A352" s="86"/>
      <c r="B352" s="103"/>
      <c r="C352" s="86">
        <v>6050</v>
      </c>
      <c r="D352" s="48" t="s">
        <v>84</v>
      </c>
      <c r="E352" s="101">
        <f>110000+150000</f>
        <v>260000</v>
      </c>
      <c r="F352" s="101">
        <f>250000+150000+110000</f>
        <v>510000</v>
      </c>
      <c r="G352" s="101">
        <f>110000+150000</f>
        <v>260000</v>
      </c>
      <c r="H352" s="101">
        <f t="shared" si="29"/>
        <v>510000</v>
      </c>
      <c r="I352" s="101"/>
      <c r="J352" s="101">
        <f t="shared" si="27"/>
        <v>510000</v>
      </c>
      <c r="K352" s="101">
        <f>5000+500000</f>
        <v>505000</v>
      </c>
      <c r="L352" s="101">
        <f t="shared" si="28"/>
        <v>1015000</v>
      </c>
    </row>
    <row r="353" spans="1:12" s="30" customFormat="1" ht="21.75" customHeight="1">
      <c r="A353" s="86"/>
      <c r="B353" s="103" t="s">
        <v>143</v>
      </c>
      <c r="C353" s="107"/>
      <c r="D353" s="48" t="s">
        <v>144</v>
      </c>
      <c r="E353" s="101">
        <f>SUM(E354:E354)</f>
        <v>650946</v>
      </c>
      <c r="F353" s="101">
        <f>SUM(F354:F354)</f>
        <v>0</v>
      </c>
      <c r="G353" s="101">
        <f>SUM(G354:G354)</f>
        <v>0</v>
      </c>
      <c r="H353" s="101">
        <f t="shared" si="29"/>
        <v>650946</v>
      </c>
      <c r="I353" s="101">
        <f>SUM(I354:I354)</f>
        <v>0</v>
      </c>
      <c r="J353" s="101">
        <f>SUM(J354)</f>
        <v>650946</v>
      </c>
      <c r="K353" s="101">
        <f>SUM(K354)</f>
        <v>38000</v>
      </c>
      <c r="L353" s="101">
        <f>SUM(L354)</f>
        <v>688946</v>
      </c>
    </row>
    <row r="354" spans="1:12" s="30" customFormat="1" ht="21" customHeight="1">
      <c r="A354" s="86"/>
      <c r="B354" s="103"/>
      <c r="C354" s="107">
        <v>4300</v>
      </c>
      <c r="D354" s="111" t="s">
        <v>90</v>
      </c>
      <c r="E354" s="101">
        <f>2500+648446</f>
        <v>650946</v>
      </c>
      <c r="F354" s="101"/>
      <c r="G354" s="101"/>
      <c r="H354" s="101">
        <f t="shared" si="29"/>
        <v>650946</v>
      </c>
      <c r="I354" s="101"/>
      <c r="J354" s="101">
        <f t="shared" si="27"/>
        <v>650946</v>
      </c>
      <c r="K354" s="101">
        <v>38000</v>
      </c>
      <c r="L354" s="101">
        <f t="shared" si="28"/>
        <v>688946</v>
      </c>
    </row>
    <row r="355" spans="1:12" s="30" customFormat="1" ht="21.75" customHeight="1">
      <c r="A355" s="86"/>
      <c r="B355" s="103" t="s">
        <v>145</v>
      </c>
      <c r="C355" s="107"/>
      <c r="D355" s="48" t="s">
        <v>176</v>
      </c>
      <c r="E355" s="101">
        <f>SUM(E356:E358)</f>
        <v>209620</v>
      </c>
      <c r="F355" s="101">
        <f>SUM(F356:F358)</f>
        <v>0</v>
      </c>
      <c r="G355" s="101">
        <f>SUM(G356:G358)</f>
        <v>0</v>
      </c>
      <c r="H355" s="101">
        <f t="shared" si="29"/>
        <v>209620</v>
      </c>
      <c r="I355" s="101">
        <f>SUM(I356:I358)</f>
        <v>-12</v>
      </c>
      <c r="J355" s="101">
        <f>SUM(J356:J358)</f>
        <v>209608</v>
      </c>
      <c r="K355" s="101">
        <f>SUM(K356:K358)</f>
        <v>-8400</v>
      </c>
      <c r="L355" s="101">
        <f>SUM(L356:L358)</f>
        <v>201208</v>
      </c>
    </row>
    <row r="356" spans="1:12" s="30" customFormat="1" ht="21" customHeight="1">
      <c r="A356" s="86"/>
      <c r="B356" s="103"/>
      <c r="C356" s="86">
        <v>4210</v>
      </c>
      <c r="D356" s="48" t="s">
        <v>103</v>
      </c>
      <c r="E356" s="101">
        <f>20420+18000+10000</f>
        <v>48420</v>
      </c>
      <c r="F356" s="101"/>
      <c r="G356" s="101"/>
      <c r="H356" s="101">
        <f t="shared" si="29"/>
        <v>48420</v>
      </c>
      <c r="I356" s="101">
        <v>-12</v>
      </c>
      <c r="J356" s="101">
        <f t="shared" si="27"/>
        <v>48408</v>
      </c>
      <c r="K356" s="101">
        <v>-400</v>
      </c>
      <c r="L356" s="101">
        <f t="shared" si="28"/>
        <v>48008</v>
      </c>
    </row>
    <row r="357" spans="1:12" s="30" customFormat="1" ht="21" customHeight="1">
      <c r="A357" s="86"/>
      <c r="B357" s="103"/>
      <c r="C357" s="86">
        <v>4270</v>
      </c>
      <c r="D357" s="48" t="s">
        <v>89</v>
      </c>
      <c r="E357" s="101">
        <v>5000</v>
      </c>
      <c r="F357" s="101"/>
      <c r="G357" s="101"/>
      <c r="H357" s="101">
        <f t="shared" si="29"/>
        <v>5000</v>
      </c>
      <c r="I357" s="101"/>
      <c r="J357" s="101">
        <f t="shared" si="27"/>
        <v>5000</v>
      </c>
      <c r="K357" s="101">
        <v>0</v>
      </c>
      <c r="L357" s="101">
        <f t="shared" si="28"/>
        <v>5000</v>
      </c>
    </row>
    <row r="358" spans="1:12" s="30" customFormat="1" ht="21" customHeight="1">
      <c r="A358" s="86"/>
      <c r="B358" s="103"/>
      <c r="C358" s="86">
        <v>4300</v>
      </c>
      <c r="D358" s="48" t="s">
        <v>90</v>
      </c>
      <c r="E358" s="101">
        <f>12940+143260</f>
        <v>156200</v>
      </c>
      <c r="F358" s="101"/>
      <c r="G358" s="101"/>
      <c r="H358" s="101">
        <f t="shared" si="29"/>
        <v>156200</v>
      </c>
      <c r="I358" s="101"/>
      <c r="J358" s="101">
        <f t="shared" si="27"/>
        <v>156200</v>
      </c>
      <c r="K358" s="101">
        <v>-8000</v>
      </c>
      <c r="L358" s="101">
        <f t="shared" si="28"/>
        <v>148200</v>
      </c>
    </row>
    <row r="359" spans="1:12" s="30" customFormat="1" ht="21.75" customHeight="1">
      <c r="A359" s="86"/>
      <c r="B359" s="103" t="s">
        <v>146</v>
      </c>
      <c r="C359" s="107"/>
      <c r="D359" s="48" t="s">
        <v>147</v>
      </c>
      <c r="E359" s="101">
        <f>SUM(E360:E360)</f>
        <v>12000</v>
      </c>
      <c r="F359" s="101">
        <f>SUM(F360:F360)</f>
        <v>0</v>
      </c>
      <c r="G359" s="101">
        <f>SUM(G360:G360)</f>
        <v>0</v>
      </c>
      <c r="H359" s="101">
        <f t="shared" si="29"/>
        <v>12000</v>
      </c>
      <c r="I359" s="101">
        <f>SUM(I360:I360)</f>
        <v>0</v>
      </c>
      <c r="J359" s="101">
        <f>SUM(J360)</f>
        <v>12000</v>
      </c>
      <c r="K359" s="101">
        <f>SUM(K360)</f>
        <v>0</v>
      </c>
      <c r="L359" s="101">
        <f>SUM(L360)</f>
        <v>12000</v>
      </c>
    </row>
    <row r="360" spans="1:12" s="30" customFormat="1" ht="24">
      <c r="A360" s="86"/>
      <c r="B360" s="103"/>
      <c r="C360" s="107">
        <v>4520</v>
      </c>
      <c r="D360" s="48" t="s">
        <v>148</v>
      </c>
      <c r="E360" s="101">
        <v>12000</v>
      </c>
      <c r="F360" s="101"/>
      <c r="G360" s="101"/>
      <c r="H360" s="101">
        <f t="shared" si="29"/>
        <v>12000</v>
      </c>
      <c r="I360" s="101"/>
      <c r="J360" s="101">
        <f t="shared" si="27"/>
        <v>12000</v>
      </c>
      <c r="K360" s="101">
        <v>0</v>
      </c>
      <c r="L360" s="101">
        <f t="shared" si="28"/>
        <v>12000</v>
      </c>
    </row>
    <row r="361" spans="1:12" s="30" customFormat="1" ht="21" customHeight="1">
      <c r="A361" s="86"/>
      <c r="B361" s="103" t="s">
        <v>149</v>
      </c>
      <c r="C361" s="107"/>
      <c r="D361" s="48" t="s">
        <v>150</v>
      </c>
      <c r="E361" s="101">
        <f>SUM(E362)</f>
        <v>84000</v>
      </c>
      <c r="F361" s="101">
        <f>SUM(F362)</f>
        <v>0</v>
      </c>
      <c r="G361" s="101">
        <f>SUM(G362)</f>
        <v>0</v>
      </c>
      <c r="H361" s="101">
        <f t="shared" si="29"/>
        <v>84000</v>
      </c>
      <c r="I361" s="101">
        <f>SUM(I362)</f>
        <v>0</v>
      </c>
      <c r="J361" s="101">
        <f>SUM(J362)</f>
        <v>84000</v>
      </c>
      <c r="K361" s="101">
        <f>SUM(K362)</f>
        <v>20000</v>
      </c>
      <c r="L361" s="101">
        <f>SUM(L362)</f>
        <v>104000</v>
      </c>
    </row>
    <row r="362" spans="1:12" s="30" customFormat="1" ht="21" customHeight="1">
      <c r="A362" s="86"/>
      <c r="B362" s="103"/>
      <c r="C362" s="107">
        <v>4300</v>
      </c>
      <c r="D362" s="111" t="s">
        <v>90</v>
      </c>
      <c r="E362" s="101">
        <f>84000</f>
        <v>84000</v>
      </c>
      <c r="F362" s="101"/>
      <c r="G362" s="101"/>
      <c r="H362" s="101">
        <f t="shared" si="29"/>
        <v>84000</v>
      </c>
      <c r="I362" s="101"/>
      <c r="J362" s="101">
        <f t="shared" si="27"/>
        <v>84000</v>
      </c>
      <c r="K362" s="101">
        <v>20000</v>
      </c>
      <c r="L362" s="101">
        <f t="shared" si="28"/>
        <v>104000</v>
      </c>
    </row>
    <row r="363" spans="1:12" s="30" customFormat="1" ht="21" customHeight="1">
      <c r="A363" s="86"/>
      <c r="B363" s="103" t="s">
        <v>151</v>
      </c>
      <c r="C363" s="107"/>
      <c r="D363" s="48" t="s">
        <v>152</v>
      </c>
      <c r="E363" s="101">
        <f>SUM(E364:E367)</f>
        <v>760400</v>
      </c>
      <c r="F363" s="101">
        <f>SUM(F364:F367)</f>
        <v>0</v>
      </c>
      <c r="G363" s="101">
        <f>SUM(G364:G367)</f>
        <v>0</v>
      </c>
      <c r="H363" s="101">
        <f t="shared" si="29"/>
        <v>760400</v>
      </c>
      <c r="I363" s="101">
        <f>SUM(I364:I367)</f>
        <v>0</v>
      </c>
      <c r="J363" s="101">
        <f>SUM(J364:J367)</f>
        <v>760400</v>
      </c>
      <c r="K363" s="101">
        <f>SUM(K364:K367)</f>
        <v>0</v>
      </c>
      <c r="L363" s="101">
        <f>SUM(L364:L367)</f>
        <v>760400</v>
      </c>
    </row>
    <row r="364" spans="1:12" s="30" customFormat="1" ht="21" customHeight="1">
      <c r="A364" s="86"/>
      <c r="B364" s="108"/>
      <c r="C364" s="86">
        <v>4260</v>
      </c>
      <c r="D364" s="48" t="s">
        <v>106</v>
      </c>
      <c r="E364" s="101">
        <v>450000</v>
      </c>
      <c r="F364" s="101"/>
      <c r="G364" s="101"/>
      <c r="H364" s="101">
        <f t="shared" si="29"/>
        <v>450000</v>
      </c>
      <c r="I364" s="101"/>
      <c r="J364" s="101">
        <f t="shared" si="27"/>
        <v>450000</v>
      </c>
      <c r="K364" s="101">
        <v>0</v>
      </c>
      <c r="L364" s="101">
        <f t="shared" si="28"/>
        <v>450000</v>
      </c>
    </row>
    <row r="365" spans="1:12" s="30" customFormat="1" ht="21" customHeight="1">
      <c r="A365" s="86"/>
      <c r="B365" s="108"/>
      <c r="C365" s="86">
        <v>4270</v>
      </c>
      <c r="D365" s="48" t="s">
        <v>89</v>
      </c>
      <c r="E365" s="101">
        <v>130000</v>
      </c>
      <c r="F365" s="101"/>
      <c r="G365" s="101"/>
      <c r="H365" s="101">
        <f t="shared" si="29"/>
        <v>130000</v>
      </c>
      <c r="I365" s="101"/>
      <c r="J365" s="101">
        <f t="shared" si="27"/>
        <v>130000</v>
      </c>
      <c r="K365" s="101">
        <v>0</v>
      </c>
      <c r="L365" s="101">
        <f t="shared" si="28"/>
        <v>130000</v>
      </c>
    </row>
    <row r="366" spans="1:12" s="30" customFormat="1" ht="21" customHeight="1">
      <c r="A366" s="86"/>
      <c r="B366" s="108"/>
      <c r="C366" s="86">
        <v>4300</v>
      </c>
      <c r="D366" s="48" t="s">
        <v>90</v>
      </c>
      <c r="E366" s="101">
        <v>25000</v>
      </c>
      <c r="F366" s="101"/>
      <c r="G366" s="101"/>
      <c r="H366" s="101">
        <f t="shared" si="29"/>
        <v>25000</v>
      </c>
      <c r="I366" s="101"/>
      <c r="J366" s="101">
        <f t="shared" si="27"/>
        <v>25000</v>
      </c>
      <c r="K366" s="101">
        <v>0</v>
      </c>
      <c r="L366" s="101">
        <f t="shared" si="28"/>
        <v>25000</v>
      </c>
    </row>
    <row r="367" spans="1:12" s="30" customFormat="1" ht="21" customHeight="1">
      <c r="A367" s="86"/>
      <c r="B367" s="108"/>
      <c r="C367" s="86">
        <v>6050</v>
      </c>
      <c r="D367" s="48" t="s">
        <v>84</v>
      </c>
      <c r="E367" s="101">
        <f>20400+85000+20000+10000+20000</f>
        <v>155400</v>
      </c>
      <c r="F367" s="101"/>
      <c r="G367" s="101"/>
      <c r="H367" s="101">
        <f t="shared" si="29"/>
        <v>155400</v>
      </c>
      <c r="I367" s="101"/>
      <c r="J367" s="101">
        <f t="shared" si="27"/>
        <v>155400</v>
      </c>
      <c r="K367" s="101">
        <v>0</v>
      </c>
      <c r="L367" s="101">
        <f t="shared" si="28"/>
        <v>155400</v>
      </c>
    </row>
    <row r="368" spans="1:12" s="30" customFormat="1" ht="21" customHeight="1">
      <c r="A368" s="86"/>
      <c r="B368" s="103" t="s">
        <v>153</v>
      </c>
      <c r="C368" s="107"/>
      <c r="D368" s="48" t="s">
        <v>6</v>
      </c>
      <c r="E368" s="101">
        <f>SUM(E369:E373)</f>
        <v>100200</v>
      </c>
      <c r="F368" s="101">
        <f>SUM(F369:F373)</f>
        <v>0</v>
      </c>
      <c r="G368" s="101">
        <f>SUM(G369:G373)</f>
        <v>8000</v>
      </c>
      <c r="H368" s="101">
        <f t="shared" si="29"/>
        <v>92200</v>
      </c>
      <c r="I368" s="101">
        <f>SUM(I369:I373)</f>
        <v>0</v>
      </c>
      <c r="J368" s="101">
        <f>SUM(J369:J373)</f>
        <v>92200</v>
      </c>
      <c r="K368" s="101">
        <f>SUM(K369:K373)</f>
        <v>0</v>
      </c>
      <c r="L368" s="101">
        <f>SUM(L369:L373)</f>
        <v>92200</v>
      </c>
    </row>
    <row r="369" spans="1:12" s="30" customFormat="1" ht="21" customHeight="1">
      <c r="A369" s="86"/>
      <c r="B369" s="108"/>
      <c r="C369" s="107">
        <v>4210</v>
      </c>
      <c r="D369" s="48" t="s">
        <v>103</v>
      </c>
      <c r="E369" s="101">
        <v>2700</v>
      </c>
      <c r="F369" s="101"/>
      <c r="G369" s="101"/>
      <c r="H369" s="101">
        <f t="shared" si="29"/>
        <v>2700</v>
      </c>
      <c r="I369" s="101"/>
      <c r="J369" s="101">
        <f t="shared" si="27"/>
        <v>2700</v>
      </c>
      <c r="K369" s="101">
        <v>0</v>
      </c>
      <c r="L369" s="101">
        <f t="shared" si="28"/>
        <v>2700</v>
      </c>
    </row>
    <row r="370" spans="1:12" s="30" customFormat="1" ht="21" customHeight="1">
      <c r="A370" s="86"/>
      <c r="B370" s="108"/>
      <c r="C370" s="86">
        <v>4260</v>
      </c>
      <c r="D370" s="48" t="s">
        <v>106</v>
      </c>
      <c r="E370" s="101">
        <v>5500</v>
      </c>
      <c r="F370" s="101"/>
      <c r="G370" s="101"/>
      <c r="H370" s="101">
        <f t="shared" si="29"/>
        <v>5500</v>
      </c>
      <c r="I370" s="101"/>
      <c r="J370" s="101">
        <f t="shared" si="27"/>
        <v>5500</v>
      </c>
      <c r="K370" s="101">
        <v>0</v>
      </c>
      <c r="L370" s="101">
        <f t="shared" si="28"/>
        <v>5500</v>
      </c>
    </row>
    <row r="371" spans="1:12" s="30" customFormat="1" ht="21" customHeight="1">
      <c r="A371" s="86"/>
      <c r="B371" s="108"/>
      <c r="C371" s="86">
        <v>4270</v>
      </c>
      <c r="D371" s="48" t="s">
        <v>89</v>
      </c>
      <c r="E371" s="101">
        <v>8000</v>
      </c>
      <c r="F371" s="101"/>
      <c r="G371" s="101">
        <v>8000</v>
      </c>
      <c r="H371" s="101">
        <f t="shared" si="29"/>
        <v>0</v>
      </c>
      <c r="I371" s="101"/>
      <c r="J371" s="101">
        <f t="shared" si="27"/>
        <v>0</v>
      </c>
      <c r="K371" s="101">
        <v>0</v>
      </c>
      <c r="L371" s="101">
        <f t="shared" si="28"/>
        <v>0</v>
      </c>
    </row>
    <row r="372" spans="1:12" s="30" customFormat="1" ht="21" customHeight="1">
      <c r="A372" s="86"/>
      <c r="B372" s="108"/>
      <c r="C372" s="107">
        <v>4300</v>
      </c>
      <c r="D372" s="111" t="s">
        <v>90</v>
      </c>
      <c r="E372" s="101">
        <f>67000+5000+2000</f>
        <v>74000</v>
      </c>
      <c r="F372" s="101"/>
      <c r="G372" s="101"/>
      <c r="H372" s="101">
        <f t="shared" si="29"/>
        <v>74000</v>
      </c>
      <c r="I372" s="101"/>
      <c r="J372" s="101">
        <f t="shared" si="27"/>
        <v>74000</v>
      </c>
      <c r="K372" s="101">
        <v>0</v>
      </c>
      <c r="L372" s="101">
        <f t="shared" si="28"/>
        <v>74000</v>
      </c>
    </row>
    <row r="373" spans="1:12" s="30" customFormat="1" ht="21" customHeight="1">
      <c r="A373" s="86"/>
      <c r="B373" s="108"/>
      <c r="C373" s="107">
        <v>4390</v>
      </c>
      <c r="D373" s="48" t="s">
        <v>294</v>
      </c>
      <c r="E373" s="101">
        <f>6000+4000</f>
        <v>10000</v>
      </c>
      <c r="F373" s="101"/>
      <c r="G373" s="101"/>
      <c r="H373" s="101">
        <f t="shared" si="29"/>
        <v>10000</v>
      </c>
      <c r="I373" s="101"/>
      <c r="J373" s="101">
        <f t="shared" si="27"/>
        <v>10000</v>
      </c>
      <c r="K373" s="101">
        <v>0</v>
      </c>
      <c r="L373" s="101">
        <f t="shared" si="28"/>
        <v>10000</v>
      </c>
    </row>
    <row r="374" spans="1:12" s="8" customFormat="1" ht="24.75" customHeight="1">
      <c r="A374" s="43" t="s">
        <v>73</v>
      </c>
      <c r="B374" s="44"/>
      <c r="C374" s="45"/>
      <c r="D374" s="46" t="s">
        <v>154</v>
      </c>
      <c r="E374" s="47">
        <f>SUM(E375,E384,E386,)</f>
        <v>1797130</v>
      </c>
      <c r="F374" s="47">
        <f>SUM(F375,F384,F386,)</f>
        <v>76900</v>
      </c>
      <c r="G374" s="47">
        <f>SUM(G375,G384,G386,)</f>
        <v>0</v>
      </c>
      <c r="H374" s="47">
        <f t="shared" si="29"/>
        <v>1874030</v>
      </c>
      <c r="I374" s="47">
        <f>SUM(I375,I384,I386,)</f>
        <v>10258</v>
      </c>
      <c r="J374" s="47">
        <f>SUM(J375,J384,J386,)</f>
        <v>1884288</v>
      </c>
      <c r="K374" s="47">
        <f>SUM(K375,K384,K386,)</f>
        <v>0</v>
      </c>
      <c r="L374" s="47">
        <f>SUM(L375,L384,L386,)</f>
        <v>1884288</v>
      </c>
    </row>
    <row r="375" spans="1:12" s="30" customFormat="1" ht="21.75" customHeight="1">
      <c r="A375" s="86"/>
      <c r="B375" s="103" t="s">
        <v>155</v>
      </c>
      <c r="C375" s="107"/>
      <c r="D375" s="48" t="s">
        <v>175</v>
      </c>
      <c r="E375" s="101">
        <f>SUM(E376:E382)</f>
        <v>504660</v>
      </c>
      <c r="F375" s="101">
        <f>SUM(F376:F382)</f>
        <v>76000</v>
      </c>
      <c r="G375" s="101">
        <f>SUM(G376:G382)</f>
        <v>0</v>
      </c>
      <c r="H375" s="101">
        <f t="shared" si="29"/>
        <v>580660</v>
      </c>
      <c r="I375" s="101">
        <f>SUM(I376:I382)</f>
        <v>8258</v>
      </c>
      <c r="J375" s="101">
        <f>SUM(J376:J383)</f>
        <v>588918</v>
      </c>
      <c r="K375" s="101">
        <f>SUM(K376:K383)</f>
        <v>0</v>
      </c>
      <c r="L375" s="101">
        <f>SUM(L376:L383)</f>
        <v>588918</v>
      </c>
    </row>
    <row r="376" spans="1:12" s="30" customFormat="1" ht="31.5" customHeight="1">
      <c r="A376" s="86"/>
      <c r="B376" s="103"/>
      <c r="C376" s="107">
        <v>2480</v>
      </c>
      <c r="D376" s="48" t="s">
        <v>223</v>
      </c>
      <c r="E376" s="101">
        <f>407340+43250</f>
        <v>450590</v>
      </c>
      <c r="F376" s="101">
        <v>76000</v>
      </c>
      <c r="G376" s="101"/>
      <c r="H376" s="101">
        <f t="shared" si="29"/>
        <v>526590</v>
      </c>
      <c r="I376" s="101">
        <f>1500+500+3500+1500+1000+1500</f>
        <v>9500</v>
      </c>
      <c r="J376" s="101">
        <f t="shared" si="27"/>
        <v>536090</v>
      </c>
      <c r="K376" s="101">
        <v>0</v>
      </c>
      <c r="L376" s="101">
        <f t="shared" si="28"/>
        <v>536090</v>
      </c>
    </row>
    <row r="377" spans="1:12" s="30" customFormat="1" ht="28.5" customHeight="1">
      <c r="A377" s="86"/>
      <c r="B377" s="103"/>
      <c r="C377" s="86">
        <v>4210</v>
      </c>
      <c r="D377" s="48" t="s">
        <v>103</v>
      </c>
      <c r="E377" s="101">
        <v>16610</v>
      </c>
      <c r="F377" s="101"/>
      <c r="G377" s="101"/>
      <c r="H377" s="101">
        <f t="shared" si="29"/>
        <v>16610</v>
      </c>
      <c r="I377" s="101"/>
      <c r="J377" s="101">
        <f t="shared" si="27"/>
        <v>16610</v>
      </c>
      <c r="K377" s="101">
        <v>0</v>
      </c>
      <c r="L377" s="101">
        <f t="shared" si="28"/>
        <v>16610</v>
      </c>
    </row>
    <row r="378" spans="1:12" s="30" customFormat="1" ht="21" customHeight="1">
      <c r="A378" s="86"/>
      <c r="B378" s="103"/>
      <c r="C378" s="86">
        <v>4260</v>
      </c>
      <c r="D378" s="48" t="s">
        <v>106</v>
      </c>
      <c r="E378" s="101">
        <v>9540</v>
      </c>
      <c r="F378" s="101"/>
      <c r="G378" s="101"/>
      <c r="H378" s="101">
        <f t="shared" si="29"/>
        <v>9540</v>
      </c>
      <c r="I378" s="101">
        <v>-42</v>
      </c>
      <c r="J378" s="101">
        <f t="shared" si="27"/>
        <v>9498</v>
      </c>
      <c r="K378" s="101">
        <v>0</v>
      </c>
      <c r="L378" s="101">
        <f t="shared" si="28"/>
        <v>9498</v>
      </c>
    </row>
    <row r="379" spans="1:12" s="30" customFormat="1" ht="21" customHeight="1">
      <c r="A379" s="86"/>
      <c r="B379" s="103"/>
      <c r="C379" s="86">
        <v>4270</v>
      </c>
      <c r="D379" s="48" t="s">
        <v>89</v>
      </c>
      <c r="E379" s="101">
        <v>20680</v>
      </c>
      <c r="F379" s="101"/>
      <c r="G379" s="101"/>
      <c r="H379" s="101">
        <f t="shared" si="29"/>
        <v>20680</v>
      </c>
      <c r="I379" s="101">
        <v>-1200</v>
      </c>
      <c r="J379" s="101">
        <f t="shared" si="27"/>
        <v>19480</v>
      </c>
      <c r="K379" s="101">
        <v>0</v>
      </c>
      <c r="L379" s="101">
        <f t="shared" si="28"/>
        <v>19480</v>
      </c>
    </row>
    <row r="380" spans="1:12" s="30" customFormat="1" ht="21" customHeight="1">
      <c r="A380" s="86"/>
      <c r="B380" s="103"/>
      <c r="C380" s="107">
        <v>4300</v>
      </c>
      <c r="D380" s="111" t="s">
        <v>90</v>
      </c>
      <c r="E380" s="101">
        <v>980</v>
      </c>
      <c r="F380" s="101"/>
      <c r="G380" s="101"/>
      <c r="H380" s="101">
        <f t="shared" si="29"/>
        <v>980</v>
      </c>
      <c r="I380" s="101"/>
      <c r="J380" s="101">
        <f t="shared" si="27"/>
        <v>980</v>
      </c>
      <c r="K380" s="101">
        <v>0</v>
      </c>
      <c r="L380" s="101">
        <f t="shared" si="28"/>
        <v>980</v>
      </c>
    </row>
    <row r="381" spans="1:12" s="30" customFormat="1" ht="21" customHeight="1">
      <c r="A381" s="86"/>
      <c r="B381" s="103"/>
      <c r="C381" s="107">
        <v>4430</v>
      </c>
      <c r="D381" s="111" t="s">
        <v>105</v>
      </c>
      <c r="E381" s="101">
        <v>1280</v>
      </c>
      <c r="F381" s="101"/>
      <c r="G381" s="101"/>
      <c r="H381" s="101">
        <f t="shared" si="29"/>
        <v>1280</v>
      </c>
      <c r="I381" s="101"/>
      <c r="J381" s="101">
        <f t="shared" si="27"/>
        <v>1280</v>
      </c>
      <c r="K381" s="101">
        <v>0</v>
      </c>
      <c r="L381" s="101">
        <f t="shared" si="28"/>
        <v>1280</v>
      </c>
    </row>
    <row r="382" spans="1:12" s="30" customFormat="1" ht="21" customHeight="1">
      <c r="A382" s="86"/>
      <c r="B382" s="103"/>
      <c r="C382" s="107">
        <v>6050</v>
      </c>
      <c r="D382" s="48" t="s">
        <v>84</v>
      </c>
      <c r="E382" s="101">
        <v>4980</v>
      </c>
      <c r="F382" s="101"/>
      <c r="G382" s="101"/>
      <c r="H382" s="101">
        <f t="shared" si="29"/>
        <v>4980</v>
      </c>
      <c r="I382" s="101"/>
      <c r="J382" s="101">
        <f t="shared" si="27"/>
        <v>4980</v>
      </c>
      <c r="K382" s="101">
        <v>-4980</v>
      </c>
      <c r="L382" s="101">
        <f t="shared" si="28"/>
        <v>0</v>
      </c>
    </row>
    <row r="383" spans="1:12" s="30" customFormat="1" ht="21" customHeight="1">
      <c r="A383" s="86"/>
      <c r="B383" s="103"/>
      <c r="C383" s="107">
        <v>6060</v>
      </c>
      <c r="D383" s="48" t="s">
        <v>107</v>
      </c>
      <c r="E383" s="101"/>
      <c r="F383" s="101"/>
      <c r="G383" s="101"/>
      <c r="H383" s="101"/>
      <c r="I383" s="101"/>
      <c r="J383" s="101">
        <v>0</v>
      </c>
      <c r="K383" s="101">
        <v>4980</v>
      </c>
      <c r="L383" s="101">
        <f t="shared" si="28"/>
        <v>4980</v>
      </c>
    </row>
    <row r="384" spans="1:12" s="30" customFormat="1" ht="21.75" customHeight="1">
      <c r="A384" s="86"/>
      <c r="B384" s="103" t="s">
        <v>74</v>
      </c>
      <c r="C384" s="107"/>
      <c r="D384" s="48" t="s">
        <v>75</v>
      </c>
      <c r="E384" s="101">
        <f>E385</f>
        <v>916000</v>
      </c>
      <c r="F384" s="101">
        <f>F385</f>
        <v>900</v>
      </c>
      <c r="G384" s="101">
        <f>G385</f>
        <v>0</v>
      </c>
      <c r="H384" s="101">
        <f t="shared" si="29"/>
        <v>916900</v>
      </c>
      <c r="I384" s="101">
        <f>I385</f>
        <v>0</v>
      </c>
      <c r="J384" s="101">
        <f>SUM(J385)</f>
        <v>916900</v>
      </c>
      <c r="K384" s="101">
        <f>SUM(K385)</f>
        <v>0</v>
      </c>
      <c r="L384" s="101">
        <f>SUM(L385)</f>
        <v>916900</v>
      </c>
    </row>
    <row r="385" spans="1:12" s="30" customFormat="1" ht="24">
      <c r="A385" s="86"/>
      <c r="B385" s="103"/>
      <c r="C385" s="107">
        <v>2480</v>
      </c>
      <c r="D385" s="48" t="s">
        <v>223</v>
      </c>
      <c r="E385" s="101">
        <f>45000+851000+20000</f>
        <v>916000</v>
      </c>
      <c r="F385" s="101">
        <v>900</v>
      </c>
      <c r="G385" s="101"/>
      <c r="H385" s="101">
        <f t="shared" si="29"/>
        <v>916900</v>
      </c>
      <c r="I385" s="101"/>
      <c r="J385" s="101">
        <f t="shared" si="27"/>
        <v>916900</v>
      </c>
      <c r="K385" s="101">
        <v>0</v>
      </c>
      <c r="L385" s="101">
        <f t="shared" si="28"/>
        <v>916900</v>
      </c>
    </row>
    <row r="386" spans="1:12" s="30" customFormat="1" ht="18.75" customHeight="1">
      <c r="A386" s="86"/>
      <c r="B386" s="103" t="s">
        <v>156</v>
      </c>
      <c r="C386" s="107"/>
      <c r="D386" s="48" t="s">
        <v>157</v>
      </c>
      <c r="E386" s="101">
        <f>E387</f>
        <v>376470</v>
      </c>
      <c r="F386" s="101">
        <f>F387</f>
        <v>0</v>
      </c>
      <c r="G386" s="101">
        <f>G387</f>
        <v>0</v>
      </c>
      <c r="H386" s="101">
        <f t="shared" si="29"/>
        <v>376470</v>
      </c>
      <c r="I386" s="101">
        <f>I387</f>
        <v>2000</v>
      </c>
      <c r="J386" s="101">
        <f>SUM(J387)</f>
        <v>378470</v>
      </c>
      <c r="K386" s="101">
        <f>SUM(K387)</f>
        <v>0</v>
      </c>
      <c r="L386" s="101">
        <f>SUM(L387)</f>
        <v>378470</v>
      </c>
    </row>
    <row r="387" spans="1:12" s="30" customFormat="1" ht="25.5" customHeight="1">
      <c r="A387" s="86"/>
      <c r="B387" s="103"/>
      <c r="C387" s="107">
        <v>2480</v>
      </c>
      <c r="D387" s="48" t="s">
        <v>223</v>
      </c>
      <c r="E387" s="101">
        <f>368470+8000</f>
        <v>376470</v>
      </c>
      <c r="F387" s="101"/>
      <c r="G387" s="101"/>
      <c r="H387" s="101">
        <f t="shared" si="29"/>
        <v>376470</v>
      </c>
      <c r="I387" s="101">
        <f>500+1000+500</f>
        <v>2000</v>
      </c>
      <c r="J387" s="101">
        <f t="shared" si="27"/>
        <v>378470</v>
      </c>
      <c r="K387" s="101">
        <v>0</v>
      </c>
      <c r="L387" s="101">
        <f t="shared" si="28"/>
        <v>378470</v>
      </c>
    </row>
    <row r="388" spans="1:12" s="8" customFormat="1" ht="24.75" customHeight="1">
      <c r="A388" s="43" t="s">
        <v>158</v>
      </c>
      <c r="B388" s="44"/>
      <c r="C388" s="45"/>
      <c r="D388" s="46" t="s">
        <v>76</v>
      </c>
      <c r="E388" s="47">
        <f>SUM(E395,E391,E389)</f>
        <v>693580</v>
      </c>
      <c r="F388" s="47">
        <f>SUM(F395,F391,F389)</f>
        <v>28000</v>
      </c>
      <c r="G388" s="47">
        <f>SUM(G395,G391,G389)</f>
        <v>200000</v>
      </c>
      <c r="H388" s="47">
        <f t="shared" si="29"/>
        <v>521580</v>
      </c>
      <c r="I388" s="47">
        <f>SUM(I395,I391,I389)</f>
        <v>436800</v>
      </c>
      <c r="J388" s="47">
        <f>SUM(J389,J391,J395,)</f>
        <v>958380</v>
      </c>
      <c r="K388" s="47">
        <f>SUM(K389,K391,K395,)</f>
        <v>10800</v>
      </c>
      <c r="L388" s="47">
        <f>SUM(L389,L391,L395,)</f>
        <v>969180</v>
      </c>
    </row>
    <row r="389" spans="1:12" s="30" customFormat="1" ht="24.75" customHeight="1">
      <c r="A389" s="86"/>
      <c r="B389" s="108">
        <v>92601</v>
      </c>
      <c r="C389" s="107"/>
      <c r="D389" s="48" t="s">
        <v>300</v>
      </c>
      <c r="E389" s="101">
        <f>SUM(E390)</f>
        <v>100000</v>
      </c>
      <c r="F389" s="101">
        <f>SUM(F390)</f>
        <v>0</v>
      </c>
      <c r="G389" s="101">
        <f>SUM(G390)</f>
        <v>0</v>
      </c>
      <c r="H389" s="101">
        <f t="shared" si="29"/>
        <v>100000</v>
      </c>
      <c r="I389" s="101">
        <f>SUM(I390)</f>
        <v>0</v>
      </c>
      <c r="J389" s="101">
        <f>SUM(J390)</f>
        <v>100000</v>
      </c>
      <c r="K389" s="101">
        <f>SUM(K390)</f>
        <v>0</v>
      </c>
      <c r="L389" s="101">
        <f>SUM(L390)</f>
        <v>100000</v>
      </c>
    </row>
    <row r="390" spans="1:12" s="30" customFormat="1" ht="24.75" customHeight="1">
      <c r="A390" s="86"/>
      <c r="B390" s="108"/>
      <c r="C390" s="107">
        <v>6050</v>
      </c>
      <c r="D390" s="48" t="s">
        <v>84</v>
      </c>
      <c r="E390" s="101">
        <f>100000</f>
        <v>100000</v>
      </c>
      <c r="F390" s="101"/>
      <c r="G390" s="101"/>
      <c r="H390" s="101">
        <f t="shared" si="29"/>
        <v>100000</v>
      </c>
      <c r="I390" s="101"/>
      <c r="J390" s="101">
        <f t="shared" si="27"/>
        <v>100000</v>
      </c>
      <c r="K390" s="101">
        <v>0</v>
      </c>
      <c r="L390" s="101">
        <f t="shared" si="28"/>
        <v>100000</v>
      </c>
    </row>
    <row r="391" spans="1:12" s="30" customFormat="1" ht="21.75" customHeight="1">
      <c r="A391" s="86"/>
      <c r="B391" s="108">
        <v>92604</v>
      </c>
      <c r="C391" s="107"/>
      <c r="D391" s="48" t="s">
        <v>236</v>
      </c>
      <c r="E391" s="101">
        <f aca="true" t="shared" si="30" ref="E391:L391">SUM(E392:E394)</f>
        <v>280000</v>
      </c>
      <c r="F391" s="101">
        <f t="shared" si="30"/>
        <v>28000</v>
      </c>
      <c r="G391" s="101">
        <f t="shared" si="30"/>
        <v>200000</v>
      </c>
      <c r="H391" s="101">
        <f t="shared" si="30"/>
        <v>108000</v>
      </c>
      <c r="I391" s="101">
        <f t="shared" si="30"/>
        <v>0</v>
      </c>
      <c r="J391" s="101">
        <f t="shared" si="30"/>
        <v>108000</v>
      </c>
      <c r="K391" s="101">
        <f t="shared" si="30"/>
        <v>0</v>
      </c>
      <c r="L391" s="101">
        <f t="shared" si="30"/>
        <v>108000</v>
      </c>
    </row>
    <row r="392" spans="1:12" s="30" customFormat="1" ht="21.75" customHeight="1">
      <c r="A392" s="86"/>
      <c r="B392" s="108"/>
      <c r="C392" s="107">
        <v>4270</v>
      </c>
      <c r="D392" s="48" t="s">
        <v>89</v>
      </c>
      <c r="E392" s="101">
        <v>0</v>
      </c>
      <c r="F392" s="101">
        <f>20000+8000</f>
        <v>28000</v>
      </c>
      <c r="G392" s="101"/>
      <c r="H392" s="101">
        <f>E392+F392-G392</f>
        <v>28000</v>
      </c>
      <c r="I392" s="101"/>
      <c r="J392" s="101">
        <f t="shared" si="27"/>
        <v>28000</v>
      </c>
      <c r="K392" s="101">
        <v>0</v>
      </c>
      <c r="L392" s="101">
        <f t="shared" si="28"/>
        <v>28000</v>
      </c>
    </row>
    <row r="393" spans="1:12" s="30" customFormat="1" ht="21" customHeight="1">
      <c r="A393" s="86"/>
      <c r="B393" s="108"/>
      <c r="C393" s="107">
        <v>4300</v>
      </c>
      <c r="D393" s="111" t="s">
        <v>90</v>
      </c>
      <c r="E393" s="101">
        <f>60000+20000</f>
        <v>80000</v>
      </c>
      <c r="F393" s="101"/>
      <c r="G393" s="101"/>
      <c r="H393" s="101">
        <f>E393+F393-G393</f>
        <v>80000</v>
      </c>
      <c r="I393" s="101"/>
      <c r="J393" s="101">
        <f t="shared" si="27"/>
        <v>80000</v>
      </c>
      <c r="K393" s="101">
        <v>0</v>
      </c>
      <c r="L393" s="101">
        <f t="shared" si="28"/>
        <v>80000</v>
      </c>
    </row>
    <row r="394" spans="1:12" s="30" customFormat="1" ht="29.25" customHeight="1">
      <c r="A394" s="86"/>
      <c r="B394" s="108"/>
      <c r="C394" s="107">
        <v>6050</v>
      </c>
      <c r="D394" s="48" t="s">
        <v>84</v>
      </c>
      <c r="E394" s="101">
        <v>200000</v>
      </c>
      <c r="F394" s="101"/>
      <c r="G394" s="101">
        <v>200000</v>
      </c>
      <c r="H394" s="101">
        <f>E394+F394-G394</f>
        <v>0</v>
      </c>
      <c r="I394" s="101"/>
      <c r="J394" s="101">
        <f t="shared" si="27"/>
        <v>0</v>
      </c>
      <c r="K394" s="101">
        <v>0</v>
      </c>
      <c r="L394" s="101">
        <f t="shared" si="28"/>
        <v>0</v>
      </c>
    </row>
    <row r="395" spans="1:12" s="30" customFormat="1" ht="32.25" customHeight="1">
      <c r="A395" s="107"/>
      <c r="B395" s="110">
        <v>92605</v>
      </c>
      <c r="C395" s="107"/>
      <c r="D395" s="48" t="s">
        <v>77</v>
      </c>
      <c r="E395" s="101">
        <f>SUM(E396:E402)</f>
        <v>313580</v>
      </c>
      <c r="F395" s="101">
        <f>SUM(F396:F402)</f>
        <v>0</v>
      </c>
      <c r="G395" s="101">
        <f>SUM(G396:G402)</f>
        <v>0</v>
      </c>
      <c r="H395" s="101">
        <f>SUM(H396:H403)</f>
        <v>313580</v>
      </c>
      <c r="I395" s="101">
        <f>SUM(I396:I403)</f>
        <v>436800</v>
      </c>
      <c r="J395" s="101">
        <f>SUM(J396:J403)</f>
        <v>750380</v>
      </c>
      <c r="K395" s="101">
        <f>SUM(K396:K403)</f>
        <v>10800</v>
      </c>
      <c r="L395" s="101">
        <f>SUM(L396:L403)</f>
        <v>761180</v>
      </c>
    </row>
    <row r="396" spans="1:12" s="30" customFormat="1" ht="36">
      <c r="A396" s="107"/>
      <c r="B396" s="110"/>
      <c r="C396" s="107">
        <v>2630</v>
      </c>
      <c r="D396" s="48" t="s">
        <v>282</v>
      </c>
      <c r="E396" s="101">
        <v>250000</v>
      </c>
      <c r="F396" s="101"/>
      <c r="G396" s="101"/>
      <c r="H396" s="101">
        <f>E396+F396-G396</f>
        <v>250000</v>
      </c>
      <c r="I396" s="101">
        <v>-247500</v>
      </c>
      <c r="J396" s="101">
        <f t="shared" si="27"/>
        <v>2500</v>
      </c>
      <c r="K396" s="101">
        <v>0</v>
      </c>
      <c r="L396" s="101">
        <f t="shared" si="28"/>
        <v>2500</v>
      </c>
    </row>
    <row r="397" spans="1:12" s="30" customFormat="1" ht="54.75" customHeight="1">
      <c r="A397" s="107"/>
      <c r="B397" s="110"/>
      <c r="C397" s="107">
        <v>2820</v>
      </c>
      <c r="D397" s="48" t="s">
        <v>433</v>
      </c>
      <c r="E397" s="101"/>
      <c r="F397" s="101"/>
      <c r="G397" s="101"/>
      <c r="H397" s="101">
        <v>0</v>
      </c>
      <c r="I397" s="101">
        <f>131400+62000+4000+5000+3500+5000+2500+7000+14000+6000+1500+2000+3000</f>
        <v>246900</v>
      </c>
      <c r="J397" s="101">
        <f t="shared" si="27"/>
        <v>246900</v>
      </c>
      <c r="K397" s="101">
        <v>0</v>
      </c>
      <c r="L397" s="101">
        <f t="shared" si="28"/>
        <v>246900</v>
      </c>
    </row>
    <row r="398" spans="1:12" s="30" customFormat="1" ht="78.75" customHeight="1">
      <c r="A398" s="107"/>
      <c r="B398" s="110"/>
      <c r="C398" s="107">
        <v>2830</v>
      </c>
      <c r="D398" s="48" t="s">
        <v>432</v>
      </c>
      <c r="E398" s="101"/>
      <c r="F398" s="101"/>
      <c r="G398" s="101"/>
      <c r="H398" s="101">
        <v>0</v>
      </c>
      <c r="I398" s="101">
        <v>600</v>
      </c>
      <c r="J398" s="101">
        <f t="shared" si="27"/>
        <v>600</v>
      </c>
      <c r="K398" s="101">
        <v>0</v>
      </c>
      <c r="L398" s="101">
        <f t="shared" si="28"/>
        <v>600</v>
      </c>
    </row>
    <row r="399" spans="1:12" s="30" customFormat="1" ht="21" customHeight="1">
      <c r="A399" s="107"/>
      <c r="B399" s="110"/>
      <c r="C399" s="107">
        <v>4170</v>
      </c>
      <c r="D399" s="48" t="s">
        <v>232</v>
      </c>
      <c r="E399" s="101">
        <f>20000+11000</f>
        <v>31000</v>
      </c>
      <c r="F399" s="101"/>
      <c r="G399" s="101"/>
      <c r="H399" s="101">
        <f>E399+F399-G399</f>
        <v>31000</v>
      </c>
      <c r="I399" s="101"/>
      <c r="J399" s="101">
        <f t="shared" si="27"/>
        <v>31000</v>
      </c>
      <c r="K399" s="101">
        <v>0</v>
      </c>
      <c r="L399" s="101">
        <f t="shared" si="28"/>
        <v>31000</v>
      </c>
    </row>
    <row r="400" spans="1:12" s="30" customFormat="1" ht="21" customHeight="1">
      <c r="A400" s="107"/>
      <c r="B400" s="103"/>
      <c r="C400" s="86">
        <v>4210</v>
      </c>
      <c r="D400" s="48" t="s">
        <v>103</v>
      </c>
      <c r="E400" s="101">
        <f>7780+10000</f>
        <v>17780</v>
      </c>
      <c r="F400" s="101"/>
      <c r="G400" s="101"/>
      <c r="H400" s="101">
        <f>E400+F400-G400</f>
        <v>17780</v>
      </c>
      <c r="I400" s="101">
        <f>600</f>
        <v>600</v>
      </c>
      <c r="J400" s="101">
        <f t="shared" si="27"/>
        <v>18380</v>
      </c>
      <c r="K400" s="101">
        <v>0</v>
      </c>
      <c r="L400" s="101">
        <f t="shared" si="28"/>
        <v>18380</v>
      </c>
    </row>
    <row r="401" spans="1:12" s="30" customFormat="1" ht="21" customHeight="1">
      <c r="A401" s="107"/>
      <c r="B401" s="103"/>
      <c r="C401" s="86">
        <v>4260</v>
      </c>
      <c r="D401" s="48" t="s">
        <v>106</v>
      </c>
      <c r="E401" s="101">
        <v>600</v>
      </c>
      <c r="F401" s="101"/>
      <c r="G401" s="101"/>
      <c r="H401" s="101">
        <f>E401+F401-G401</f>
        <v>600</v>
      </c>
      <c r="I401" s="101"/>
      <c r="J401" s="101">
        <f t="shared" si="27"/>
        <v>600</v>
      </c>
      <c r="K401" s="101">
        <v>0</v>
      </c>
      <c r="L401" s="101">
        <f t="shared" si="28"/>
        <v>600</v>
      </c>
    </row>
    <row r="402" spans="1:12" s="30" customFormat="1" ht="21" customHeight="1">
      <c r="A402" s="107"/>
      <c r="B402" s="103"/>
      <c r="C402" s="107">
        <v>4300</v>
      </c>
      <c r="D402" s="111" t="s">
        <v>90</v>
      </c>
      <c r="E402" s="101">
        <f>2200+10000+2000</f>
        <v>14200</v>
      </c>
      <c r="F402" s="101"/>
      <c r="G402" s="101"/>
      <c r="H402" s="101">
        <f>E402+F402-G402</f>
        <v>14200</v>
      </c>
      <c r="I402" s="101">
        <v>1200</v>
      </c>
      <c r="J402" s="101">
        <f t="shared" si="27"/>
        <v>15400</v>
      </c>
      <c r="K402" s="101">
        <v>-200</v>
      </c>
      <c r="L402" s="101">
        <f t="shared" si="28"/>
        <v>15200</v>
      </c>
    </row>
    <row r="403" spans="1:12" s="30" customFormat="1" ht="21" customHeight="1">
      <c r="A403" s="107"/>
      <c r="B403" s="86"/>
      <c r="C403" s="107">
        <v>6050</v>
      </c>
      <c r="D403" s="48" t="s">
        <v>84</v>
      </c>
      <c r="E403" s="101"/>
      <c r="F403" s="101"/>
      <c r="G403" s="101"/>
      <c r="H403" s="101">
        <v>0</v>
      </c>
      <c r="I403" s="101">
        <f>260000+175000</f>
        <v>435000</v>
      </c>
      <c r="J403" s="101">
        <f t="shared" si="27"/>
        <v>435000</v>
      </c>
      <c r="K403" s="90">
        <v>11000</v>
      </c>
      <c r="L403" s="101">
        <f t="shared" si="28"/>
        <v>446000</v>
      </c>
    </row>
    <row r="404" spans="1:12" s="9" customFormat="1" ht="24.75" customHeight="1">
      <c r="A404" s="12"/>
      <c r="B404" s="12"/>
      <c r="C404" s="12"/>
      <c r="D404" s="45" t="s">
        <v>78</v>
      </c>
      <c r="E404" s="47">
        <f>SUM(E388,E374,E347,E321,E262,E245,E158,E155,E152,E143,E110,E105,E48,E41,E25,E15,E10,)</f>
        <v>46618116</v>
      </c>
      <c r="F404" s="47">
        <f>SUM(F388,F374,F347,F321,F262,F245,F158,F155,F152,F143,F110,F105,F48,F41,F25,F15,F10,)</f>
        <v>1762700</v>
      </c>
      <c r="G404" s="47">
        <f>SUM(G388,G374,G347,G321,G262,G245,G158,G155,G152,G143,G110,G105,G48,G41,G25,G15,G10,)</f>
        <v>1761800</v>
      </c>
      <c r="H404" s="47">
        <f>E404+F404-G404</f>
        <v>46619016</v>
      </c>
      <c r="I404" s="47">
        <f>SUM(I388,I374,I347,I321,I262,I245,I158,I155,I152,I143,I110,I105,I48,I41,I25,I15,I10,)</f>
        <v>350197</v>
      </c>
      <c r="J404" s="47">
        <f>SUM(J388,J374,J347,J321,J262,J245,J158,J155,J152,J143,J110,J105,J48,J41,J25,J15,J10,)</f>
        <v>46977213</v>
      </c>
      <c r="K404" s="47">
        <f>SUM(K388,K374,K347,K321,K262,K245,K158,K155,K152,K143,K110,K105,K48,K41,K25,K15,K10,)</f>
        <v>908807</v>
      </c>
      <c r="L404" s="47">
        <f>SUM(L388,L374,L347,L321,L262,L245,L158,L155,L152,L143,L110,L105,L48,L41,L25,L15,L10,)</f>
        <v>47886020</v>
      </c>
    </row>
    <row r="405" spans="1:12" ht="12.75">
      <c r="A405" s="73"/>
      <c r="B405" s="73"/>
      <c r="C405" s="73"/>
      <c r="D405" s="73"/>
      <c r="E405" s="154"/>
      <c r="F405" s="154"/>
      <c r="G405" s="154"/>
      <c r="H405" s="154"/>
      <c r="I405" s="154"/>
      <c r="J405" s="154"/>
      <c r="K405" s="154"/>
      <c r="L405" s="154"/>
    </row>
    <row r="406" spans="4:14" ht="12.75">
      <c r="D406" s="73"/>
      <c r="E406" s="154"/>
      <c r="F406" s="154"/>
      <c r="G406" s="154"/>
      <c r="H406" s="154"/>
      <c r="I406" s="154"/>
      <c r="J406" s="154"/>
      <c r="K406" s="154"/>
      <c r="L406" s="154"/>
      <c r="N406" s="66">
        <f>SUM(J404+K404)</f>
        <v>47886020</v>
      </c>
    </row>
    <row r="407" spans="4:12" ht="12">
      <c r="D407" s="73"/>
      <c r="E407" s="154"/>
      <c r="F407" s="154"/>
      <c r="G407" s="154">
        <f>SUM(F404-G404)</f>
        <v>900</v>
      </c>
      <c r="H407" s="154"/>
      <c r="I407" s="154" t="s">
        <v>436</v>
      </c>
      <c r="J407" s="154"/>
      <c r="K407" s="154" t="s">
        <v>436</v>
      </c>
      <c r="L407" s="154"/>
    </row>
    <row r="408" spans="4:12" ht="12">
      <c r="D408" s="73"/>
      <c r="E408" s="154"/>
      <c r="F408" s="154"/>
      <c r="G408" s="154"/>
      <c r="H408" s="154"/>
      <c r="I408" s="154"/>
      <c r="J408" s="154"/>
      <c r="K408" s="154"/>
      <c r="L408" s="154"/>
    </row>
    <row r="409" spans="1:14" s="27" customFormat="1" ht="12.75">
      <c r="A409" s="29"/>
      <c r="B409" s="29"/>
      <c r="C409" s="29"/>
      <c r="D409" s="137"/>
      <c r="E409" s="124"/>
      <c r="F409" s="124"/>
      <c r="G409" s="124">
        <v>870000</v>
      </c>
      <c r="H409" s="124"/>
      <c r="I409" s="124"/>
      <c r="J409" s="124" t="s">
        <v>494</v>
      </c>
      <c r="K409" s="253">
        <v>38000</v>
      </c>
      <c r="L409" s="124" t="s">
        <v>484</v>
      </c>
      <c r="M409" s="124"/>
      <c r="N409" s="124"/>
    </row>
    <row r="410" spans="1:14" s="27" customFormat="1" ht="12.75">
      <c r="A410" s="29"/>
      <c r="B410" s="29"/>
      <c r="C410" s="29"/>
      <c r="D410" s="137"/>
      <c r="E410" s="124"/>
      <c r="F410" s="124"/>
      <c r="G410" s="124"/>
      <c r="H410" s="124"/>
      <c r="I410" s="124"/>
      <c r="J410" s="124" t="s">
        <v>494</v>
      </c>
      <c r="K410" s="253">
        <v>20000</v>
      </c>
      <c r="L410" s="124" t="s">
        <v>485</v>
      </c>
      <c r="M410" s="124"/>
      <c r="N410" s="124"/>
    </row>
    <row r="411" spans="1:14" s="27" customFormat="1" ht="12.75">
      <c r="A411" s="29"/>
      <c r="B411" s="29"/>
      <c r="C411" s="29"/>
      <c r="D411" s="29"/>
      <c r="E411" s="28"/>
      <c r="F411" s="28"/>
      <c r="G411" s="28"/>
      <c r="H411" s="28"/>
      <c r="I411" s="28"/>
      <c r="J411" s="28" t="s">
        <v>494</v>
      </c>
      <c r="K411" s="148">
        <v>70000</v>
      </c>
      <c r="L411" s="28" t="s">
        <v>486</v>
      </c>
      <c r="M411" s="28"/>
      <c r="N411" s="28"/>
    </row>
    <row r="412" spans="1:14" s="27" customFormat="1" ht="12.75">
      <c r="A412" s="29"/>
      <c r="B412" s="29"/>
      <c r="C412" s="29"/>
      <c r="D412" s="29"/>
      <c r="E412" s="28"/>
      <c r="F412" s="28"/>
      <c r="G412" s="28"/>
      <c r="H412" s="28"/>
      <c r="I412" s="28"/>
      <c r="J412" s="28" t="s">
        <v>492</v>
      </c>
      <c r="K412" s="148">
        <v>115</v>
      </c>
      <c r="L412" s="28" t="s">
        <v>487</v>
      </c>
      <c r="M412" s="28"/>
      <c r="N412" s="28"/>
    </row>
    <row r="413" spans="1:14" s="27" customFormat="1" ht="12.75">
      <c r="A413" s="29"/>
      <c r="B413" s="29"/>
      <c r="C413" s="29"/>
      <c r="D413" s="29"/>
      <c r="E413" s="28"/>
      <c r="F413" s="28"/>
      <c r="G413" s="28"/>
      <c r="H413" s="28"/>
      <c r="I413" s="28"/>
      <c r="J413" s="28" t="s">
        <v>492</v>
      </c>
      <c r="K413" s="28">
        <v>-4980</v>
      </c>
      <c r="L413" s="28" t="s">
        <v>489</v>
      </c>
      <c r="M413" s="28"/>
      <c r="N413" s="28"/>
    </row>
    <row r="414" spans="1:14" s="27" customFormat="1" ht="12.75">
      <c r="A414" s="29"/>
      <c r="B414" s="29"/>
      <c r="C414" s="29"/>
      <c r="D414" s="29"/>
      <c r="E414" s="28"/>
      <c r="F414" s="28"/>
      <c r="G414" s="28"/>
      <c r="H414" s="28"/>
      <c r="I414" s="28"/>
      <c r="J414" s="28" t="s">
        <v>492</v>
      </c>
      <c r="K414" s="28">
        <v>4980</v>
      </c>
      <c r="L414" s="28" t="s">
        <v>489</v>
      </c>
      <c r="M414" s="28"/>
      <c r="N414" s="28"/>
    </row>
    <row r="415" spans="1:14" s="27" customFormat="1" ht="12.75">
      <c r="A415" s="29"/>
      <c r="B415" s="29"/>
      <c r="C415" s="29"/>
      <c r="D415" s="29"/>
      <c r="E415" s="28"/>
      <c r="F415" s="28"/>
      <c r="G415" s="28"/>
      <c r="H415" s="28"/>
      <c r="I415" s="28"/>
      <c r="J415" s="28" t="s">
        <v>492</v>
      </c>
      <c r="K415" s="28">
        <v>-30000</v>
      </c>
      <c r="L415" s="28" t="s">
        <v>490</v>
      </c>
      <c r="M415" s="28"/>
      <c r="N415" s="28"/>
    </row>
    <row r="416" spans="1:14" s="27" customFormat="1" ht="12.75">
      <c r="A416" s="29"/>
      <c r="B416" s="29"/>
      <c r="C416" s="29"/>
      <c r="D416" s="29"/>
      <c r="E416" s="28"/>
      <c r="F416" s="28"/>
      <c r="G416" s="28"/>
      <c r="H416" s="28"/>
      <c r="I416" s="28"/>
      <c r="J416" s="28" t="s">
        <v>493</v>
      </c>
      <c r="K416" s="28">
        <v>30000</v>
      </c>
      <c r="L416" s="28" t="s">
        <v>491</v>
      </c>
      <c r="M416" s="28"/>
      <c r="N416" s="28"/>
    </row>
    <row r="417" spans="1:14" s="27" customFormat="1" ht="12.75">
      <c r="A417" s="29"/>
      <c r="B417" s="29"/>
      <c r="C417" s="29"/>
      <c r="D417" s="29"/>
      <c r="E417" s="28"/>
      <c r="F417" s="28"/>
      <c r="G417" s="28"/>
      <c r="H417" s="28"/>
      <c r="I417" s="28"/>
      <c r="J417" s="28" t="s">
        <v>494</v>
      </c>
      <c r="K417" s="28">
        <v>-11000</v>
      </c>
      <c r="L417" s="28" t="s">
        <v>500</v>
      </c>
      <c r="M417" s="28"/>
      <c r="N417" s="28"/>
    </row>
    <row r="418" spans="1:14" s="27" customFormat="1" ht="12.75">
      <c r="A418" s="29"/>
      <c r="B418" s="29"/>
      <c r="C418" s="29"/>
      <c r="D418" s="29"/>
      <c r="E418" s="28"/>
      <c r="F418" s="28"/>
      <c r="G418" s="28"/>
      <c r="H418" s="28"/>
      <c r="I418" s="28"/>
      <c r="J418" s="28" t="s">
        <v>510</v>
      </c>
      <c r="K418" s="28">
        <v>-18900</v>
      </c>
      <c r="L418" s="28"/>
      <c r="M418" s="28"/>
      <c r="N418" s="28"/>
    </row>
    <row r="419" spans="1:14" s="27" customFormat="1" ht="12.75">
      <c r="A419" s="29"/>
      <c r="B419" s="29"/>
      <c r="C419" s="29"/>
      <c r="D419" s="29"/>
      <c r="E419" s="28"/>
      <c r="F419" s="28"/>
      <c r="G419" s="28"/>
      <c r="H419" s="28"/>
      <c r="I419" s="28"/>
      <c r="J419" s="28" t="s">
        <v>495</v>
      </c>
      <c r="K419" s="28">
        <v>11551</v>
      </c>
      <c r="L419" s="28" t="s">
        <v>488</v>
      </c>
      <c r="M419" s="28"/>
      <c r="N419" s="28"/>
    </row>
    <row r="420" spans="1:14" s="27" customFormat="1" ht="12.75">
      <c r="A420" s="29"/>
      <c r="B420" s="29"/>
      <c r="C420" s="29"/>
      <c r="D420" s="29"/>
      <c r="E420" s="28"/>
      <c r="F420" s="28"/>
      <c r="G420" s="28"/>
      <c r="H420" s="28"/>
      <c r="I420" s="28"/>
      <c r="J420" s="28" t="s">
        <v>494</v>
      </c>
      <c r="K420" s="28">
        <v>10089</v>
      </c>
      <c r="L420" s="28" t="s">
        <v>511</v>
      </c>
      <c r="M420" s="28"/>
      <c r="N420" s="28"/>
    </row>
    <row r="421" spans="1:14" s="27" customFormat="1" ht="12.75">
      <c r="A421" s="29"/>
      <c r="B421" s="29"/>
      <c r="C421" s="29"/>
      <c r="D421" s="29"/>
      <c r="E421" s="28"/>
      <c r="F421" s="28"/>
      <c r="G421" s="28"/>
      <c r="H421" s="28"/>
      <c r="I421" s="28"/>
      <c r="J421" s="148" t="s">
        <v>494</v>
      </c>
      <c r="K421" s="28">
        <v>1900</v>
      </c>
      <c r="L421" s="28" t="s">
        <v>512</v>
      </c>
      <c r="M421" s="28"/>
      <c r="N421" s="28"/>
    </row>
    <row r="422" spans="1:14" s="27" customFormat="1" ht="12.75">
      <c r="A422" s="29"/>
      <c r="B422" s="29"/>
      <c r="C422" s="29"/>
      <c r="D422" s="29"/>
      <c r="E422" s="28"/>
      <c r="F422" s="28"/>
      <c r="G422" s="28"/>
      <c r="H422" s="28"/>
      <c r="I422" s="28"/>
      <c r="J422" s="148"/>
      <c r="K422" s="28">
        <v>6360</v>
      </c>
      <c r="L422" s="28" t="s">
        <v>513</v>
      </c>
      <c r="M422" s="28"/>
      <c r="N422" s="28"/>
    </row>
    <row r="423" spans="1:14" s="27" customFormat="1" ht="12.75">
      <c r="A423" s="29"/>
      <c r="B423" s="29"/>
      <c r="C423" s="29"/>
      <c r="D423" s="29"/>
      <c r="E423" s="28"/>
      <c r="F423" s="28"/>
      <c r="G423" s="28"/>
      <c r="H423" s="28"/>
      <c r="I423" s="28"/>
      <c r="J423" s="148"/>
      <c r="K423" s="28">
        <v>-4978</v>
      </c>
      <c r="L423" s="28" t="s">
        <v>516</v>
      </c>
      <c r="M423" s="28"/>
      <c r="N423" s="28"/>
    </row>
    <row r="424" spans="1:14" s="27" customFormat="1" ht="12.75">
      <c r="A424" s="29"/>
      <c r="B424" s="29"/>
      <c r="C424" s="29"/>
      <c r="D424" s="29"/>
      <c r="E424" s="28"/>
      <c r="F424" s="28"/>
      <c r="G424" s="28"/>
      <c r="H424" s="28"/>
      <c r="I424" s="28"/>
      <c r="J424" s="148"/>
      <c r="K424" s="28">
        <v>1978</v>
      </c>
      <c r="L424" s="28" t="s">
        <v>517</v>
      </c>
      <c r="M424" s="28"/>
      <c r="N424" s="28"/>
    </row>
    <row r="425" spans="1:14" s="27" customFormat="1" ht="12.75">
      <c r="A425" s="29"/>
      <c r="B425" s="29"/>
      <c r="C425" s="29"/>
      <c r="D425" s="29"/>
      <c r="E425" s="28"/>
      <c r="F425" s="28"/>
      <c r="G425" s="28"/>
      <c r="H425" s="28"/>
      <c r="I425" s="28"/>
      <c r="J425" s="148"/>
      <c r="K425" s="28">
        <v>3000</v>
      </c>
      <c r="L425" s="28" t="s">
        <v>518</v>
      </c>
      <c r="M425" s="28"/>
      <c r="N425" s="28"/>
    </row>
    <row r="426" spans="1:14" s="27" customFormat="1" ht="12.75">
      <c r="A426" s="29"/>
      <c r="B426" s="29"/>
      <c r="C426" s="29"/>
      <c r="D426" s="29"/>
      <c r="E426" s="28"/>
      <c r="F426" s="28"/>
      <c r="G426" s="28"/>
      <c r="H426" s="28"/>
      <c r="I426" s="28"/>
      <c r="J426" s="148"/>
      <c r="K426" s="28">
        <v>6218</v>
      </c>
      <c r="L426" s="28" t="s">
        <v>514</v>
      </c>
      <c r="M426" s="28"/>
      <c r="N426" s="28"/>
    </row>
    <row r="427" spans="1:14" s="27" customFormat="1" ht="12.75">
      <c r="A427" s="29"/>
      <c r="B427" s="29"/>
      <c r="C427" s="29"/>
      <c r="D427" s="29"/>
      <c r="E427" s="28"/>
      <c r="F427" s="28"/>
      <c r="G427" s="28"/>
      <c r="H427" s="28"/>
      <c r="I427" s="28"/>
      <c r="J427" s="148"/>
      <c r="K427" s="28">
        <v>11277</v>
      </c>
      <c r="L427" s="28" t="s">
        <v>515</v>
      </c>
      <c r="M427" s="28"/>
      <c r="N427" s="28"/>
    </row>
    <row r="428" spans="1:14" s="27" customFormat="1" ht="12.75">
      <c r="A428" s="29"/>
      <c r="B428" s="29"/>
      <c r="C428" s="29"/>
      <c r="D428" s="29"/>
      <c r="E428" s="28"/>
      <c r="F428" s="28"/>
      <c r="G428" s="28"/>
      <c r="H428" s="28"/>
      <c r="I428" s="28"/>
      <c r="J428" s="148"/>
      <c r="K428" s="28">
        <v>252197</v>
      </c>
      <c r="L428" s="28"/>
      <c r="M428" s="28"/>
      <c r="N428" s="28"/>
    </row>
    <row r="429" spans="1:14" s="27" customFormat="1" ht="12.75">
      <c r="A429" s="29"/>
      <c r="B429" s="29"/>
      <c r="C429" s="29"/>
      <c r="D429" s="29"/>
      <c r="E429" s="28"/>
      <c r="F429" s="28"/>
      <c r="G429" s="28"/>
      <c r="H429" s="28"/>
      <c r="I429" s="28"/>
      <c r="J429" s="148"/>
      <c r="K429" s="28">
        <v>500000</v>
      </c>
      <c r="L429" s="28"/>
      <c r="M429" s="28"/>
      <c r="N429" s="28"/>
    </row>
    <row r="430" spans="1:14" s="27" customFormat="1" ht="12.75">
      <c r="A430" s="29"/>
      <c r="B430" s="29"/>
      <c r="C430" s="29"/>
      <c r="D430" s="29"/>
      <c r="E430" s="28"/>
      <c r="F430" s="28"/>
      <c r="G430" s="28"/>
      <c r="H430" s="28"/>
      <c r="I430" s="28"/>
      <c r="J430" s="148"/>
      <c r="K430" s="28">
        <v>11000</v>
      </c>
      <c r="L430" s="28"/>
      <c r="M430" s="28"/>
      <c r="N430" s="28"/>
    </row>
    <row r="431" spans="1:14" s="27" customFormat="1" ht="12.75">
      <c r="A431" s="29"/>
      <c r="B431" s="29"/>
      <c r="C431" s="29"/>
      <c r="D431" s="29"/>
      <c r="E431" s="28"/>
      <c r="F431" s="28"/>
      <c r="G431" s="28"/>
      <c r="H431" s="28"/>
      <c r="I431" s="28"/>
      <c r="J431" s="28"/>
      <c r="K431" s="148">
        <f>SUM(K409:K430)</f>
        <v>908807</v>
      </c>
      <c r="L431" s="28"/>
      <c r="M431" s="28"/>
      <c r="N431" s="28"/>
    </row>
    <row r="432" spans="1:14" s="27" customFormat="1" ht="12.75">
      <c r="A432" s="29"/>
      <c r="B432" s="29"/>
      <c r="C432" s="29"/>
      <c r="D432" s="29"/>
      <c r="E432" s="28"/>
      <c r="F432" s="28"/>
      <c r="G432" s="28"/>
      <c r="H432" s="28"/>
      <c r="I432" s="28"/>
      <c r="J432" s="28"/>
      <c r="K432" s="28"/>
      <c r="L432" s="28"/>
      <c r="M432" s="28"/>
      <c r="N432" s="28"/>
    </row>
    <row r="433" spans="1:14" s="27" customFormat="1" ht="12.75">
      <c r="A433" s="29"/>
      <c r="B433" s="29"/>
      <c r="C433" s="29"/>
      <c r="D433" s="29"/>
      <c r="E433" s="28"/>
      <c r="F433" s="28"/>
      <c r="G433" s="28"/>
      <c r="H433" s="28"/>
      <c r="I433" s="28"/>
      <c r="J433" s="28"/>
      <c r="K433" s="28"/>
      <c r="L433" s="28"/>
      <c r="M433" s="28"/>
      <c r="N433" s="28"/>
    </row>
    <row r="434" spans="1:14" s="27" customFormat="1" ht="12.75">
      <c r="A434" s="29"/>
      <c r="B434" s="29"/>
      <c r="C434" s="29"/>
      <c r="D434" s="29"/>
      <c r="E434" s="28"/>
      <c r="F434" s="28"/>
      <c r="G434" s="28"/>
      <c r="H434" s="28"/>
      <c r="I434" s="28"/>
      <c r="J434" s="28"/>
      <c r="K434" s="28"/>
      <c r="L434" s="28"/>
      <c r="M434" s="28"/>
      <c r="N434" s="28"/>
    </row>
    <row r="435" spans="1:14" s="27" customFormat="1" ht="12.75">
      <c r="A435" s="29"/>
      <c r="B435" s="29"/>
      <c r="C435" s="29"/>
      <c r="D435" s="29"/>
      <c r="E435" s="28"/>
      <c r="F435" s="28"/>
      <c r="G435" s="28"/>
      <c r="H435" s="28"/>
      <c r="I435" s="28"/>
      <c r="J435" s="28"/>
      <c r="K435" s="28"/>
      <c r="L435" s="28"/>
      <c r="M435" s="28"/>
      <c r="N435" s="28"/>
    </row>
    <row r="436" spans="1:14" s="27" customFormat="1" ht="12.75">
      <c r="A436" s="29"/>
      <c r="B436" s="29"/>
      <c r="C436" s="29"/>
      <c r="D436" s="29"/>
      <c r="E436" s="28"/>
      <c r="F436" s="28"/>
      <c r="G436" s="28"/>
      <c r="H436" s="28"/>
      <c r="I436" s="28"/>
      <c r="J436" s="28"/>
      <c r="K436" s="28"/>
      <c r="L436" s="28"/>
      <c r="M436" s="28"/>
      <c r="N436" s="28"/>
    </row>
    <row r="437" spans="1:14" s="27" customFormat="1" ht="12.75">
      <c r="A437" s="29"/>
      <c r="B437" s="29"/>
      <c r="C437" s="29"/>
      <c r="D437" s="29"/>
      <c r="E437" s="28"/>
      <c r="F437" s="28"/>
      <c r="G437" s="28"/>
      <c r="H437" s="28"/>
      <c r="I437" s="148"/>
      <c r="J437" s="28"/>
      <c r="K437" s="148"/>
      <c r="L437" s="28"/>
      <c r="M437" s="148"/>
      <c r="N437" s="28"/>
    </row>
    <row r="438" spans="1:14" s="27" customFormat="1" ht="12.75">
      <c r="A438" s="29"/>
      <c r="B438" s="29"/>
      <c r="C438" s="29"/>
      <c r="D438" s="29"/>
      <c r="E438" s="28"/>
      <c r="F438" s="28"/>
      <c r="G438" s="28"/>
      <c r="H438" s="28"/>
      <c r="I438" s="28"/>
      <c r="J438" s="28"/>
      <c r="K438" s="28"/>
      <c r="L438" s="28"/>
      <c r="M438" s="28"/>
      <c r="N438" s="28"/>
    </row>
    <row r="439" spans="1:14" s="27" customFormat="1" ht="12.75">
      <c r="A439" s="29"/>
      <c r="B439" s="29"/>
      <c r="C439" s="29"/>
      <c r="D439" s="29"/>
      <c r="E439" s="28"/>
      <c r="F439" s="28"/>
      <c r="G439" s="28"/>
      <c r="H439" s="28"/>
      <c r="I439" s="28"/>
      <c r="J439" s="28"/>
      <c r="K439" s="28"/>
      <c r="L439" s="28"/>
      <c r="M439" s="28"/>
      <c r="N439" s="28"/>
    </row>
    <row r="440" spans="1:14" s="27" customFormat="1" ht="12.75">
      <c r="A440" s="29"/>
      <c r="B440" s="29"/>
      <c r="C440" s="29"/>
      <c r="D440" s="29"/>
      <c r="E440" s="28"/>
      <c r="F440" s="28"/>
      <c r="G440" s="28"/>
      <c r="H440" s="28"/>
      <c r="I440" s="28"/>
      <c r="J440" s="28"/>
      <c r="K440" s="28"/>
      <c r="L440" s="28"/>
      <c r="M440" s="28"/>
      <c r="N440" s="28"/>
    </row>
    <row r="441" spans="1:12" s="27" customFormat="1" ht="12.75">
      <c r="A441" s="29"/>
      <c r="B441" s="29"/>
      <c r="C441" s="29"/>
      <c r="D441" s="29"/>
      <c r="E441" s="28"/>
      <c r="F441" s="28"/>
      <c r="G441" s="28"/>
      <c r="H441" s="28"/>
      <c r="I441" s="28"/>
      <c r="J441" s="28"/>
      <c r="K441" s="28"/>
      <c r="L441" s="28"/>
    </row>
    <row r="442" spans="1:12" s="27" customFormat="1" ht="12.75">
      <c r="A442" s="29"/>
      <c r="B442" s="29"/>
      <c r="C442" s="29"/>
      <c r="D442" s="29"/>
      <c r="E442" s="28"/>
      <c r="F442" s="28"/>
      <c r="G442" s="28"/>
      <c r="H442" s="28"/>
      <c r="I442" s="28"/>
      <c r="J442" s="28"/>
      <c r="K442" s="28"/>
      <c r="L442" s="28"/>
    </row>
    <row r="443" spans="1:12" s="27" customFormat="1" ht="12.75">
      <c r="A443" s="29"/>
      <c r="B443" s="29"/>
      <c r="C443" s="29"/>
      <c r="D443" s="29"/>
      <c r="E443" s="28"/>
      <c r="F443" s="28"/>
      <c r="G443" s="28"/>
      <c r="H443" s="28"/>
      <c r="I443" s="28"/>
      <c r="J443" s="28"/>
      <c r="K443" s="28"/>
      <c r="L443" s="28"/>
    </row>
    <row r="444" spans="1:12" s="27" customFormat="1" ht="12.75">
      <c r="A444" s="29"/>
      <c r="B444" s="29"/>
      <c r="C444" s="29"/>
      <c r="D444" s="29"/>
      <c r="E444" s="28"/>
      <c r="F444" s="28"/>
      <c r="G444" s="28"/>
      <c r="H444" s="28"/>
      <c r="I444" s="28"/>
      <c r="J444" s="28"/>
      <c r="K444" s="28"/>
      <c r="L444" s="28"/>
    </row>
    <row r="445" spans="1:12" s="27" customFormat="1" ht="12.75">
      <c r="A445" s="29"/>
      <c r="B445" s="29"/>
      <c r="C445" s="29"/>
      <c r="D445" s="29"/>
      <c r="E445" s="28"/>
      <c r="F445" s="28"/>
      <c r="G445" s="28"/>
      <c r="H445" s="28"/>
      <c r="I445" s="28"/>
      <c r="J445" s="28"/>
      <c r="K445" s="28"/>
      <c r="L445" s="28"/>
    </row>
    <row r="446" spans="1:12" s="27" customFormat="1" ht="12.75">
      <c r="A446" s="29"/>
      <c r="B446" s="29"/>
      <c r="C446" s="29"/>
      <c r="D446" s="29"/>
      <c r="E446" s="28"/>
      <c r="F446" s="28"/>
      <c r="G446" s="28"/>
      <c r="H446" s="28"/>
      <c r="I446" s="28"/>
      <c r="J446" s="28"/>
      <c r="K446" s="28"/>
      <c r="L446" s="28"/>
    </row>
    <row r="447" spans="1:12" s="27" customFormat="1" ht="12.75">
      <c r="A447" s="29"/>
      <c r="B447" s="29"/>
      <c r="C447" s="29"/>
      <c r="D447" s="29"/>
      <c r="E447" s="148"/>
      <c r="F447" s="148"/>
      <c r="G447" s="148"/>
      <c r="H447" s="148"/>
      <c r="I447" s="148"/>
      <c r="J447" s="148"/>
      <c r="K447" s="148"/>
      <c r="L447" s="148"/>
    </row>
    <row r="448" spans="1:12" s="27" customFormat="1" ht="12.75">
      <c r="A448" s="29"/>
      <c r="B448" s="29"/>
      <c r="C448" s="29"/>
      <c r="D448" s="29"/>
      <c r="E448" s="28"/>
      <c r="F448" s="28"/>
      <c r="G448" s="28"/>
      <c r="H448" s="28"/>
      <c r="I448" s="28"/>
      <c r="J448" s="28"/>
      <c r="K448" s="28"/>
      <c r="L448" s="28"/>
    </row>
    <row r="449" spans="1:12" s="27" customFormat="1" ht="12.75">
      <c r="A449" s="29"/>
      <c r="B449" s="29"/>
      <c r="C449" s="29"/>
      <c r="D449" s="29"/>
      <c r="E449" s="28"/>
      <c r="F449" s="28"/>
      <c r="G449" s="28"/>
      <c r="H449" s="28"/>
      <c r="I449" s="28"/>
      <c r="J449" s="28"/>
      <c r="K449" s="28"/>
      <c r="L449" s="28"/>
    </row>
    <row r="450" spans="1:12" s="27" customFormat="1" ht="12.75">
      <c r="A450" s="29"/>
      <c r="B450" s="29"/>
      <c r="C450" s="29"/>
      <c r="D450" s="29"/>
      <c r="E450" s="28"/>
      <c r="F450" s="28"/>
      <c r="G450" s="28"/>
      <c r="H450" s="28"/>
      <c r="I450" s="28"/>
      <c r="J450" s="28"/>
      <c r="K450" s="28"/>
      <c r="L450" s="28"/>
    </row>
    <row r="451" spans="1:12" s="27" customFormat="1" ht="12.75">
      <c r="A451" s="29"/>
      <c r="B451" s="29"/>
      <c r="C451" s="29"/>
      <c r="D451" s="29"/>
      <c r="E451" s="28"/>
      <c r="F451" s="28"/>
      <c r="G451" s="28"/>
      <c r="H451" s="28"/>
      <c r="I451" s="28"/>
      <c r="J451" s="28"/>
      <c r="K451" s="28"/>
      <c r="L451" s="28"/>
    </row>
    <row r="452" spans="1:12" s="27" customFormat="1" ht="12.75">
      <c r="A452" s="29"/>
      <c r="B452" s="29"/>
      <c r="C452" s="29"/>
      <c r="D452" s="29"/>
      <c r="E452" s="28"/>
      <c r="F452" s="28"/>
      <c r="G452" s="28"/>
      <c r="H452" s="28"/>
      <c r="I452" s="28"/>
      <c r="J452" s="28"/>
      <c r="K452" s="28"/>
      <c r="L452" s="28"/>
    </row>
    <row r="453" spans="1:12" s="27" customFormat="1" ht="12.75">
      <c r="A453" s="29"/>
      <c r="B453" s="29"/>
      <c r="C453" s="29"/>
      <c r="D453" s="29"/>
      <c r="E453" s="28"/>
      <c r="F453" s="28"/>
      <c r="G453" s="28"/>
      <c r="H453" s="28"/>
      <c r="I453" s="28"/>
      <c r="J453" s="28"/>
      <c r="K453" s="28"/>
      <c r="L453" s="28"/>
    </row>
    <row r="454" spans="1:12" s="27" customFormat="1" ht="12.75">
      <c r="A454" s="29"/>
      <c r="B454" s="29"/>
      <c r="C454" s="29"/>
      <c r="D454" s="29"/>
      <c r="E454" s="28"/>
      <c r="F454" s="28"/>
      <c r="G454" s="28"/>
      <c r="H454" s="28"/>
      <c r="I454" s="28"/>
      <c r="J454" s="28"/>
      <c r="K454" s="28"/>
      <c r="L454" s="28"/>
    </row>
    <row r="455" spans="1:12" s="27" customFormat="1" ht="12.75">
      <c r="A455" s="29"/>
      <c r="B455" s="29"/>
      <c r="C455" s="29"/>
      <c r="D455" s="29"/>
      <c r="E455" s="28"/>
      <c r="F455" s="28"/>
      <c r="G455" s="28"/>
      <c r="H455" s="28"/>
      <c r="I455" s="28"/>
      <c r="J455" s="28"/>
      <c r="K455" s="28"/>
      <c r="L455" s="28"/>
    </row>
    <row r="456" spans="1:12" s="27" customFormat="1" ht="12.75">
      <c r="A456" s="29"/>
      <c r="B456" s="29"/>
      <c r="C456" s="29"/>
      <c r="D456" s="29"/>
      <c r="E456" s="28"/>
      <c r="F456" s="28"/>
      <c r="G456" s="28"/>
      <c r="H456" s="28"/>
      <c r="I456" s="28"/>
      <c r="J456" s="28"/>
      <c r="K456" s="28"/>
      <c r="L456" s="28"/>
    </row>
    <row r="457" spans="1:12" s="27" customFormat="1" ht="12.75">
      <c r="A457" s="29"/>
      <c r="B457" s="29"/>
      <c r="C457" s="29"/>
      <c r="D457" s="29"/>
      <c r="E457" s="28"/>
      <c r="F457" s="28"/>
      <c r="G457" s="28"/>
      <c r="H457" s="28"/>
      <c r="I457" s="28"/>
      <c r="J457" s="28"/>
      <c r="K457" s="28"/>
      <c r="L457" s="28"/>
    </row>
    <row r="458" spans="1:12" s="27" customFormat="1" ht="12.75">
      <c r="A458" s="29"/>
      <c r="B458" s="29"/>
      <c r="C458" s="29"/>
      <c r="D458" s="29"/>
      <c r="E458" s="28"/>
      <c r="F458" s="28"/>
      <c r="G458" s="28"/>
      <c r="H458" s="28"/>
      <c r="I458" s="28"/>
      <c r="J458" s="28"/>
      <c r="K458" s="28"/>
      <c r="L458" s="28"/>
    </row>
    <row r="459" spans="1:12" s="27" customFormat="1" ht="12.75">
      <c r="A459" s="29"/>
      <c r="B459" s="29"/>
      <c r="C459" s="29"/>
      <c r="D459" s="29"/>
      <c r="E459" s="28"/>
      <c r="F459" s="28"/>
      <c r="G459" s="28"/>
      <c r="H459" s="28"/>
      <c r="I459" s="28"/>
      <c r="J459" s="28"/>
      <c r="K459" s="28"/>
      <c r="L459" s="28"/>
    </row>
    <row r="460" spans="1:12" s="27" customFormat="1" ht="12.75">
      <c r="A460" s="29"/>
      <c r="B460" s="29"/>
      <c r="C460" s="29"/>
      <c r="D460" s="29"/>
      <c r="E460" s="28"/>
      <c r="F460" s="28"/>
      <c r="G460" s="28"/>
      <c r="H460" s="28"/>
      <c r="I460" s="28"/>
      <c r="J460" s="28"/>
      <c r="K460" s="28"/>
      <c r="L460" s="28"/>
    </row>
    <row r="461" spans="1:12" s="27" customFormat="1" ht="12.75">
      <c r="A461" s="29"/>
      <c r="B461" s="29"/>
      <c r="C461" s="29"/>
      <c r="D461" s="29"/>
      <c r="E461" s="28"/>
      <c r="F461" s="28"/>
      <c r="G461" s="28"/>
      <c r="H461" s="28"/>
      <c r="I461" s="28"/>
      <c r="J461" s="28"/>
      <c r="K461" s="28"/>
      <c r="L461" s="28"/>
    </row>
    <row r="462" spans="1:12" s="27" customFormat="1" ht="12.75">
      <c r="A462" s="29"/>
      <c r="B462" s="29"/>
      <c r="C462" s="29"/>
      <c r="D462" s="29"/>
      <c r="E462" s="28"/>
      <c r="F462" s="28"/>
      <c r="G462" s="28"/>
      <c r="H462" s="28"/>
      <c r="I462" s="28"/>
      <c r="J462" s="28"/>
      <c r="K462" s="28"/>
      <c r="L462" s="28"/>
    </row>
    <row r="463" spans="1:12" s="27" customFormat="1" ht="12.75">
      <c r="A463" s="29"/>
      <c r="B463" s="29"/>
      <c r="C463" s="29"/>
      <c r="D463" s="29"/>
      <c r="E463" s="28"/>
      <c r="F463" s="28"/>
      <c r="G463" s="28"/>
      <c r="H463" s="28"/>
      <c r="I463" s="28"/>
      <c r="J463" s="28"/>
      <c r="K463" s="28"/>
      <c r="L463" s="28"/>
    </row>
    <row r="464" spans="1:12" s="27" customFormat="1" ht="12.75">
      <c r="A464" s="29"/>
      <c r="B464" s="29"/>
      <c r="C464" s="29"/>
      <c r="D464" s="29"/>
      <c r="E464" s="28"/>
      <c r="F464" s="28"/>
      <c r="G464" s="28"/>
      <c r="H464" s="28"/>
      <c r="I464" s="28"/>
      <c r="J464" s="28"/>
      <c r="K464" s="28"/>
      <c r="L464" s="28"/>
    </row>
    <row r="465" spans="1:12" s="27" customFormat="1" ht="12.75">
      <c r="A465" s="29"/>
      <c r="B465" s="29"/>
      <c r="C465" s="29"/>
      <c r="D465" s="29"/>
      <c r="E465" s="28"/>
      <c r="F465" s="28"/>
      <c r="G465" s="28"/>
      <c r="H465" s="28"/>
      <c r="I465" s="28"/>
      <c r="J465" s="28"/>
      <c r="K465" s="28"/>
      <c r="L465" s="28"/>
    </row>
    <row r="466" spans="1:12" s="27" customFormat="1" ht="12.75">
      <c r="A466" s="29"/>
      <c r="B466" s="29"/>
      <c r="C466" s="29"/>
      <c r="D466" s="29"/>
      <c r="E466" s="28"/>
      <c r="F466" s="28"/>
      <c r="G466" s="28"/>
      <c r="H466" s="28"/>
      <c r="I466" s="28"/>
      <c r="J466" s="28"/>
      <c r="K466" s="28"/>
      <c r="L466" s="28"/>
    </row>
    <row r="467" spans="1:12" s="27" customFormat="1" ht="12.75">
      <c r="A467" s="29"/>
      <c r="B467" s="29"/>
      <c r="C467" s="29"/>
      <c r="D467" s="29"/>
      <c r="E467" s="28"/>
      <c r="F467" s="28"/>
      <c r="G467" s="28"/>
      <c r="H467" s="28"/>
      <c r="I467" s="28"/>
      <c r="J467" s="28"/>
      <c r="K467" s="28"/>
      <c r="L467" s="28"/>
    </row>
    <row r="468" spans="1:12" s="27" customFormat="1" ht="12.75">
      <c r="A468" s="29"/>
      <c r="B468" s="29"/>
      <c r="C468" s="29"/>
      <c r="D468" s="29"/>
      <c r="E468" s="28"/>
      <c r="F468" s="28"/>
      <c r="G468" s="28"/>
      <c r="H468" s="28"/>
      <c r="I468" s="28"/>
      <c r="J468" s="28"/>
      <c r="K468" s="28"/>
      <c r="L468" s="28"/>
    </row>
    <row r="469" spans="1:12" s="27" customFormat="1" ht="12.75">
      <c r="A469" s="29"/>
      <c r="B469" s="29"/>
      <c r="C469" s="29"/>
      <c r="D469" s="29"/>
      <c r="E469" s="28"/>
      <c r="F469" s="28"/>
      <c r="G469" s="28"/>
      <c r="H469" s="28"/>
      <c r="I469" s="28"/>
      <c r="J469" s="28"/>
      <c r="K469" s="28"/>
      <c r="L469" s="28"/>
    </row>
    <row r="470" spans="1:12" s="27" customFormat="1" ht="12.75">
      <c r="A470" s="29"/>
      <c r="B470" s="29"/>
      <c r="C470" s="29"/>
      <c r="D470" s="29"/>
      <c r="E470" s="28"/>
      <c r="F470" s="28"/>
      <c r="G470" s="28"/>
      <c r="H470" s="28"/>
      <c r="I470" s="28"/>
      <c r="J470" s="28"/>
      <c r="K470" s="28"/>
      <c r="L470" s="28"/>
    </row>
    <row r="471" spans="1:12" s="27" customFormat="1" ht="12.75">
      <c r="A471" s="29"/>
      <c r="B471" s="29"/>
      <c r="C471" s="29"/>
      <c r="D471" s="29"/>
      <c r="E471" s="28"/>
      <c r="F471" s="28"/>
      <c r="G471" s="28"/>
      <c r="H471" s="28"/>
      <c r="I471" s="28"/>
      <c r="J471" s="28"/>
      <c r="K471" s="28"/>
      <c r="L471" s="28"/>
    </row>
    <row r="472" spans="1:12" s="27" customFormat="1" ht="12.75">
      <c r="A472" s="29"/>
      <c r="B472" s="29"/>
      <c r="C472" s="29"/>
      <c r="D472" s="29"/>
      <c r="E472" s="28"/>
      <c r="F472" s="28"/>
      <c r="G472" s="28"/>
      <c r="H472" s="28"/>
      <c r="I472" s="28"/>
      <c r="J472" s="28"/>
      <c r="K472" s="28"/>
      <c r="L472" s="28"/>
    </row>
    <row r="473" spans="1:12" s="27" customFormat="1" ht="12.75">
      <c r="A473" s="29"/>
      <c r="B473" s="29"/>
      <c r="C473" s="29"/>
      <c r="D473" s="29"/>
      <c r="E473" s="28"/>
      <c r="F473" s="28"/>
      <c r="G473" s="28"/>
      <c r="H473" s="28"/>
      <c r="I473" s="28"/>
      <c r="J473" s="28"/>
      <c r="K473" s="28"/>
      <c r="L473" s="28"/>
    </row>
    <row r="474" spans="1:12" s="27" customFormat="1" ht="12.75">
      <c r="A474" s="29"/>
      <c r="B474" s="29"/>
      <c r="C474" s="29"/>
      <c r="D474" s="29"/>
      <c r="E474" s="28"/>
      <c r="F474" s="28"/>
      <c r="G474" s="28"/>
      <c r="H474" s="28"/>
      <c r="I474" s="28"/>
      <c r="J474" s="28"/>
      <c r="K474" s="28"/>
      <c r="L474" s="28"/>
    </row>
    <row r="475" spans="1:12" s="27" customFormat="1" ht="12.75">
      <c r="A475" s="29"/>
      <c r="B475" s="29"/>
      <c r="C475" s="29"/>
      <c r="D475" s="29"/>
      <c r="E475" s="28"/>
      <c r="F475" s="28"/>
      <c r="G475" s="28"/>
      <c r="H475" s="28"/>
      <c r="I475" s="28"/>
      <c r="J475" s="28"/>
      <c r="K475" s="28"/>
      <c r="L475" s="28"/>
    </row>
    <row r="476" spans="1:12" s="27" customFormat="1" ht="12.75">
      <c r="A476" s="29"/>
      <c r="B476" s="29"/>
      <c r="C476" s="29"/>
      <c r="D476" s="29"/>
      <c r="E476" s="28"/>
      <c r="F476" s="28"/>
      <c r="G476" s="28"/>
      <c r="H476" s="28"/>
      <c r="I476" s="28"/>
      <c r="J476" s="28"/>
      <c r="K476" s="28"/>
      <c r="L476" s="28"/>
    </row>
    <row r="477" spans="1:12" s="27" customFormat="1" ht="12.75">
      <c r="A477" s="29"/>
      <c r="B477" s="29"/>
      <c r="C477" s="29"/>
      <c r="D477" s="29"/>
      <c r="E477" s="28"/>
      <c r="F477" s="28"/>
      <c r="G477" s="28"/>
      <c r="H477" s="28"/>
      <c r="I477" s="28"/>
      <c r="J477" s="28"/>
      <c r="K477" s="28"/>
      <c r="L477" s="28"/>
    </row>
    <row r="478" spans="1:12" s="27" customFormat="1" ht="12.75">
      <c r="A478" s="29"/>
      <c r="B478" s="29"/>
      <c r="C478" s="29"/>
      <c r="D478" s="29"/>
      <c r="E478" s="28"/>
      <c r="F478" s="28"/>
      <c r="G478" s="28"/>
      <c r="H478" s="28"/>
      <c r="I478" s="28"/>
      <c r="J478" s="28"/>
      <c r="K478" s="28"/>
      <c r="L478" s="28"/>
    </row>
    <row r="479" spans="1:12" s="27" customFormat="1" ht="12.75">
      <c r="A479" s="29"/>
      <c r="B479" s="29"/>
      <c r="C479" s="29"/>
      <c r="D479" s="29"/>
      <c r="E479" s="28"/>
      <c r="F479" s="28"/>
      <c r="G479" s="28"/>
      <c r="H479" s="28"/>
      <c r="I479" s="28"/>
      <c r="J479" s="28"/>
      <c r="K479" s="28"/>
      <c r="L479" s="28"/>
    </row>
    <row r="480" spans="1:12" s="27" customFormat="1" ht="12.75">
      <c r="A480" s="29"/>
      <c r="B480" s="29"/>
      <c r="C480" s="29"/>
      <c r="D480" s="29"/>
      <c r="E480" s="28"/>
      <c r="F480" s="28"/>
      <c r="G480" s="28"/>
      <c r="H480" s="28"/>
      <c r="I480" s="28"/>
      <c r="J480" s="28"/>
      <c r="K480" s="28"/>
      <c r="L480" s="28"/>
    </row>
    <row r="481" spans="1:12" s="27" customFormat="1" ht="12.75">
      <c r="A481" s="29"/>
      <c r="B481" s="29"/>
      <c r="C481" s="29"/>
      <c r="D481" s="29"/>
      <c r="E481" s="28"/>
      <c r="F481" s="28"/>
      <c r="G481" s="28"/>
      <c r="H481" s="28"/>
      <c r="I481" s="28"/>
      <c r="J481" s="28"/>
      <c r="K481" s="28"/>
      <c r="L481" s="28"/>
    </row>
    <row r="482" spans="1:12" s="27" customFormat="1" ht="12.75">
      <c r="A482" s="29"/>
      <c r="B482" s="29"/>
      <c r="C482" s="29"/>
      <c r="D482" s="29"/>
      <c r="E482" s="28"/>
      <c r="F482" s="28"/>
      <c r="G482" s="28"/>
      <c r="H482" s="28"/>
      <c r="I482" s="28"/>
      <c r="J482" s="28"/>
      <c r="K482" s="28"/>
      <c r="L482" s="28"/>
    </row>
    <row r="483" spans="1:12" s="27" customFormat="1" ht="12.75">
      <c r="A483" s="29"/>
      <c r="B483" s="29"/>
      <c r="C483" s="29"/>
      <c r="D483" s="29"/>
      <c r="E483" s="28"/>
      <c r="F483" s="28"/>
      <c r="G483" s="28"/>
      <c r="H483" s="28"/>
      <c r="I483" s="28"/>
      <c r="J483" s="28"/>
      <c r="K483" s="28"/>
      <c r="L483" s="28"/>
    </row>
    <row r="484" spans="1:12" s="27" customFormat="1" ht="12.75">
      <c r="A484" s="29"/>
      <c r="B484" s="29"/>
      <c r="C484" s="29"/>
      <c r="D484" s="29"/>
      <c r="E484" s="28"/>
      <c r="F484" s="28"/>
      <c r="G484" s="28"/>
      <c r="H484" s="28"/>
      <c r="I484" s="28"/>
      <c r="J484" s="28"/>
      <c r="K484" s="28"/>
      <c r="L484" s="28"/>
    </row>
    <row r="485" spans="1:12" s="27" customFormat="1" ht="12.75">
      <c r="A485" s="29"/>
      <c r="B485" s="29"/>
      <c r="C485" s="29"/>
      <c r="D485" s="29"/>
      <c r="E485" s="28"/>
      <c r="F485" s="28"/>
      <c r="G485" s="28"/>
      <c r="H485" s="28"/>
      <c r="I485" s="28"/>
      <c r="J485" s="28"/>
      <c r="K485" s="28"/>
      <c r="L485" s="28"/>
    </row>
    <row r="486" spans="1:12" s="27" customFormat="1" ht="12.75">
      <c r="A486" s="29"/>
      <c r="B486" s="29"/>
      <c r="C486" s="29"/>
      <c r="D486" s="29"/>
      <c r="E486" s="28"/>
      <c r="F486" s="28"/>
      <c r="G486" s="28"/>
      <c r="H486" s="28"/>
      <c r="I486" s="28"/>
      <c r="J486" s="28"/>
      <c r="K486" s="28"/>
      <c r="L486" s="28"/>
    </row>
    <row r="487" spans="1:12" s="27" customFormat="1" ht="12.75">
      <c r="A487" s="29"/>
      <c r="B487" s="29"/>
      <c r="C487" s="29"/>
      <c r="D487" s="29"/>
      <c r="E487" s="28"/>
      <c r="F487" s="28"/>
      <c r="G487" s="28"/>
      <c r="H487" s="28"/>
      <c r="I487" s="28"/>
      <c r="J487" s="28"/>
      <c r="K487" s="28"/>
      <c r="L487" s="28"/>
    </row>
    <row r="488" spans="1:12" s="27" customFormat="1" ht="12.75">
      <c r="A488" s="29"/>
      <c r="B488" s="29"/>
      <c r="C488" s="29"/>
      <c r="D488" s="29"/>
      <c r="E488" s="28"/>
      <c r="F488" s="28"/>
      <c r="G488" s="28"/>
      <c r="H488" s="28"/>
      <c r="I488" s="28"/>
      <c r="J488" s="28"/>
      <c r="K488" s="28"/>
      <c r="L488" s="28"/>
    </row>
    <row r="489" spans="1:12" s="27" customFormat="1" ht="12.75">
      <c r="A489" s="29"/>
      <c r="B489" s="29"/>
      <c r="C489" s="29"/>
      <c r="D489" s="29"/>
      <c r="E489" s="28"/>
      <c r="F489" s="28"/>
      <c r="G489" s="28"/>
      <c r="H489" s="28"/>
      <c r="I489" s="28"/>
      <c r="J489" s="28"/>
      <c r="K489" s="28"/>
      <c r="L489" s="28"/>
    </row>
    <row r="490" spans="1:12" s="27" customFormat="1" ht="12.75">
      <c r="A490" s="29"/>
      <c r="B490" s="29"/>
      <c r="C490" s="29"/>
      <c r="D490" s="29"/>
      <c r="E490" s="28"/>
      <c r="F490" s="28"/>
      <c r="G490" s="28"/>
      <c r="H490" s="28"/>
      <c r="I490" s="28"/>
      <c r="J490" s="28"/>
      <c r="K490" s="28"/>
      <c r="L490" s="28"/>
    </row>
    <row r="491" spans="1:12" s="27" customFormat="1" ht="12.75">
      <c r="A491" s="29"/>
      <c r="B491" s="29"/>
      <c r="C491" s="29"/>
      <c r="D491" s="29"/>
      <c r="E491" s="28"/>
      <c r="F491" s="28"/>
      <c r="G491" s="28"/>
      <c r="H491" s="28"/>
      <c r="I491" s="28"/>
      <c r="J491" s="28"/>
      <c r="K491" s="28"/>
      <c r="L491" s="28"/>
    </row>
    <row r="492" spans="1:12" s="27" customFormat="1" ht="12.75">
      <c r="A492" s="29"/>
      <c r="B492" s="29"/>
      <c r="C492" s="29"/>
      <c r="D492" s="29"/>
      <c r="E492" s="28"/>
      <c r="F492" s="28"/>
      <c r="G492" s="28"/>
      <c r="H492" s="28"/>
      <c r="I492" s="28"/>
      <c r="J492" s="28"/>
      <c r="K492" s="28"/>
      <c r="L492" s="28"/>
    </row>
    <row r="493" spans="1:12" s="27" customFormat="1" ht="12.75">
      <c r="A493" s="29"/>
      <c r="B493" s="29"/>
      <c r="C493" s="29"/>
      <c r="D493" s="29"/>
      <c r="E493" s="28"/>
      <c r="F493" s="28"/>
      <c r="G493" s="28"/>
      <c r="H493" s="28"/>
      <c r="I493" s="28"/>
      <c r="J493" s="28"/>
      <c r="K493" s="28"/>
      <c r="L493" s="28"/>
    </row>
    <row r="494" spans="1:12" s="27" customFormat="1" ht="12.75">
      <c r="A494" s="29"/>
      <c r="B494" s="29"/>
      <c r="C494" s="29"/>
      <c r="D494" s="29"/>
      <c r="E494" s="28"/>
      <c r="F494" s="28"/>
      <c r="G494" s="28"/>
      <c r="H494" s="28"/>
      <c r="I494" s="28"/>
      <c r="J494" s="28"/>
      <c r="K494" s="28"/>
      <c r="L494" s="28"/>
    </row>
    <row r="495" spans="1:12" s="27" customFormat="1" ht="12.75">
      <c r="A495" s="29"/>
      <c r="B495" s="29"/>
      <c r="C495" s="29"/>
      <c r="D495" s="29"/>
      <c r="E495" s="28"/>
      <c r="F495" s="28"/>
      <c r="G495" s="28"/>
      <c r="H495" s="28"/>
      <c r="I495" s="28"/>
      <c r="J495" s="28"/>
      <c r="K495" s="28"/>
      <c r="L495" s="28"/>
    </row>
    <row r="496" spans="1:12" s="27" customFormat="1" ht="12.75">
      <c r="A496" s="29"/>
      <c r="B496" s="29"/>
      <c r="C496" s="29"/>
      <c r="D496" s="29"/>
      <c r="E496" s="28"/>
      <c r="F496" s="28"/>
      <c r="G496" s="28"/>
      <c r="H496" s="28"/>
      <c r="I496" s="28"/>
      <c r="J496" s="28"/>
      <c r="K496" s="28"/>
      <c r="L496" s="28"/>
    </row>
    <row r="497" spans="1:12" s="27" customFormat="1" ht="12.75">
      <c r="A497" s="29"/>
      <c r="B497" s="29"/>
      <c r="C497" s="29"/>
      <c r="D497" s="29"/>
      <c r="E497" s="28"/>
      <c r="F497" s="28"/>
      <c r="G497" s="28"/>
      <c r="H497" s="28"/>
      <c r="I497" s="28"/>
      <c r="J497" s="28"/>
      <c r="K497" s="28"/>
      <c r="L497" s="28"/>
    </row>
    <row r="498" spans="1:12" s="27" customFormat="1" ht="12.75">
      <c r="A498" s="29"/>
      <c r="B498" s="29"/>
      <c r="C498" s="29"/>
      <c r="D498" s="29"/>
      <c r="E498" s="28"/>
      <c r="F498" s="28"/>
      <c r="G498" s="28"/>
      <c r="H498" s="28"/>
      <c r="I498" s="28"/>
      <c r="J498" s="28"/>
      <c r="K498" s="28"/>
      <c r="L498" s="28"/>
    </row>
    <row r="499" spans="1:12" s="27" customFormat="1" ht="12.75">
      <c r="A499" s="29"/>
      <c r="B499" s="29"/>
      <c r="C499" s="29"/>
      <c r="D499" s="29"/>
      <c r="E499" s="28"/>
      <c r="F499" s="28"/>
      <c r="G499" s="28"/>
      <c r="H499" s="28"/>
      <c r="I499" s="28"/>
      <c r="J499" s="28"/>
      <c r="K499" s="28"/>
      <c r="L499" s="28"/>
    </row>
    <row r="500" spans="1:12" s="27" customFormat="1" ht="12.75">
      <c r="A500" s="29"/>
      <c r="B500" s="29"/>
      <c r="C500" s="29"/>
      <c r="D500" s="29"/>
      <c r="E500" s="28"/>
      <c r="F500" s="28"/>
      <c r="G500" s="28"/>
      <c r="H500" s="28"/>
      <c r="I500" s="28"/>
      <c r="J500" s="28"/>
      <c r="K500" s="28"/>
      <c r="L500" s="28"/>
    </row>
    <row r="501" spans="1:12" s="27" customFormat="1" ht="12.75">
      <c r="A501" s="29"/>
      <c r="B501" s="29"/>
      <c r="C501" s="29"/>
      <c r="D501" s="29"/>
      <c r="E501" s="28"/>
      <c r="F501" s="28"/>
      <c r="G501" s="28"/>
      <c r="H501" s="28"/>
      <c r="I501" s="28"/>
      <c r="J501" s="28"/>
      <c r="K501" s="28"/>
      <c r="L501" s="28"/>
    </row>
    <row r="502" spans="1:12" s="27" customFormat="1" ht="12.75">
      <c r="A502" s="29"/>
      <c r="B502" s="29"/>
      <c r="C502" s="29"/>
      <c r="D502" s="29"/>
      <c r="E502" s="28"/>
      <c r="F502" s="28"/>
      <c r="G502" s="28"/>
      <c r="H502" s="28"/>
      <c r="I502" s="28"/>
      <c r="J502" s="28"/>
      <c r="K502" s="28"/>
      <c r="L502" s="28"/>
    </row>
    <row r="503" spans="1:12" s="27" customFormat="1" ht="12.75">
      <c r="A503" s="29"/>
      <c r="B503" s="29"/>
      <c r="C503" s="29"/>
      <c r="D503" s="29"/>
      <c r="E503" s="28"/>
      <c r="F503" s="28"/>
      <c r="G503" s="28"/>
      <c r="H503" s="28"/>
      <c r="I503" s="28"/>
      <c r="J503" s="28"/>
      <c r="K503" s="28"/>
      <c r="L503" s="28"/>
    </row>
    <row r="504" spans="1:12" s="27" customFormat="1" ht="12.75">
      <c r="A504" s="29"/>
      <c r="B504" s="29"/>
      <c r="C504" s="29"/>
      <c r="D504" s="29"/>
      <c r="E504" s="28"/>
      <c r="F504" s="28"/>
      <c r="G504" s="28"/>
      <c r="H504" s="28"/>
      <c r="I504" s="28"/>
      <c r="J504" s="28"/>
      <c r="K504" s="28"/>
      <c r="L504" s="28"/>
    </row>
    <row r="505" spans="1:12" s="27" customFormat="1" ht="12.75">
      <c r="A505" s="29"/>
      <c r="B505" s="29"/>
      <c r="C505" s="29"/>
      <c r="D505" s="29"/>
      <c r="E505" s="28"/>
      <c r="F505" s="28"/>
      <c r="G505" s="28"/>
      <c r="H505" s="28"/>
      <c r="I505" s="28"/>
      <c r="J505" s="28"/>
      <c r="K505" s="28"/>
      <c r="L505" s="28"/>
    </row>
    <row r="506" spans="1:12" s="27" customFormat="1" ht="12.75">
      <c r="A506" s="29"/>
      <c r="B506" s="29"/>
      <c r="C506" s="29"/>
      <c r="D506" s="29"/>
      <c r="E506" s="28"/>
      <c r="F506" s="28"/>
      <c r="G506" s="28"/>
      <c r="H506" s="28"/>
      <c r="I506" s="28"/>
      <c r="J506" s="28"/>
      <c r="K506" s="28"/>
      <c r="L506" s="28"/>
    </row>
    <row r="507" spans="1:12" s="27" customFormat="1" ht="12.75">
      <c r="A507" s="29"/>
      <c r="B507" s="29"/>
      <c r="C507" s="29"/>
      <c r="D507" s="29"/>
      <c r="E507" s="28"/>
      <c r="F507" s="28"/>
      <c r="G507" s="28"/>
      <c r="H507" s="28"/>
      <c r="I507" s="28"/>
      <c r="J507" s="28"/>
      <c r="K507" s="28"/>
      <c r="L507" s="28"/>
    </row>
    <row r="508" spans="1:12" s="27" customFormat="1" ht="12.75">
      <c r="A508" s="29"/>
      <c r="B508" s="29"/>
      <c r="C508" s="29"/>
      <c r="D508" s="29"/>
      <c r="E508" s="28"/>
      <c r="F508" s="28"/>
      <c r="G508" s="28"/>
      <c r="H508" s="28"/>
      <c r="I508" s="28"/>
      <c r="J508" s="28"/>
      <c r="K508" s="28"/>
      <c r="L508" s="28"/>
    </row>
    <row r="509" spans="1:12" s="27" customFormat="1" ht="12.75">
      <c r="A509" s="29"/>
      <c r="B509" s="29"/>
      <c r="C509" s="29"/>
      <c r="D509" s="29"/>
      <c r="E509" s="28"/>
      <c r="F509" s="28"/>
      <c r="G509" s="28"/>
      <c r="H509" s="28"/>
      <c r="I509" s="28"/>
      <c r="J509" s="28"/>
      <c r="K509" s="28"/>
      <c r="L509" s="28"/>
    </row>
    <row r="510" spans="1:12" s="27" customFormat="1" ht="12.75">
      <c r="A510" s="29"/>
      <c r="B510" s="29"/>
      <c r="C510" s="29"/>
      <c r="D510" s="29"/>
      <c r="E510" s="28"/>
      <c r="F510" s="28"/>
      <c r="G510" s="28"/>
      <c r="H510" s="28"/>
      <c r="I510" s="28"/>
      <c r="J510" s="28"/>
      <c r="K510" s="28"/>
      <c r="L510" s="28"/>
    </row>
    <row r="511" spans="1:12" s="27" customFormat="1" ht="12.75">
      <c r="A511" s="29"/>
      <c r="B511" s="29"/>
      <c r="C511" s="29"/>
      <c r="D511" s="29"/>
      <c r="E511" s="28"/>
      <c r="F511" s="28"/>
      <c r="G511" s="28"/>
      <c r="H511" s="28"/>
      <c r="I511" s="28"/>
      <c r="J511" s="28"/>
      <c r="K511" s="28"/>
      <c r="L511" s="28"/>
    </row>
    <row r="512" spans="1:12" s="27" customFormat="1" ht="12.75">
      <c r="A512" s="29"/>
      <c r="B512" s="29"/>
      <c r="C512" s="29"/>
      <c r="D512" s="29"/>
      <c r="E512" s="28"/>
      <c r="F512" s="28"/>
      <c r="G512" s="28"/>
      <c r="H512" s="28"/>
      <c r="I512" s="28"/>
      <c r="J512" s="28"/>
      <c r="K512" s="28"/>
      <c r="L512" s="28"/>
    </row>
    <row r="513" spans="1:12" s="27" customFormat="1" ht="12.75">
      <c r="A513" s="29"/>
      <c r="B513" s="29"/>
      <c r="C513" s="29"/>
      <c r="D513" s="29"/>
      <c r="E513" s="28"/>
      <c r="F513" s="28"/>
      <c r="G513" s="28"/>
      <c r="H513" s="28"/>
      <c r="I513" s="28"/>
      <c r="J513" s="28"/>
      <c r="K513" s="28"/>
      <c r="L513" s="28"/>
    </row>
    <row r="514" spans="1:12" s="27" customFormat="1" ht="12.75">
      <c r="A514" s="29"/>
      <c r="B514" s="29"/>
      <c r="C514" s="29"/>
      <c r="D514" s="29"/>
      <c r="E514" s="28"/>
      <c r="F514" s="28"/>
      <c r="G514" s="28"/>
      <c r="H514" s="28"/>
      <c r="I514" s="28"/>
      <c r="J514" s="28"/>
      <c r="K514" s="28"/>
      <c r="L514" s="28"/>
    </row>
    <row r="515" spans="1:12" s="27" customFormat="1" ht="12.75">
      <c r="A515" s="29"/>
      <c r="B515" s="29"/>
      <c r="C515" s="29"/>
      <c r="D515" s="29"/>
      <c r="E515" s="28"/>
      <c r="F515" s="28"/>
      <c r="G515" s="28"/>
      <c r="H515" s="28"/>
      <c r="I515" s="28"/>
      <c r="J515" s="28"/>
      <c r="K515" s="28"/>
      <c r="L515" s="28"/>
    </row>
    <row r="516" spans="1:12" s="27" customFormat="1" ht="12.75">
      <c r="A516" s="29"/>
      <c r="B516" s="29"/>
      <c r="C516" s="29"/>
      <c r="D516" s="29"/>
      <c r="E516" s="28"/>
      <c r="F516" s="28"/>
      <c r="G516" s="28"/>
      <c r="H516" s="28"/>
      <c r="I516" s="28"/>
      <c r="J516" s="28"/>
      <c r="K516" s="28"/>
      <c r="L516" s="28"/>
    </row>
    <row r="517" spans="1:12" s="27" customFormat="1" ht="12.75">
      <c r="A517" s="29"/>
      <c r="B517" s="29"/>
      <c r="C517" s="29"/>
      <c r="D517" s="29"/>
      <c r="E517" s="28"/>
      <c r="F517" s="28"/>
      <c r="G517" s="28"/>
      <c r="H517" s="28"/>
      <c r="I517" s="28"/>
      <c r="J517" s="28"/>
      <c r="K517" s="28"/>
      <c r="L517" s="28"/>
    </row>
    <row r="518" spans="1:12" s="27" customFormat="1" ht="12.75">
      <c r="A518" s="29"/>
      <c r="B518" s="29"/>
      <c r="C518" s="29"/>
      <c r="D518" s="29"/>
      <c r="E518" s="28"/>
      <c r="F518" s="28"/>
      <c r="G518" s="28"/>
      <c r="H518" s="28"/>
      <c r="I518" s="28"/>
      <c r="J518" s="28"/>
      <c r="K518" s="28"/>
      <c r="L518" s="28"/>
    </row>
    <row r="519" spans="1:12" s="27" customFormat="1" ht="12.75">
      <c r="A519" s="29"/>
      <c r="B519" s="29"/>
      <c r="C519" s="29"/>
      <c r="D519" s="29"/>
      <c r="E519" s="28"/>
      <c r="F519" s="28"/>
      <c r="G519" s="28"/>
      <c r="H519" s="28"/>
      <c r="I519" s="28"/>
      <c r="J519" s="28"/>
      <c r="K519" s="28"/>
      <c r="L519" s="28"/>
    </row>
    <row r="520" spans="1:12" s="27" customFormat="1" ht="12.75">
      <c r="A520" s="29"/>
      <c r="B520" s="29"/>
      <c r="C520" s="29"/>
      <c r="D520" s="29"/>
      <c r="E520" s="28"/>
      <c r="F520" s="28"/>
      <c r="G520" s="28"/>
      <c r="H520" s="28"/>
      <c r="I520" s="28"/>
      <c r="J520" s="28"/>
      <c r="K520" s="28"/>
      <c r="L520" s="28"/>
    </row>
    <row r="521" spans="1:12" s="27" customFormat="1" ht="12.75">
      <c r="A521" s="29"/>
      <c r="B521" s="29"/>
      <c r="C521" s="29"/>
      <c r="D521" s="29"/>
      <c r="E521" s="28"/>
      <c r="F521" s="28"/>
      <c r="G521" s="28"/>
      <c r="H521" s="28"/>
      <c r="I521" s="28"/>
      <c r="J521" s="28"/>
      <c r="K521" s="28"/>
      <c r="L521" s="28"/>
    </row>
    <row r="522" spans="1:12" s="27" customFormat="1" ht="12.75">
      <c r="A522" s="29"/>
      <c r="B522" s="29"/>
      <c r="C522" s="29"/>
      <c r="D522" s="29"/>
      <c r="E522" s="28"/>
      <c r="F522" s="28"/>
      <c r="G522" s="28"/>
      <c r="H522" s="28"/>
      <c r="I522" s="28"/>
      <c r="J522" s="28"/>
      <c r="K522" s="28"/>
      <c r="L522" s="28"/>
    </row>
    <row r="523" spans="1:12" s="27" customFormat="1" ht="12.75">
      <c r="A523" s="29"/>
      <c r="B523" s="29"/>
      <c r="C523" s="29"/>
      <c r="D523" s="29"/>
      <c r="E523" s="28"/>
      <c r="F523" s="28"/>
      <c r="G523" s="28"/>
      <c r="H523" s="28"/>
      <c r="I523" s="28"/>
      <c r="J523" s="28"/>
      <c r="K523" s="28"/>
      <c r="L523" s="28"/>
    </row>
    <row r="524" spans="1:12" s="27" customFormat="1" ht="12.75">
      <c r="A524" s="29"/>
      <c r="B524" s="29"/>
      <c r="C524" s="29"/>
      <c r="D524" s="29"/>
      <c r="E524" s="28"/>
      <c r="F524" s="28"/>
      <c r="G524" s="28"/>
      <c r="H524" s="28"/>
      <c r="I524" s="28"/>
      <c r="J524" s="28"/>
      <c r="K524" s="28"/>
      <c r="L524" s="28"/>
    </row>
    <row r="525" spans="1:12" s="27" customFormat="1" ht="12.75">
      <c r="A525" s="29"/>
      <c r="B525" s="29"/>
      <c r="C525" s="29"/>
      <c r="D525" s="29"/>
      <c r="E525" s="28"/>
      <c r="F525" s="28"/>
      <c r="G525" s="28"/>
      <c r="H525" s="28"/>
      <c r="I525" s="28"/>
      <c r="J525" s="28"/>
      <c r="K525" s="28"/>
      <c r="L525" s="28"/>
    </row>
    <row r="526" spans="1:12" s="27" customFormat="1" ht="12.75">
      <c r="A526" s="29"/>
      <c r="B526" s="29"/>
      <c r="C526" s="29"/>
      <c r="D526" s="29"/>
      <c r="E526" s="28"/>
      <c r="F526" s="28"/>
      <c r="G526" s="28"/>
      <c r="H526" s="28"/>
      <c r="I526" s="28"/>
      <c r="J526" s="28"/>
      <c r="K526" s="28"/>
      <c r="L526" s="28"/>
    </row>
    <row r="527" spans="1:12" s="27" customFormat="1" ht="12.75">
      <c r="A527" s="29"/>
      <c r="B527" s="29"/>
      <c r="C527" s="29"/>
      <c r="D527" s="29"/>
      <c r="E527" s="28"/>
      <c r="F527" s="28"/>
      <c r="G527" s="28"/>
      <c r="H527" s="28"/>
      <c r="I527" s="28"/>
      <c r="J527" s="28"/>
      <c r="K527" s="28"/>
      <c r="L527" s="28"/>
    </row>
    <row r="528" spans="1:12" s="27" customFormat="1" ht="12.75">
      <c r="A528" s="29"/>
      <c r="B528" s="29"/>
      <c r="C528" s="29"/>
      <c r="D528" s="29"/>
      <c r="E528" s="28"/>
      <c r="F528" s="28"/>
      <c r="G528" s="28"/>
      <c r="H528" s="28"/>
      <c r="I528" s="28"/>
      <c r="J528" s="28"/>
      <c r="K528" s="28"/>
      <c r="L528" s="28"/>
    </row>
    <row r="529" spans="1:12" s="27" customFormat="1" ht="12.75">
      <c r="A529" s="29"/>
      <c r="B529" s="29"/>
      <c r="C529" s="29"/>
      <c r="D529" s="29"/>
      <c r="E529" s="28"/>
      <c r="F529" s="28"/>
      <c r="G529" s="28"/>
      <c r="H529" s="28"/>
      <c r="I529" s="28"/>
      <c r="J529" s="28"/>
      <c r="K529" s="28"/>
      <c r="L529" s="28"/>
    </row>
    <row r="530" spans="1:12" s="27" customFormat="1" ht="12.75">
      <c r="A530" s="29"/>
      <c r="B530" s="29"/>
      <c r="C530" s="29"/>
      <c r="D530" s="29"/>
      <c r="E530" s="28"/>
      <c r="F530" s="28"/>
      <c r="G530" s="28"/>
      <c r="H530" s="28"/>
      <c r="I530" s="28"/>
      <c r="J530" s="28"/>
      <c r="K530" s="28"/>
      <c r="L530" s="28"/>
    </row>
    <row r="531" spans="1:12" s="27" customFormat="1" ht="12.75">
      <c r="A531" s="29"/>
      <c r="B531" s="29"/>
      <c r="C531" s="29"/>
      <c r="D531" s="29"/>
      <c r="E531" s="28"/>
      <c r="F531" s="28"/>
      <c r="G531" s="28"/>
      <c r="H531" s="28"/>
      <c r="I531" s="28"/>
      <c r="J531" s="28"/>
      <c r="K531" s="28"/>
      <c r="L531" s="28"/>
    </row>
    <row r="532" spans="1:12" s="27" customFormat="1" ht="12.75">
      <c r="A532" s="29"/>
      <c r="B532" s="29"/>
      <c r="C532" s="29"/>
      <c r="D532" s="29"/>
      <c r="E532" s="28"/>
      <c r="F532" s="28"/>
      <c r="G532" s="28"/>
      <c r="H532" s="28"/>
      <c r="I532" s="28"/>
      <c r="J532" s="28"/>
      <c r="K532" s="28"/>
      <c r="L532" s="28"/>
    </row>
    <row r="533" spans="1:12" s="27" customFormat="1" ht="12.75">
      <c r="A533" s="29"/>
      <c r="B533" s="29"/>
      <c r="C533" s="29"/>
      <c r="D533" s="29"/>
      <c r="E533" s="28"/>
      <c r="F533" s="28"/>
      <c r="G533" s="28"/>
      <c r="H533" s="28"/>
      <c r="I533" s="28"/>
      <c r="J533" s="28"/>
      <c r="K533" s="28"/>
      <c r="L533" s="28"/>
    </row>
    <row r="534" spans="1:12" s="27" customFormat="1" ht="12.75">
      <c r="A534" s="29"/>
      <c r="B534" s="29"/>
      <c r="C534" s="29"/>
      <c r="D534" s="29"/>
      <c r="E534" s="28"/>
      <c r="F534" s="28"/>
      <c r="G534" s="28"/>
      <c r="H534" s="28"/>
      <c r="I534" s="28"/>
      <c r="J534" s="28"/>
      <c r="K534" s="28"/>
      <c r="L534" s="28"/>
    </row>
    <row r="535" spans="1:12" s="27" customFormat="1" ht="12.75">
      <c r="A535" s="29"/>
      <c r="B535" s="29"/>
      <c r="C535" s="29"/>
      <c r="D535" s="29"/>
      <c r="E535" s="28"/>
      <c r="F535" s="28"/>
      <c r="G535" s="28"/>
      <c r="H535" s="28"/>
      <c r="I535" s="28"/>
      <c r="J535" s="28"/>
      <c r="K535" s="28"/>
      <c r="L535" s="28"/>
    </row>
    <row r="536" spans="1:12" s="27" customFormat="1" ht="12.75">
      <c r="A536" s="29"/>
      <c r="B536" s="29"/>
      <c r="C536" s="29"/>
      <c r="D536" s="29"/>
      <c r="E536" s="28"/>
      <c r="F536" s="28"/>
      <c r="G536" s="28"/>
      <c r="H536" s="28"/>
      <c r="I536" s="28"/>
      <c r="J536" s="28"/>
      <c r="K536" s="28"/>
      <c r="L536" s="28"/>
    </row>
    <row r="537" spans="1:12" s="27" customFormat="1" ht="12.75">
      <c r="A537" s="29"/>
      <c r="B537" s="29"/>
      <c r="C537" s="29"/>
      <c r="D537" s="29"/>
      <c r="E537" s="28"/>
      <c r="F537" s="28"/>
      <c r="G537" s="28"/>
      <c r="H537" s="28"/>
      <c r="I537" s="28"/>
      <c r="J537" s="28"/>
      <c r="K537" s="28"/>
      <c r="L537" s="28"/>
    </row>
    <row r="538" spans="1:12" s="27" customFormat="1" ht="12.75">
      <c r="A538" s="29"/>
      <c r="B538" s="29"/>
      <c r="C538" s="29"/>
      <c r="D538" s="29"/>
      <c r="E538" s="28"/>
      <c r="F538" s="28"/>
      <c r="G538" s="28"/>
      <c r="H538" s="28"/>
      <c r="I538" s="28"/>
      <c r="J538" s="28"/>
      <c r="K538" s="28"/>
      <c r="L538" s="28"/>
    </row>
    <row r="539" spans="1:12" s="27" customFormat="1" ht="12.75">
      <c r="A539" s="29"/>
      <c r="B539" s="29"/>
      <c r="C539" s="29"/>
      <c r="D539" s="29"/>
      <c r="E539" s="28"/>
      <c r="F539" s="28"/>
      <c r="G539" s="28"/>
      <c r="H539" s="28"/>
      <c r="I539" s="28"/>
      <c r="J539" s="28"/>
      <c r="K539" s="28"/>
      <c r="L539" s="28"/>
    </row>
    <row r="540" spans="1:12" s="27" customFormat="1" ht="12.75">
      <c r="A540" s="29"/>
      <c r="B540" s="29"/>
      <c r="C540" s="29"/>
      <c r="D540" s="29"/>
      <c r="E540" s="28"/>
      <c r="F540" s="28"/>
      <c r="G540" s="28"/>
      <c r="H540" s="28"/>
      <c r="I540" s="28"/>
      <c r="J540" s="28"/>
      <c r="K540" s="28"/>
      <c r="L540" s="28"/>
    </row>
    <row r="541" spans="1:12" s="27" customFormat="1" ht="12.75">
      <c r="A541" s="29"/>
      <c r="B541" s="29"/>
      <c r="C541" s="29"/>
      <c r="D541" s="29"/>
      <c r="E541" s="28"/>
      <c r="F541" s="28"/>
      <c r="G541" s="28"/>
      <c r="H541" s="28"/>
      <c r="I541" s="28"/>
      <c r="J541" s="28"/>
      <c r="K541" s="28"/>
      <c r="L541" s="28"/>
    </row>
    <row r="542" spans="1:12" s="27" customFormat="1" ht="12.75">
      <c r="A542" s="29"/>
      <c r="B542" s="29"/>
      <c r="C542" s="29"/>
      <c r="D542" s="29"/>
      <c r="E542" s="28"/>
      <c r="F542" s="28"/>
      <c r="G542" s="28"/>
      <c r="H542" s="28"/>
      <c r="I542" s="28"/>
      <c r="J542" s="28"/>
      <c r="K542" s="28"/>
      <c r="L542" s="28"/>
    </row>
    <row r="543" spans="1:12" s="27" customFormat="1" ht="12.75">
      <c r="A543" s="29"/>
      <c r="B543" s="29"/>
      <c r="C543" s="29"/>
      <c r="D543" s="29"/>
      <c r="E543" s="28"/>
      <c r="F543" s="28"/>
      <c r="G543" s="28"/>
      <c r="H543" s="28"/>
      <c r="I543" s="28"/>
      <c r="J543" s="28"/>
      <c r="K543" s="28"/>
      <c r="L543" s="28"/>
    </row>
    <row r="544" spans="1:12" s="27" customFormat="1" ht="12.75">
      <c r="A544" s="29"/>
      <c r="B544" s="29"/>
      <c r="C544" s="29"/>
      <c r="D544" s="29"/>
      <c r="E544" s="28"/>
      <c r="F544" s="28"/>
      <c r="G544" s="28"/>
      <c r="H544" s="28"/>
      <c r="I544" s="28"/>
      <c r="J544" s="28"/>
      <c r="K544" s="28"/>
      <c r="L544" s="28"/>
    </row>
    <row r="545" spans="1:12" s="27" customFormat="1" ht="12.75">
      <c r="A545" s="29"/>
      <c r="B545" s="29"/>
      <c r="C545" s="29"/>
      <c r="D545" s="29"/>
      <c r="E545" s="28"/>
      <c r="F545" s="28"/>
      <c r="G545" s="28"/>
      <c r="H545" s="28"/>
      <c r="I545" s="28"/>
      <c r="J545" s="28"/>
      <c r="K545" s="28"/>
      <c r="L545" s="28"/>
    </row>
    <row r="546" spans="1:12" s="27" customFormat="1" ht="12.75">
      <c r="A546" s="29"/>
      <c r="B546" s="29"/>
      <c r="C546" s="29"/>
      <c r="D546" s="29"/>
      <c r="E546" s="28"/>
      <c r="F546" s="28"/>
      <c r="G546" s="28"/>
      <c r="H546" s="28"/>
      <c r="I546" s="28"/>
      <c r="J546" s="28"/>
      <c r="K546" s="28"/>
      <c r="L546" s="28"/>
    </row>
    <row r="547" spans="1:12" s="27" customFormat="1" ht="12.75">
      <c r="A547" s="29"/>
      <c r="B547" s="29"/>
      <c r="C547" s="29"/>
      <c r="D547" s="29"/>
      <c r="E547" s="28"/>
      <c r="F547" s="28"/>
      <c r="G547" s="28"/>
      <c r="H547" s="28"/>
      <c r="I547" s="28"/>
      <c r="J547" s="28"/>
      <c r="K547" s="28"/>
      <c r="L547" s="28"/>
    </row>
    <row r="548" spans="1:12" s="27" customFormat="1" ht="12.75">
      <c r="A548" s="29"/>
      <c r="B548" s="29"/>
      <c r="C548" s="29"/>
      <c r="D548" s="29"/>
      <c r="E548" s="28"/>
      <c r="F548" s="28"/>
      <c r="G548" s="28"/>
      <c r="H548" s="28"/>
      <c r="I548" s="28"/>
      <c r="J548" s="28"/>
      <c r="K548" s="28"/>
      <c r="L548" s="28"/>
    </row>
    <row r="549" spans="1:12" s="27" customFormat="1" ht="12.75">
      <c r="A549" s="29"/>
      <c r="B549" s="29"/>
      <c r="C549" s="29"/>
      <c r="D549" s="29"/>
      <c r="E549" s="28"/>
      <c r="F549" s="28"/>
      <c r="G549" s="28"/>
      <c r="H549" s="28"/>
      <c r="I549" s="28"/>
      <c r="J549" s="28"/>
      <c r="K549" s="28"/>
      <c r="L549" s="28"/>
    </row>
    <row r="550" spans="1:12" s="27" customFormat="1" ht="12.75">
      <c r="A550" s="29"/>
      <c r="B550" s="29"/>
      <c r="C550" s="29"/>
      <c r="D550" s="29"/>
      <c r="E550" s="28"/>
      <c r="F550" s="28"/>
      <c r="G550" s="28"/>
      <c r="H550" s="28"/>
      <c r="I550" s="28"/>
      <c r="J550" s="28"/>
      <c r="K550" s="28"/>
      <c r="L550" s="28"/>
    </row>
    <row r="551" spans="1:12" s="27" customFormat="1" ht="12.75">
      <c r="A551" s="29"/>
      <c r="B551" s="29"/>
      <c r="C551" s="29"/>
      <c r="D551" s="29"/>
      <c r="E551" s="28"/>
      <c r="F551" s="28"/>
      <c r="G551" s="28"/>
      <c r="H551" s="28"/>
      <c r="I551" s="28"/>
      <c r="J551" s="28"/>
      <c r="K551" s="28"/>
      <c r="L551" s="28"/>
    </row>
    <row r="552" spans="1:12" s="27" customFormat="1" ht="12.75">
      <c r="A552" s="29"/>
      <c r="B552" s="29"/>
      <c r="C552" s="29"/>
      <c r="D552" s="29"/>
      <c r="E552" s="28"/>
      <c r="F552" s="28"/>
      <c r="G552" s="28"/>
      <c r="H552" s="28"/>
      <c r="I552" s="28"/>
      <c r="J552" s="28"/>
      <c r="K552" s="28"/>
      <c r="L552" s="28"/>
    </row>
    <row r="553" spans="1:12" s="27" customFormat="1" ht="12.75">
      <c r="A553" s="29"/>
      <c r="B553" s="29"/>
      <c r="C553" s="29"/>
      <c r="D553" s="29"/>
      <c r="E553" s="28"/>
      <c r="F553" s="28"/>
      <c r="G553" s="28"/>
      <c r="H553" s="28"/>
      <c r="I553" s="28"/>
      <c r="J553" s="28"/>
      <c r="K553" s="28"/>
      <c r="L553" s="28"/>
    </row>
    <row r="554" spans="1:12" s="27" customFormat="1" ht="12.75">
      <c r="A554" s="29"/>
      <c r="B554" s="29"/>
      <c r="C554" s="29"/>
      <c r="D554" s="29"/>
      <c r="E554" s="28"/>
      <c r="F554" s="28"/>
      <c r="G554" s="28"/>
      <c r="H554" s="28"/>
      <c r="I554" s="28"/>
      <c r="J554" s="28"/>
      <c r="K554" s="28"/>
      <c r="L554" s="28"/>
    </row>
    <row r="555" spans="1:12" s="27" customFormat="1" ht="12.75">
      <c r="A555" s="29"/>
      <c r="B555" s="29"/>
      <c r="C555" s="29"/>
      <c r="D555" s="29"/>
      <c r="E555" s="28"/>
      <c r="F555" s="28"/>
      <c r="G555" s="28"/>
      <c r="H555" s="28"/>
      <c r="I555" s="28"/>
      <c r="J555" s="28"/>
      <c r="K555" s="28"/>
      <c r="L555" s="28"/>
    </row>
    <row r="556" spans="1:12" s="27" customFormat="1" ht="12.75">
      <c r="A556" s="29"/>
      <c r="B556" s="29"/>
      <c r="C556" s="29"/>
      <c r="D556" s="29"/>
      <c r="E556" s="28"/>
      <c r="F556" s="28"/>
      <c r="G556" s="28"/>
      <c r="H556" s="28"/>
      <c r="I556" s="28"/>
      <c r="J556" s="28"/>
      <c r="K556" s="28"/>
      <c r="L556" s="28"/>
    </row>
    <row r="557" spans="1:12" s="27" customFormat="1" ht="12.75">
      <c r="A557" s="29"/>
      <c r="B557" s="29"/>
      <c r="C557" s="29"/>
      <c r="D557" s="29"/>
      <c r="E557" s="28"/>
      <c r="F557" s="28"/>
      <c r="G557" s="28"/>
      <c r="H557" s="28"/>
      <c r="I557" s="28"/>
      <c r="J557" s="28"/>
      <c r="K557" s="28"/>
      <c r="L557" s="28"/>
    </row>
    <row r="558" spans="1:12" s="27" customFormat="1" ht="12.75">
      <c r="A558" s="29"/>
      <c r="B558" s="29"/>
      <c r="C558" s="29"/>
      <c r="D558" s="29"/>
      <c r="E558" s="28"/>
      <c r="F558" s="28"/>
      <c r="G558" s="28"/>
      <c r="H558" s="28"/>
      <c r="I558" s="28"/>
      <c r="J558" s="28"/>
      <c r="K558" s="28"/>
      <c r="L558" s="28"/>
    </row>
    <row r="559" spans="1:12" s="27" customFormat="1" ht="12.75">
      <c r="A559" s="29"/>
      <c r="B559" s="29"/>
      <c r="C559" s="29"/>
      <c r="D559" s="29"/>
      <c r="E559" s="28"/>
      <c r="F559" s="28"/>
      <c r="G559" s="28"/>
      <c r="H559" s="28"/>
      <c r="I559" s="28"/>
      <c r="J559" s="28"/>
      <c r="K559" s="28"/>
      <c r="L559" s="28"/>
    </row>
    <row r="560" spans="1:12" s="27" customFormat="1" ht="12.75">
      <c r="A560" s="29"/>
      <c r="B560" s="29"/>
      <c r="C560" s="29"/>
      <c r="D560" s="29"/>
      <c r="E560" s="28"/>
      <c r="F560" s="28"/>
      <c r="G560" s="28"/>
      <c r="H560" s="28"/>
      <c r="I560" s="28"/>
      <c r="J560" s="28"/>
      <c r="K560" s="28"/>
      <c r="L560" s="28"/>
    </row>
    <row r="561" spans="1:12" s="27" customFormat="1" ht="12.75">
      <c r="A561" s="29"/>
      <c r="B561" s="29"/>
      <c r="C561" s="29"/>
      <c r="D561" s="29"/>
      <c r="E561" s="28"/>
      <c r="F561" s="28"/>
      <c r="G561" s="28"/>
      <c r="H561" s="28"/>
      <c r="I561" s="28"/>
      <c r="J561" s="28"/>
      <c r="K561" s="28"/>
      <c r="L561" s="28"/>
    </row>
    <row r="562" spans="1:12" s="27" customFormat="1" ht="12.75">
      <c r="A562" s="29"/>
      <c r="B562" s="29"/>
      <c r="C562" s="29"/>
      <c r="D562" s="29"/>
      <c r="E562" s="28"/>
      <c r="F562" s="28"/>
      <c r="G562" s="28"/>
      <c r="H562" s="28"/>
      <c r="I562" s="28"/>
      <c r="J562" s="28"/>
      <c r="K562" s="28"/>
      <c r="L562" s="28"/>
    </row>
    <row r="563" spans="1:12" s="27" customFormat="1" ht="12.75">
      <c r="A563" s="29"/>
      <c r="B563" s="29"/>
      <c r="C563" s="29"/>
      <c r="D563" s="29"/>
      <c r="E563" s="28"/>
      <c r="F563" s="28"/>
      <c r="G563" s="28"/>
      <c r="H563" s="28"/>
      <c r="I563" s="28"/>
      <c r="J563" s="28"/>
      <c r="K563" s="28"/>
      <c r="L563" s="28"/>
    </row>
    <row r="564" spans="1:12" s="27" customFormat="1" ht="12.75">
      <c r="A564" s="29"/>
      <c r="B564" s="29"/>
      <c r="C564" s="29"/>
      <c r="D564" s="29"/>
      <c r="E564" s="28"/>
      <c r="F564" s="28"/>
      <c r="G564" s="28"/>
      <c r="H564" s="28"/>
      <c r="I564" s="28"/>
      <c r="J564" s="28"/>
      <c r="K564" s="28"/>
      <c r="L564" s="28"/>
    </row>
    <row r="565" spans="1:12" s="27" customFormat="1" ht="12.75">
      <c r="A565" s="29"/>
      <c r="B565" s="29"/>
      <c r="C565" s="29"/>
      <c r="D565" s="29"/>
      <c r="E565" s="28"/>
      <c r="F565" s="28"/>
      <c r="G565" s="28"/>
      <c r="H565" s="28"/>
      <c r="I565" s="28"/>
      <c r="J565" s="28"/>
      <c r="K565" s="28"/>
      <c r="L565" s="28"/>
    </row>
    <row r="566" spans="1:12" s="27" customFormat="1" ht="12.75">
      <c r="A566" s="29"/>
      <c r="B566" s="29"/>
      <c r="C566" s="29"/>
      <c r="D566" s="29"/>
      <c r="E566" s="28"/>
      <c r="F566" s="28"/>
      <c r="G566" s="28"/>
      <c r="H566" s="28"/>
      <c r="I566" s="28"/>
      <c r="J566" s="28"/>
      <c r="K566" s="28"/>
      <c r="L566" s="28"/>
    </row>
    <row r="567" spans="1:12" s="27" customFormat="1" ht="12.75">
      <c r="A567" s="29"/>
      <c r="B567" s="29"/>
      <c r="C567" s="29"/>
      <c r="D567" s="29"/>
      <c r="E567" s="28"/>
      <c r="F567" s="28"/>
      <c r="G567" s="28"/>
      <c r="H567" s="28"/>
      <c r="I567" s="28"/>
      <c r="J567" s="28"/>
      <c r="K567" s="28"/>
      <c r="L567" s="28"/>
    </row>
    <row r="568" spans="1:12" s="27" customFormat="1" ht="12.75">
      <c r="A568" s="29"/>
      <c r="B568" s="29"/>
      <c r="C568" s="29"/>
      <c r="D568" s="29"/>
      <c r="E568" s="28"/>
      <c r="F568" s="28"/>
      <c r="G568" s="28"/>
      <c r="H568" s="28"/>
      <c r="I568" s="28"/>
      <c r="J568" s="28"/>
      <c r="K568" s="28"/>
      <c r="L568" s="28"/>
    </row>
    <row r="569" spans="1:12" s="27" customFormat="1" ht="12.75">
      <c r="A569" s="29"/>
      <c r="B569" s="29"/>
      <c r="C569" s="29"/>
      <c r="D569" s="29"/>
      <c r="E569" s="28"/>
      <c r="F569" s="28"/>
      <c r="G569" s="28"/>
      <c r="H569" s="28"/>
      <c r="I569" s="28"/>
      <c r="J569" s="28"/>
      <c r="K569" s="28"/>
      <c r="L569" s="28"/>
    </row>
    <row r="570" spans="1:12" s="27" customFormat="1" ht="12.75">
      <c r="A570" s="29"/>
      <c r="B570" s="29"/>
      <c r="C570" s="29"/>
      <c r="D570" s="29"/>
      <c r="E570" s="28"/>
      <c r="F570" s="28"/>
      <c r="G570" s="28"/>
      <c r="H570" s="28"/>
      <c r="I570" s="28"/>
      <c r="J570" s="28"/>
      <c r="K570" s="28"/>
      <c r="L570" s="28"/>
    </row>
    <row r="571" spans="1:12" s="27" customFormat="1" ht="12.75">
      <c r="A571" s="29"/>
      <c r="B571" s="29"/>
      <c r="C571" s="29"/>
      <c r="D571" s="29"/>
      <c r="E571" s="28"/>
      <c r="F571" s="28"/>
      <c r="G571" s="28"/>
      <c r="H571" s="28"/>
      <c r="I571" s="28"/>
      <c r="J571" s="28"/>
      <c r="K571" s="28"/>
      <c r="L571" s="28"/>
    </row>
    <row r="572" spans="1:12" s="27" customFormat="1" ht="12.75">
      <c r="A572" s="29"/>
      <c r="B572" s="29"/>
      <c r="C572" s="29"/>
      <c r="D572" s="29"/>
      <c r="E572" s="28"/>
      <c r="F572" s="28"/>
      <c r="G572" s="28"/>
      <c r="H572" s="28"/>
      <c r="I572" s="28"/>
      <c r="J572" s="28"/>
      <c r="K572" s="28"/>
      <c r="L572" s="28"/>
    </row>
    <row r="573" spans="1:12" s="27" customFormat="1" ht="12.75">
      <c r="A573" s="29"/>
      <c r="B573" s="29"/>
      <c r="C573" s="29"/>
      <c r="D573" s="29"/>
      <c r="E573" s="28"/>
      <c r="F573" s="28"/>
      <c r="G573" s="28"/>
      <c r="H573" s="28"/>
      <c r="I573" s="28"/>
      <c r="J573" s="28"/>
      <c r="K573" s="28"/>
      <c r="L573" s="28"/>
    </row>
    <row r="574" spans="1:12" s="27" customFormat="1" ht="12.75">
      <c r="A574" s="29"/>
      <c r="B574" s="29"/>
      <c r="C574" s="29"/>
      <c r="D574" s="29"/>
      <c r="E574" s="28"/>
      <c r="F574" s="28"/>
      <c r="G574" s="28"/>
      <c r="H574" s="28"/>
      <c r="I574" s="28"/>
      <c r="J574" s="28"/>
      <c r="K574" s="28"/>
      <c r="L574" s="28"/>
    </row>
    <row r="575" spans="1:12" s="27" customFormat="1" ht="12.75">
      <c r="A575" s="29"/>
      <c r="B575" s="29"/>
      <c r="C575" s="29"/>
      <c r="D575" s="29"/>
      <c r="E575" s="28"/>
      <c r="F575" s="28"/>
      <c r="G575" s="28"/>
      <c r="H575" s="28"/>
      <c r="I575" s="28"/>
      <c r="J575" s="28"/>
      <c r="K575" s="28"/>
      <c r="L575" s="28"/>
    </row>
    <row r="576" spans="1:12" s="27" customFormat="1" ht="12.75">
      <c r="A576" s="29"/>
      <c r="B576" s="29"/>
      <c r="C576" s="29"/>
      <c r="D576" s="29"/>
      <c r="E576" s="28"/>
      <c r="F576" s="28"/>
      <c r="G576" s="28"/>
      <c r="H576" s="28"/>
      <c r="I576" s="28"/>
      <c r="J576" s="28"/>
      <c r="K576" s="28"/>
      <c r="L576" s="28"/>
    </row>
    <row r="577" spans="1:12" s="27" customFormat="1" ht="12.75">
      <c r="A577" s="29"/>
      <c r="B577" s="29"/>
      <c r="C577" s="29"/>
      <c r="D577" s="29"/>
      <c r="E577" s="28"/>
      <c r="F577" s="28"/>
      <c r="G577" s="28"/>
      <c r="H577" s="28"/>
      <c r="I577" s="28"/>
      <c r="J577" s="28"/>
      <c r="K577" s="28"/>
      <c r="L577" s="28"/>
    </row>
    <row r="578" spans="1:12" s="27" customFormat="1" ht="12.75">
      <c r="A578" s="29"/>
      <c r="B578" s="29"/>
      <c r="C578" s="29"/>
      <c r="D578" s="29"/>
      <c r="E578" s="28"/>
      <c r="F578" s="28"/>
      <c r="G578" s="28"/>
      <c r="H578" s="28"/>
      <c r="I578" s="28"/>
      <c r="J578" s="28"/>
      <c r="K578" s="28"/>
      <c r="L578" s="28"/>
    </row>
    <row r="579" spans="1:12" s="27" customFormat="1" ht="12.75">
      <c r="A579" s="29"/>
      <c r="B579" s="29"/>
      <c r="C579" s="29"/>
      <c r="D579" s="29"/>
      <c r="E579" s="28"/>
      <c r="F579" s="28"/>
      <c r="G579" s="28"/>
      <c r="H579" s="28"/>
      <c r="I579" s="28"/>
      <c r="J579" s="28"/>
      <c r="K579" s="28"/>
      <c r="L579" s="28"/>
    </row>
    <row r="580" spans="1:12" s="27" customFormat="1" ht="12.75">
      <c r="A580" s="29"/>
      <c r="B580" s="29"/>
      <c r="C580" s="29"/>
      <c r="D580" s="29"/>
      <c r="E580" s="28"/>
      <c r="F580" s="28"/>
      <c r="G580" s="28"/>
      <c r="H580" s="28"/>
      <c r="I580" s="28"/>
      <c r="J580" s="28"/>
      <c r="K580" s="28"/>
      <c r="L580" s="28"/>
    </row>
    <row r="581" spans="1:12" s="27" customFormat="1" ht="12.75">
      <c r="A581" s="29"/>
      <c r="B581" s="29"/>
      <c r="C581" s="29"/>
      <c r="D581" s="29"/>
      <c r="E581" s="28"/>
      <c r="F581" s="28"/>
      <c r="G581" s="28"/>
      <c r="H581" s="28"/>
      <c r="I581" s="28"/>
      <c r="J581" s="28"/>
      <c r="K581" s="28"/>
      <c r="L581" s="28"/>
    </row>
    <row r="582" spans="1:12" s="27" customFormat="1" ht="12.75">
      <c r="A582" s="29"/>
      <c r="B582" s="29"/>
      <c r="C582" s="29"/>
      <c r="D582" s="29"/>
      <c r="E582" s="28"/>
      <c r="F582" s="28"/>
      <c r="G582" s="28"/>
      <c r="H582" s="28"/>
      <c r="I582" s="28"/>
      <c r="J582" s="28"/>
      <c r="K582" s="28"/>
      <c r="L582" s="28"/>
    </row>
    <row r="583" spans="1:12" s="27" customFormat="1" ht="12.75">
      <c r="A583" s="29"/>
      <c r="B583" s="29"/>
      <c r="C583" s="29"/>
      <c r="D583" s="29"/>
      <c r="E583" s="28"/>
      <c r="F583" s="28"/>
      <c r="G583" s="28"/>
      <c r="H583" s="28"/>
      <c r="I583" s="28"/>
      <c r="J583" s="28"/>
      <c r="K583" s="28"/>
      <c r="L583" s="28"/>
    </row>
    <row r="584" spans="1:12" s="27" customFormat="1" ht="12.75">
      <c r="A584" s="29"/>
      <c r="B584" s="29"/>
      <c r="C584" s="29"/>
      <c r="D584" s="29"/>
      <c r="E584" s="28"/>
      <c r="F584" s="28"/>
      <c r="G584" s="28"/>
      <c r="H584" s="28"/>
      <c r="I584" s="28"/>
      <c r="J584" s="28"/>
      <c r="K584" s="28"/>
      <c r="L584" s="28"/>
    </row>
    <row r="585" spans="1:12" s="27" customFormat="1" ht="12.75">
      <c r="A585" s="29"/>
      <c r="B585" s="29"/>
      <c r="C585" s="29"/>
      <c r="D585" s="29"/>
      <c r="E585" s="28"/>
      <c r="F585" s="28"/>
      <c r="G585" s="28"/>
      <c r="H585" s="28"/>
      <c r="I585" s="28"/>
      <c r="J585" s="28"/>
      <c r="K585" s="28"/>
      <c r="L585" s="28"/>
    </row>
    <row r="586" spans="1:12" s="27" customFormat="1" ht="12.75">
      <c r="A586" s="29"/>
      <c r="B586" s="29"/>
      <c r="C586" s="29"/>
      <c r="D586" s="29"/>
      <c r="E586" s="28"/>
      <c r="F586" s="28"/>
      <c r="G586" s="28"/>
      <c r="H586" s="28"/>
      <c r="I586" s="28"/>
      <c r="J586" s="28"/>
      <c r="K586" s="28"/>
      <c r="L586" s="28"/>
    </row>
    <row r="587" spans="1:12" s="27" customFormat="1" ht="12.75">
      <c r="A587" s="29"/>
      <c r="B587" s="29"/>
      <c r="C587" s="29"/>
      <c r="D587" s="29"/>
      <c r="E587" s="28"/>
      <c r="F587" s="28"/>
      <c r="G587" s="28"/>
      <c r="H587" s="28"/>
      <c r="I587" s="28"/>
      <c r="J587" s="28"/>
      <c r="K587" s="28"/>
      <c r="L587" s="28"/>
    </row>
    <row r="588" spans="1:12" s="27" customFormat="1" ht="12.75">
      <c r="A588" s="29"/>
      <c r="B588" s="29"/>
      <c r="C588" s="29"/>
      <c r="D588" s="29"/>
      <c r="E588" s="28"/>
      <c r="F588" s="28"/>
      <c r="G588" s="28"/>
      <c r="H588" s="28"/>
      <c r="I588" s="28"/>
      <c r="J588" s="28"/>
      <c r="K588" s="28"/>
      <c r="L588" s="28"/>
    </row>
    <row r="589" spans="1:12" s="27" customFormat="1" ht="12.75">
      <c r="A589" s="29"/>
      <c r="B589" s="29"/>
      <c r="C589" s="29"/>
      <c r="D589" s="29"/>
      <c r="E589" s="28"/>
      <c r="F589" s="28"/>
      <c r="G589" s="28"/>
      <c r="H589" s="28"/>
      <c r="I589" s="28"/>
      <c r="J589" s="28"/>
      <c r="K589" s="28"/>
      <c r="L589" s="28"/>
    </row>
    <row r="590" spans="1:12" s="27" customFormat="1" ht="12.75">
      <c r="A590" s="29"/>
      <c r="B590" s="29"/>
      <c r="C590" s="29"/>
      <c r="D590" s="29"/>
      <c r="E590" s="28"/>
      <c r="F590" s="28"/>
      <c r="G590" s="28"/>
      <c r="H590" s="28"/>
      <c r="I590" s="28"/>
      <c r="J590" s="28"/>
      <c r="K590" s="28"/>
      <c r="L590" s="28"/>
    </row>
    <row r="591" spans="1:12" s="27" customFormat="1" ht="12.75">
      <c r="A591" s="29"/>
      <c r="B591" s="29"/>
      <c r="C591" s="29"/>
      <c r="D591" s="29"/>
      <c r="E591" s="28"/>
      <c r="F591" s="28"/>
      <c r="G591" s="28"/>
      <c r="H591" s="28"/>
      <c r="I591" s="28"/>
      <c r="J591" s="28"/>
      <c r="K591" s="28"/>
      <c r="L591" s="28"/>
    </row>
    <row r="592" spans="1:12" s="27" customFormat="1" ht="12.75">
      <c r="A592" s="29"/>
      <c r="B592" s="29"/>
      <c r="C592" s="29"/>
      <c r="D592" s="29"/>
      <c r="E592" s="28"/>
      <c r="F592" s="28"/>
      <c r="G592" s="28"/>
      <c r="H592" s="28"/>
      <c r="I592" s="28"/>
      <c r="J592" s="28"/>
      <c r="K592" s="28"/>
      <c r="L592" s="28"/>
    </row>
    <row r="593" spans="1:12" s="27" customFormat="1" ht="12.75">
      <c r="A593" s="29"/>
      <c r="B593" s="29"/>
      <c r="C593" s="29"/>
      <c r="D593" s="29"/>
      <c r="E593" s="28"/>
      <c r="F593" s="28"/>
      <c r="G593" s="28"/>
      <c r="H593" s="28"/>
      <c r="I593" s="28"/>
      <c r="J593" s="28"/>
      <c r="K593" s="28"/>
      <c r="L593" s="28"/>
    </row>
    <row r="594" spans="1:12" s="27" customFormat="1" ht="12.75">
      <c r="A594" s="29"/>
      <c r="B594" s="29"/>
      <c r="C594" s="29"/>
      <c r="D594" s="29"/>
      <c r="E594" s="28"/>
      <c r="F594" s="28"/>
      <c r="G594" s="28"/>
      <c r="H594" s="28"/>
      <c r="I594" s="28"/>
      <c r="J594" s="28"/>
      <c r="K594" s="28"/>
      <c r="L594" s="28"/>
    </row>
    <row r="595" spans="1:12" s="27" customFormat="1" ht="12.75">
      <c r="A595" s="29"/>
      <c r="B595" s="29"/>
      <c r="C595" s="29"/>
      <c r="D595" s="29"/>
      <c r="E595" s="28"/>
      <c r="F595" s="28"/>
      <c r="G595" s="28"/>
      <c r="H595" s="28"/>
      <c r="I595" s="28"/>
      <c r="J595" s="28"/>
      <c r="K595" s="28"/>
      <c r="L595" s="28"/>
    </row>
    <row r="596" spans="1:12" s="27" customFormat="1" ht="12.75">
      <c r="A596" s="29"/>
      <c r="B596" s="29"/>
      <c r="C596" s="29"/>
      <c r="D596" s="29"/>
      <c r="E596" s="28"/>
      <c r="F596" s="28"/>
      <c r="G596" s="28"/>
      <c r="H596" s="28"/>
      <c r="I596" s="28"/>
      <c r="J596" s="28"/>
      <c r="K596" s="28"/>
      <c r="L596" s="28"/>
    </row>
    <row r="597" spans="1:12" s="27" customFormat="1" ht="12.75">
      <c r="A597" s="29"/>
      <c r="B597" s="29"/>
      <c r="C597" s="29"/>
      <c r="D597" s="29"/>
      <c r="E597" s="28"/>
      <c r="F597" s="28"/>
      <c r="G597" s="28"/>
      <c r="H597" s="28"/>
      <c r="I597" s="28"/>
      <c r="J597" s="28"/>
      <c r="K597" s="28"/>
      <c r="L597" s="28"/>
    </row>
    <row r="598" spans="1:12" s="27" customFormat="1" ht="12.75">
      <c r="A598" s="29"/>
      <c r="B598" s="29"/>
      <c r="C598" s="29"/>
      <c r="D598" s="29"/>
      <c r="E598" s="28"/>
      <c r="F598" s="28"/>
      <c r="G598" s="28"/>
      <c r="H598" s="28"/>
      <c r="I598" s="28"/>
      <c r="J598" s="28"/>
      <c r="K598" s="28"/>
      <c r="L598" s="28"/>
    </row>
    <row r="599" spans="1:12" s="27" customFormat="1" ht="12.75">
      <c r="A599" s="29"/>
      <c r="B599" s="29"/>
      <c r="C599" s="29"/>
      <c r="D599" s="29"/>
      <c r="E599" s="28"/>
      <c r="F599" s="28"/>
      <c r="G599" s="28"/>
      <c r="H599" s="28"/>
      <c r="I599" s="28"/>
      <c r="J599" s="28"/>
      <c r="K599" s="28"/>
      <c r="L599" s="28"/>
    </row>
    <row r="600" spans="1:12" s="27" customFormat="1" ht="12.75">
      <c r="A600" s="29"/>
      <c r="B600" s="29"/>
      <c r="C600" s="29"/>
      <c r="D600" s="29"/>
      <c r="E600" s="28"/>
      <c r="F600" s="28"/>
      <c r="G600" s="28"/>
      <c r="H600" s="28"/>
      <c r="I600" s="28"/>
      <c r="J600" s="28"/>
      <c r="K600" s="28"/>
      <c r="L600" s="28"/>
    </row>
    <row r="601" spans="1:12" s="27" customFormat="1" ht="12.75">
      <c r="A601" s="29"/>
      <c r="B601" s="29"/>
      <c r="C601" s="29"/>
      <c r="D601" s="29"/>
      <c r="E601" s="28"/>
      <c r="F601" s="28"/>
      <c r="G601" s="28"/>
      <c r="H601" s="28"/>
      <c r="I601" s="28"/>
      <c r="J601" s="28"/>
      <c r="K601" s="28"/>
      <c r="L601" s="28"/>
    </row>
    <row r="602" spans="1:12" s="27" customFormat="1" ht="12.75">
      <c r="A602" s="29"/>
      <c r="B602" s="29"/>
      <c r="C602" s="29"/>
      <c r="D602" s="29"/>
      <c r="E602" s="28"/>
      <c r="F602" s="28"/>
      <c r="G602" s="28"/>
      <c r="H602" s="28"/>
      <c r="I602" s="28"/>
      <c r="J602" s="28"/>
      <c r="K602" s="28"/>
      <c r="L602" s="28"/>
    </row>
    <row r="603" spans="1:12" s="27" customFormat="1" ht="12.75">
      <c r="A603" s="29"/>
      <c r="B603" s="29"/>
      <c r="C603" s="29"/>
      <c r="D603" s="29"/>
      <c r="E603" s="28"/>
      <c r="F603" s="28"/>
      <c r="G603" s="28"/>
      <c r="H603" s="28"/>
      <c r="I603" s="28"/>
      <c r="J603" s="28"/>
      <c r="K603" s="28"/>
      <c r="L603" s="28"/>
    </row>
    <row r="604" spans="1:12" s="27" customFormat="1" ht="12.75">
      <c r="A604" s="29"/>
      <c r="B604" s="29"/>
      <c r="C604" s="29"/>
      <c r="D604" s="29"/>
      <c r="E604" s="28"/>
      <c r="F604" s="28"/>
      <c r="G604" s="28"/>
      <c r="H604" s="28"/>
      <c r="I604" s="28"/>
      <c r="J604" s="28"/>
      <c r="K604" s="28"/>
      <c r="L604" s="28"/>
    </row>
    <row r="605" spans="1:12" s="27" customFormat="1" ht="12.75">
      <c r="A605" s="29"/>
      <c r="B605" s="29"/>
      <c r="C605" s="29"/>
      <c r="D605" s="29"/>
      <c r="E605" s="28"/>
      <c r="F605" s="28"/>
      <c r="G605" s="28"/>
      <c r="H605" s="28"/>
      <c r="I605" s="28"/>
      <c r="J605" s="28"/>
      <c r="K605" s="28"/>
      <c r="L605" s="28"/>
    </row>
    <row r="606" spans="1:12" s="27" customFormat="1" ht="12.75">
      <c r="A606" s="29"/>
      <c r="B606" s="29"/>
      <c r="C606" s="29"/>
      <c r="D606" s="29"/>
      <c r="E606" s="28"/>
      <c r="F606" s="28"/>
      <c r="G606" s="28"/>
      <c r="H606" s="28"/>
      <c r="I606" s="28"/>
      <c r="J606" s="28"/>
      <c r="K606" s="28"/>
      <c r="L606" s="28"/>
    </row>
    <row r="607" spans="1:12" s="27" customFormat="1" ht="12.75">
      <c r="A607" s="29"/>
      <c r="B607" s="29"/>
      <c r="C607" s="29"/>
      <c r="D607" s="29"/>
      <c r="E607" s="28"/>
      <c r="F607" s="28"/>
      <c r="G607" s="28"/>
      <c r="H607" s="28"/>
      <c r="I607" s="28"/>
      <c r="J607" s="28"/>
      <c r="K607" s="28"/>
      <c r="L607" s="28"/>
    </row>
    <row r="608" spans="1:12" s="27" customFormat="1" ht="12.75">
      <c r="A608" s="29"/>
      <c r="B608" s="29"/>
      <c r="C608" s="29"/>
      <c r="D608" s="29"/>
      <c r="E608" s="28"/>
      <c r="F608" s="28"/>
      <c r="G608" s="28"/>
      <c r="H608" s="28"/>
      <c r="I608" s="28"/>
      <c r="J608" s="28"/>
      <c r="K608" s="28"/>
      <c r="L608" s="28"/>
    </row>
    <row r="609" spans="1:12" s="27" customFormat="1" ht="12.75">
      <c r="A609" s="29"/>
      <c r="B609" s="29"/>
      <c r="C609" s="29"/>
      <c r="D609" s="29"/>
      <c r="E609" s="28"/>
      <c r="F609" s="28"/>
      <c r="G609" s="28"/>
      <c r="H609" s="28"/>
      <c r="I609" s="28"/>
      <c r="J609" s="28"/>
      <c r="K609" s="28"/>
      <c r="L609" s="28"/>
    </row>
    <row r="610" spans="1:12" s="27" customFormat="1" ht="12.75">
      <c r="A610" s="29"/>
      <c r="B610" s="29"/>
      <c r="C610" s="29"/>
      <c r="D610" s="29"/>
      <c r="E610" s="28"/>
      <c r="F610" s="28"/>
      <c r="G610" s="28"/>
      <c r="H610" s="28"/>
      <c r="I610" s="28"/>
      <c r="J610" s="28"/>
      <c r="K610" s="28"/>
      <c r="L610" s="28"/>
    </row>
    <row r="611" spans="1:12" s="27" customFormat="1" ht="12.75">
      <c r="A611" s="29"/>
      <c r="B611" s="29"/>
      <c r="C611" s="29"/>
      <c r="D611" s="29"/>
      <c r="E611" s="28"/>
      <c r="F611" s="28"/>
      <c r="G611" s="28"/>
      <c r="H611" s="28"/>
      <c r="I611" s="28"/>
      <c r="J611" s="28"/>
      <c r="K611" s="28"/>
      <c r="L611" s="28"/>
    </row>
    <row r="612" spans="1:12" s="27" customFormat="1" ht="12.75">
      <c r="A612" s="29"/>
      <c r="B612" s="29"/>
      <c r="C612" s="29"/>
      <c r="D612" s="29"/>
      <c r="E612" s="28"/>
      <c r="F612" s="28"/>
      <c r="G612" s="28"/>
      <c r="H612" s="28"/>
      <c r="I612" s="28"/>
      <c r="J612" s="28"/>
      <c r="K612" s="28"/>
      <c r="L612" s="28"/>
    </row>
    <row r="613" spans="1:12" s="27" customFormat="1" ht="12.75">
      <c r="A613" s="29"/>
      <c r="B613" s="29"/>
      <c r="C613" s="29"/>
      <c r="D613" s="29"/>
      <c r="E613" s="28"/>
      <c r="F613" s="28"/>
      <c r="G613" s="28"/>
      <c r="H613" s="28"/>
      <c r="I613" s="28"/>
      <c r="J613" s="28"/>
      <c r="K613" s="28"/>
      <c r="L613" s="28"/>
    </row>
    <row r="614" spans="1:12" s="27" customFormat="1" ht="12.75">
      <c r="A614" s="29"/>
      <c r="B614" s="29"/>
      <c r="C614" s="29"/>
      <c r="D614" s="29"/>
      <c r="E614" s="28"/>
      <c r="F614" s="28"/>
      <c r="G614" s="28"/>
      <c r="H614" s="28"/>
      <c r="I614" s="28"/>
      <c r="J614" s="28"/>
      <c r="K614" s="28"/>
      <c r="L614" s="28"/>
    </row>
    <row r="615" spans="1:12" s="27" customFormat="1" ht="12.75">
      <c r="A615" s="29"/>
      <c r="B615" s="29"/>
      <c r="C615" s="29"/>
      <c r="D615" s="29"/>
      <c r="E615" s="28"/>
      <c r="F615" s="28"/>
      <c r="G615" s="28"/>
      <c r="H615" s="28"/>
      <c r="I615" s="28"/>
      <c r="J615" s="28"/>
      <c r="K615" s="28"/>
      <c r="L615" s="28"/>
    </row>
    <row r="616" spans="1:12" s="27" customFormat="1" ht="12.75">
      <c r="A616" s="29"/>
      <c r="B616" s="29"/>
      <c r="C616" s="29"/>
      <c r="D616" s="29"/>
      <c r="E616" s="28"/>
      <c r="F616" s="28"/>
      <c r="G616" s="28"/>
      <c r="H616" s="28"/>
      <c r="I616" s="28"/>
      <c r="J616" s="28"/>
      <c r="K616" s="28"/>
      <c r="L616" s="28"/>
    </row>
    <row r="617" spans="1:12" s="27" customFormat="1" ht="12.75">
      <c r="A617" s="29"/>
      <c r="B617" s="29"/>
      <c r="C617" s="29"/>
      <c r="D617" s="29"/>
      <c r="E617" s="28"/>
      <c r="F617" s="28"/>
      <c r="G617" s="28"/>
      <c r="H617" s="28"/>
      <c r="I617" s="28"/>
      <c r="J617" s="28"/>
      <c r="K617" s="28"/>
      <c r="L617" s="28"/>
    </row>
    <row r="618" spans="1:12" s="27" customFormat="1" ht="12.75">
      <c r="A618" s="29"/>
      <c r="B618" s="29"/>
      <c r="C618" s="29"/>
      <c r="D618" s="29"/>
      <c r="E618" s="28"/>
      <c r="F618" s="28"/>
      <c r="G618" s="28"/>
      <c r="H618" s="28"/>
      <c r="I618" s="28"/>
      <c r="J618" s="28"/>
      <c r="K618" s="28"/>
      <c r="L618" s="28"/>
    </row>
    <row r="619" spans="1:12" s="27" customFormat="1" ht="12.75">
      <c r="A619" s="29"/>
      <c r="B619" s="29"/>
      <c r="C619" s="29"/>
      <c r="D619" s="29"/>
      <c r="E619" s="28"/>
      <c r="F619" s="28"/>
      <c r="G619" s="28"/>
      <c r="H619" s="28"/>
      <c r="I619" s="28"/>
      <c r="J619" s="28"/>
      <c r="K619" s="28"/>
      <c r="L619" s="28"/>
    </row>
    <row r="620" spans="1:12" s="27" customFormat="1" ht="12.75">
      <c r="A620" s="29"/>
      <c r="B620" s="29"/>
      <c r="C620" s="29"/>
      <c r="D620" s="29"/>
      <c r="E620" s="28"/>
      <c r="F620" s="28"/>
      <c r="G620" s="28"/>
      <c r="H620" s="28"/>
      <c r="I620" s="28"/>
      <c r="J620" s="28"/>
      <c r="K620" s="28"/>
      <c r="L620" s="28"/>
    </row>
    <row r="621" spans="1:12" s="27" customFormat="1" ht="12.75">
      <c r="A621" s="29"/>
      <c r="B621" s="29"/>
      <c r="C621" s="29"/>
      <c r="D621" s="29"/>
      <c r="E621" s="28"/>
      <c r="F621" s="28"/>
      <c r="G621" s="28"/>
      <c r="H621" s="28"/>
      <c r="I621" s="28"/>
      <c r="J621" s="28"/>
      <c r="K621" s="28"/>
      <c r="L621" s="28"/>
    </row>
    <row r="622" spans="1:12" s="27" customFormat="1" ht="12.75">
      <c r="A622" s="29"/>
      <c r="B622" s="29"/>
      <c r="C622" s="29"/>
      <c r="D622" s="29"/>
      <c r="E622" s="28"/>
      <c r="F622" s="28"/>
      <c r="G622" s="28"/>
      <c r="H622" s="28"/>
      <c r="I622" s="28"/>
      <c r="J622" s="28"/>
      <c r="K622" s="28"/>
      <c r="L622" s="28"/>
    </row>
    <row r="623" spans="1:12" s="27" customFormat="1" ht="12.75">
      <c r="A623" s="29"/>
      <c r="B623" s="29"/>
      <c r="C623" s="29"/>
      <c r="D623" s="29"/>
      <c r="E623" s="28"/>
      <c r="F623" s="28"/>
      <c r="G623" s="28"/>
      <c r="H623" s="28"/>
      <c r="I623" s="28"/>
      <c r="J623" s="28"/>
      <c r="K623" s="28"/>
      <c r="L623" s="28"/>
    </row>
    <row r="624" spans="1:12" s="27" customFormat="1" ht="12.75">
      <c r="A624" s="29"/>
      <c r="B624" s="29"/>
      <c r="C624" s="29"/>
      <c r="D624" s="29"/>
      <c r="E624" s="28"/>
      <c r="F624" s="28"/>
      <c r="G624" s="28"/>
      <c r="H624" s="28"/>
      <c r="I624" s="28"/>
      <c r="J624" s="28"/>
      <c r="K624" s="28"/>
      <c r="L624" s="28"/>
    </row>
    <row r="625" spans="1:12" s="27" customFormat="1" ht="12.75">
      <c r="A625" s="29"/>
      <c r="B625" s="29"/>
      <c r="C625" s="29"/>
      <c r="D625" s="29"/>
      <c r="E625" s="28"/>
      <c r="F625" s="28"/>
      <c r="G625" s="28"/>
      <c r="H625" s="28"/>
      <c r="I625" s="28"/>
      <c r="J625" s="28"/>
      <c r="K625" s="28"/>
      <c r="L625" s="28"/>
    </row>
    <row r="626" spans="1:12" s="27" customFormat="1" ht="12.75">
      <c r="A626" s="29"/>
      <c r="B626" s="29"/>
      <c r="C626" s="29"/>
      <c r="D626" s="29"/>
      <c r="E626" s="28"/>
      <c r="F626" s="28"/>
      <c r="G626" s="28"/>
      <c r="H626" s="28"/>
      <c r="I626" s="28"/>
      <c r="J626" s="28"/>
      <c r="K626" s="28"/>
      <c r="L626" s="28"/>
    </row>
    <row r="627" spans="1:12" s="27" customFormat="1" ht="12.75">
      <c r="A627" s="29"/>
      <c r="B627" s="29"/>
      <c r="C627" s="29"/>
      <c r="D627" s="29"/>
      <c r="E627" s="28"/>
      <c r="F627" s="28"/>
      <c r="G627" s="28"/>
      <c r="H627" s="28"/>
      <c r="I627" s="28"/>
      <c r="J627" s="28"/>
      <c r="K627" s="28"/>
      <c r="L627" s="28"/>
    </row>
    <row r="628" spans="1:12" s="27" customFormat="1" ht="12.75">
      <c r="A628" s="29"/>
      <c r="B628" s="29"/>
      <c r="C628" s="29"/>
      <c r="D628" s="29"/>
      <c r="E628" s="28"/>
      <c r="F628" s="28"/>
      <c r="G628" s="28"/>
      <c r="H628" s="28"/>
      <c r="I628" s="28"/>
      <c r="J628" s="28"/>
      <c r="K628" s="28"/>
      <c r="L628" s="28"/>
    </row>
    <row r="629" spans="1:12" s="27" customFormat="1" ht="12.75">
      <c r="A629" s="29"/>
      <c r="B629" s="29"/>
      <c r="C629" s="29"/>
      <c r="D629" s="29"/>
      <c r="E629" s="28"/>
      <c r="F629" s="28"/>
      <c r="G629" s="28"/>
      <c r="H629" s="28"/>
      <c r="I629" s="28"/>
      <c r="J629" s="28"/>
      <c r="K629" s="28"/>
      <c r="L629" s="28"/>
    </row>
    <row r="630" spans="1:12" s="27" customFormat="1" ht="12.75">
      <c r="A630" s="29"/>
      <c r="B630" s="29"/>
      <c r="C630" s="29"/>
      <c r="D630" s="29"/>
      <c r="E630" s="28"/>
      <c r="F630" s="28"/>
      <c r="G630" s="28"/>
      <c r="H630" s="28"/>
      <c r="I630" s="28"/>
      <c r="J630" s="28"/>
      <c r="K630" s="28"/>
      <c r="L630" s="28"/>
    </row>
    <row r="631" spans="1:12" s="27" customFormat="1" ht="12.75">
      <c r="A631" s="29"/>
      <c r="B631" s="29"/>
      <c r="C631" s="29"/>
      <c r="D631" s="29"/>
      <c r="E631" s="28"/>
      <c r="F631" s="28"/>
      <c r="G631" s="28"/>
      <c r="H631" s="28"/>
      <c r="I631" s="28"/>
      <c r="J631" s="28"/>
      <c r="K631" s="28"/>
      <c r="L631" s="28"/>
    </row>
    <row r="632" spans="1:12" s="27" customFormat="1" ht="12.75">
      <c r="A632" s="29"/>
      <c r="B632" s="29"/>
      <c r="C632" s="29"/>
      <c r="D632" s="29"/>
      <c r="E632" s="28"/>
      <c r="F632" s="28"/>
      <c r="G632" s="28"/>
      <c r="H632" s="28"/>
      <c r="I632" s="28"/>
      <c r="J632" s="28"/>
      <c r="K632" s="28"/>
      <c r="L632" s="28"/>
    </row>
    <row r="633" spans="1:12" s="27" customFormat="1" ht="12.75">
      <c r="A633" s="29"/>
      <c r="B633" s="29"/>
      <c r="C633" s="29"/>
      <c r="D633" s="29"/>
      <c r="E633" s="28"/>
      <c r="F633" s="28"/>
      <c r="G633" s="28"/>
      <c r="H633" s="28"/>
      <c r="I633" s="28"/>
      <c r="J633" s="28"/>
      <c r="K633" s="28"/>
      <c r="L633" s="28"/>
    </row>
    <row r="634" spans="1:12" s="27" customFormat="1" ht="12.75">
      <c r="A634" s="29"/>
      <c r="B634" s="29"/>
      <c r="C634" s="29"/>
      <c r="D634" s="29"/>
      <c r="E634" s="28"/>
      <c r="F634" s="28"/>
      <c r="G634" s="28"/>
      <c r="H634" s="28"/>
      <c r="I634" s="28"/>
      <c r="J634" s="28"/>
      <c r="K634" s="28"/>
      <c r="L634" s="28"/>
    </row>
    <row r="635" spans="1:12" s="27" customFormat="1" ht="12.75">
      <c r="A635" s="29"/>
      <c r="B635" s="29"/>
      <c r="C635" s="29"/>
      <c r="D635" s="29"/>
      <c r="E635" s="28"/>
      <c r="F635" s="28"/>
      <c r="G635" s="28"/>
      <c r="H635" s="28"/>
      <c r="I635" s="28"/>
      <c r="J635" s="28"/>
      <c r="K635" s="28"/>
      <c r="L635" s="28"/>
    </row>
    <row r="636" spans="1:12" s="27" customFormat="1" ht="12.75">
      <c r="A636" s="29"/>
      <c r="B636" s="29"/>
      <c r="C636" s="29"/>
      <c r="D636" s="29"/>
      <c r="E636" s="28"/>
      <c r="F636" s="28"/>
      <c r="G636" s="28"/>
      <c r="H636" s="28"/>
      <c r="I636" s="28"/>
      <c r="J636" s="28"/>
      <c r="K636" s="28"/>
      <c r="L636" s="28"/>
    </row>
    <row r="637" spans="1:12" s="27" customFormat="1" ht="12.75">
      <c r="A637" s="29"/>
      <c r="B637" s="29"/>
      <c r="C637" s="29"/>
      <c r="D637" s="29"/>
      <c r="E637" s="28"/>
      <c r="F637" s="28"/>
      <c r="G637" s="28"/>
      <c r="H637" s="28"/>
      <c r="I637" s="28"/>
      <c r="J637" s="28"/>
      <c r="K637" s="28"/>
      <c r="L637" s="28"/>
    </row>
    <row r="638" spans="1:12" s="27" customFormat="1" ht="12.75">
      <c r="A638" s="29"/>
      <c r="B638" s="29"/>
      <c r="C638" s="29"/>
      <c r="D638" s="29"/>
      <c r="E638" s="28"/>
      <c r="F638" s="28"/>
      <c r="G638" s="28"/>
      <c r="H638" s="28"/>
      <c r="I638" s="28"/>
      <c r="J638" s="28"/>
      <c r="K638" s="28"/>
      <c r="L638" s="28"/>
    </row>
    <row r="639" spans="1:12" s="27" customFormat="1" ht="12.75">
      <c r="A639" s="29"/>
      <c r="B639" s="29"/>
      <c r="C639" s="29"/>
      <c r="D639" s="29"/>
      <c r="E639" s="28"/>
      <c r="F639" s="28"/>
      <c r="G639" s="28"/>
      <c r="H639" s="28"/>
      <c r="I639" s="28"/>
      <c r="J639" s="28"/>
      <c r="K639" s="28"/>
      <c r="L639" s="28"/>
    </row>
    <row r="640" spans="1:12" s="27" customFormat="1" ht="12.75">
      <c r="A640" s="29"/>
      <c r="B640" s="29"/>
      <c r="C640" s="29"/>
      <c r="D640" s="29"/>
      <c r="E640" s="28"/>
      <c r="F640" s="28"/>
      <c r="G640" s="28"/>
      <c r="H640" s="28"/>
      <c r="I640" s="28"/>
      <c r="J640" s="28"/>
      <c r="K640" s="28"/>
      <c r="L640" s="28"/>
    </row>
    <row r="641" spans="1:12" s="27" customFormat="1" ht="12.75">
      <c r="A641" s="29"/>
      <c r="B641" s="29"/>
      <c r="C641" s="29"/>
      <c r="D641" s="29"/>
      <c r="E641" s="28"/>
      <c r="F641" s="28"/>
      <c r="G641" s="28"/>
      <c r="H641" s="28"/>
      <c r="I641" s="28"/>
      <c r="J641" s="28"/>
      <c r="K641" s="28"/>
      <c r="L641" s="28"/>
    </row>
    <row r="642" spans="1:12" s="27" customFormat="1" ht="12.75">
      <c r="A642" s="29"/>
      <c r="B642" s="29"/>
      <c r="C642" s="29"/>
      <c r="D642" s="29"/>
      <c r="E642" s="28"/>
      <c r="F642" s="28"/>
      <c r="G642" s="28"/>
      <c r="H642" s="28"/>
      <c r="I642" s="28"/>
      <c r="J642" s="28"/>
      <c r="K642" s="28"/>
      <c r="L642" s="28"/>
    </row>
    <row r="643" spans="1:12" s="27" customFormat="1" ht="12.75">
      <c r="A643" s="29"/>
      <c r="B643" s="29"/>
      <c r="C643" s="29"/>
      <c r="D643" s="29"/>
      <c r="E643" s="28"/>
      <c r="F643" s="28"/>
      <c r="G643" s="28"/>
      <c r="H643" s="28"/>
      <c r="I643" s="28"/>
      <c r="J643" s="28"/>
      <c r="K643" s="28"/>
      <c r="L643" s="28"/>
    </row>
    <row r="644" spans="1:12" s="27" customFormat="1" ht="12.75">
      <c r="A644" s="29"/>
      <c r="B644" s="29"/>
      <c r="C644" s="29"/>
      <c r="D644" s="29"/>
      <c r="E644" s="28"/>
      <c r="F644" s="28"/>
      <c r="G644" s="28"/>
      <c r="H644" s="28"/>
      <c r="I644" s="28"/>
      <c r="J644" s="28"/>
      <c r="K644" s="28"/>
      <c r="L644" s="28"/>
    </row>
    <row r="645" spans="1:12" s="27" customFormat="1" ht="12.75">
      <c r="A645" s="29"/>
      <c r="B645" s="29"/>
      <c r="C645" s="29"/>
      <c r="D645" s="29"/>
      <c r="E645" s="28"/>
      <c r="F645" s="28"/>
      <c r="G645" s="28"/>
      <c r="H645" s="28"/>
      <c r="I645" s="28"/>
      <c r="J645" s="28"/>
      <c r="K645" s="28"/>
      <c r="L645" s="28"/>
    </row>
    <row r="646" spans="1:12" s="27" customFormat="1" ht="12.75">
      <c r="A646" s="29"/>
      <c r="B646" s="29"/>
      <c r="C646" s="29"/>
      <c r="D646" s="29"/>
      <c r="E646" s="28"/>
      <c r="F646" s="28"/>
      <c r="G646" s="28"/>
      <c r="H646" s="28"/>
      <c r="I646" s="28"/>
      <c r="J646" s="28"/>
      <c r="K646" s="28"/>
      <c r="L646" s="28"/>
    </row>
    <row r="647" spans="1:12" s="27" customFormat="1" ht="12.75">
      <c r="A647" s="29"/>
      <c r="B647" s="29"/>
      <c r="C647" s="29"/>
      <c r="D647" s="29"/>
      <c r="E647" s="28"/>
      <c r="F647" s="28"/>
      <c r="G647" s="28"/>
      <c r="H647" s="28"/>
      <c r="I647" s="28"/>
      <c r="J647" s="28"/>
      <c r="K647" s="28"/>
      <c r="L647" s="28"/>
    </row>
    <row r="648" spans="1:12" s="27" customFormat="1" ht="12.75">
      <c r="A648" s="29"/>
      <c r="B648" s="29"/>
      <c r="C648" s="29"/>
      <c r="D648" s="29"/>
      <c r="E648" s="28"/>
      <c r="F648" s="28"/>
      <c r="G648" s="28"/>
      <c r="H648" s="28"/>
      <c r="I648" s="28"/>
      <c r="J648" s="28"/>
      <c r="K648" s="28"/>
      <c r="L648" s="28"/>
    </row>
    <row r="649" spans="1:12" s="27" customFormat="1" ht="12.75">
      <c r="A649" s="29"/>
      <c r="B649" s="29"/>
      <c r="C649" s="29"/>
      <c r="D649" s="29"/>
      <c r="E649" s="28"/>
      <c r="F649" s="28"/>
      <c r="G649" s="28"/>
      <c r="H649" s="28"/>
      <c r="I649" s="28"/>
      <c r="J649" s="28"/>
      <c r="K649" s="28"/>
      <c r="L649" s="28"/>
    </row>
    <row r="650" spans="1:12" s="27" customFormat="1" ht="12.75">
      <c r="A650" s="29"/>
      <c r="B650" s="29"/>
      <c r="C650" s="29"/>
      <c r="D650" s="29"/>
      <c r="E650" s="28"/>
      <c r="F650" s="28"/>
      <c r="G650" s="28"/>
      <c r="H650" s="28"/>
      <c r="I650" s="28"/>
      <c r="J650" s="28"/>
      <c r="K650" s="28"/>
      <c r="L650" s="28"/>
    </row>
    <row r="651" spans="1:12" s="27" customFormat="1" ht="12.75">
      <c r="A651" s="29"/>
      <c r="B651" s="29"/>
      <c r="C651" s="29"/>
      <c r="D651" s="29"/>
      <c r="E651" s="28"/>
      <c r="F651" s="28"/>
      <c r="G651" s="28"/>
      <c r="H651" s="28"/>
      <c r="I651" s="28"/>
      <c r="J651" s="28"/>
      <c r="K651" s="28"/>
      <c r="L651" s="28"/>
    </row>
    <row r="652" spans="1:12" s="27" customFormat="1" ht="12.75">
      <c r="A652" s="29"/>
      <c r="B652" s="29"/>
      <c r="C652" s="29"/>
      <c r="D652" s="29"/>
      <c r="E652" s="28"/>
      <c r="F652" s="28"/>
      <c r="G652" s="28"/>
      <c r="H652" s="28"/>
      <c r="I652" s="28"/>
      <c r="J652" s="28"/>
      <c r="K652" s="28"/>
      <c r="L652" s="28"/>
    </row>
  </sheetData>
  <mergeCells count="1">
    <mergeCell ref="A6:K6"/>
  </mergeCells>
  <printOptions horizontalCentered="1"/>
  <pageMargins left="0.3937007874015748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3"/>
  <headerFooter alignWithMargins="0">
    <oddFooter>&amp;C&amp;8Wydatki - str.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49">
      <selection activeCell="N10" sqref="N10"/>
    </sheetView>
  </sheetViews>
  <sheetFormatPr defaultColWidth="9.00390625" defaultRowHeight="12.75"/>
  <cols>
    <col min="1" max="1" width="5.875" style="9" customWidth="1"/>
    <col min="2" max="2" width="7.25390625" style="9" bestFit="1" customWidth="1"/>
    <col min="3" max="3" width="5.00390625" style="9" bestFit="1" customWidth="1"/>
    <col min="4" max="4" width="27.375" style="9" customWidth="1"/>
    <col min="5" max="5" width="12.75390625" style="9" hidden="1" customWidth="1"/>
    <col min="6" max="6" width="12.875" style="9" hidden="1" customWidth="1"/>
    <col min="7" max="7" width="13.125" style="9" hidden="1" customWidth="1"/>
    <col min="8" max="8" width="34.875" style="9" hidden="1" customWidth="1"/>
    <col min="9" max="9" width="10.375" style="9" hidden="1" customWidth="1"/>
    <col min="10" max="10" width="13.875" style="9" bestFit="1" customWidth="1"/>
    <col min="11" max="11" width="13.00390625" style="9" customWidth="1"/>
    <col min="12" max="12" width="13.875" style="9" customWidth="1"/>
  </cols>
  <sheetData>
    <row r="1" spans="1:12" ht="12.75">
      <c r="A1" s="73"/>
      <c r="B1" s="73"/>
      <c r="C1" s="73"/>
      <c r="D1" s="73"/>
      <c r="E1" s="74"/>
      <c r="F1" s="74"/>
      <c r="G1" s="74"/>
      <c r="H1" s="130"/>
      <c r="I1" s="130"/>
      <c r="J1" s="130" t="s">
        <v>542</v>
      </c>
      <c r="K1" s="130"/>
      <c r="L1" s="74"/>
    </row>
    <row r="2" spans="1:12" ht="12.75">
      <c r="A2" s="73"/>
      <c r="B2" s="73"/>
      <c r="C2" s="73"/>
      <c r="D2" s="73"/>
      <c r="E2" s="74"/>
      <c r="F2" s="74"/>
      <c r="G2" s="74"/>
      <c r="H2" s="130"/>
      <c r="I2" s="130"/>
      <c r="J2" s="130" t="s">
        <v>520</v>
      </c>
      <c r="K2" s="130"/>
      <c r="L2" s="74"/>
    </row>
    <row r="3" spans="1:12" ht="12.75">
      <c r="A3" s="73"/>
      <c r="B3" s="73"/>
      <c r="C3" s="73"/>
      <c r="D3" s="73"/>
      <c r="E3" s="74"/>
      <c r="F3" s="74"/>
      <c r="G3" s="74"/>
      <c r="H3" s="130"/>
      <c r="I3" s="130"/>
      <c r="J3" s="130" t="s">
        <v>469</v>
      </c>
      <c r="K3" s="130"/>
      <c r="L3" s="74"/>
    </row>
    <row r="4" spans="1:12" ht="12.75">
      <c r="A4" s="73"/>
      <c r="B4" s="73"/>
      <c r="C4" s="73"/>
      <c r="D4" s="73"/>
      <c r="E4" s="74"/>
      <c r="F4" s="74"/>
      <c r="G4" s="74"/>
      <c r="H4" s="130"/>
      <c r="I4" s="130"/>
      <c r="J4" s="130" t="s">
        <v>477</v>
      </c>
      <c r="K4" s="130"/>
      <c r="L4" s="74"/>
    </row>
    <row r="5" spans="1:12" ht="12.7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ht="27.75" customHeight="1">
      <c r="A6" s="271" t="s">
        <v>417</v>
      </c>
      <c r="B6" s="271"/>
      <c r="C6" s="271"/>
      <c r="D6" s="271"/>
      <c r="E6" s="139"/>
      <c r="F6" s="139"/>
      <c r="G6" s="139"/>
      <c r="H6" s="139"/>
      <c r="I6" s="139"/>
      <c r="J6" s="139"/>
      <c r="K6" s="139"/>
      <c r="L6" s="139"/>
    </row>
    <row r="7" spans="1:12" ht="11.25" customHeight="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</row>
    <row r="8" spans="1:12" s="9" customFormat="1" ht="28.5" customHeight="1">
      <c r="A8" s="80" t="s">
        <v>0</v>
      </c>
      <c r="B8" s="80" t="s">
        <v>1</v>
      </c>
      <c r="C8" s="117" t="s">
        <v>2</v>
      </c>
      <c r="D8" s="80" t="s">
        <v>446</v>
      </c>
      <c r="E8" s="132" t="s">
        <v>159</v>
      </c>
      <c r="F8" s="132" t="s">
        <v>234</v>
      </c>
      <c r="G8" s="132" t="s">
        <v>235</v>
      </c>
      <c r="H8" s="132" t="s">
        <v>439</v>
      </c>
      <c r="I8" s="132" t="s">
        <v>436</v>
      </c>
      <c r="J8" s="132" t="s">
        <v>437</v>
      </c>
      <c r="K8" s="132" t="s">
        <v>237</v>
      </c>
      <c r="L8" s="132" t="s">
        <v>445</v>
      </c>
    </row>
    <row r="9" spans="1:12" s="9" customFormat="1" ht="24" customHeight="1">
      <c r="A9" s="43" t="s">
        <v>18</v>
      </c>
      <c r="B9" s="34"/>
      <c r="C9" s="72"/>
      <c r="D9" s="46" t="s">
        <v>19</v>
      </c>
      <c r="E9" s="82">
        <f>SUM(E10)</f>
        <v>144800</v>
      </c>
      <c r="F9" s="82">
        <f>SUM(F10)</f>
        <v>0</v>
      </c>
      <c r="G9" s="82">
        <f>SUM(G10)</f>
        <v>0</v>
      </c>
      <c r="H9" s="82">
        <f aca="true" t="shared" si="0" ref="H9:H15">SUM(E9+F9-G9)</f>
        <v>144800</v>
      </c>
      <c r="I9" s="82">
        <f>SUM(I10)</f>
        <v>0</v>
      </c>
      <c r="J9" s="82">
        <f>SUM(H9:I9)</f>
        <v>144800</v>
      </c>
      <c r="K9" s="82">
        <f>SUM(K10)</f>
        <v>0</v>
      </c>
      <c r="L9" s="82">
        <f>SUM(J9:K9)</f>
        <v>144800</v>
      </c>
    </row>
    <row r="10" spans="1:12" s="30" customFormat="1" ht="21.75" customHeight="1">
      <c r="A10" s="86"/>
      <c r="B10" s="86">
        <v>75011</v>
      </c>
      <c r="C10" s="87"/>
      <c r="D10" s="48" t="s">
        <v>20</v>
      </c>
      <c r="E10" s="114">
        <f>E11</f>
        <v>144800</v>
      </c>
      <c r="F10" s="114">
        <f>F11</f>
        <v>0</v>
      </c>
      <c r="G10" s="114">
        <f>G11</f>
        <v>0</v>
      </c>
      <c r="H10" s="112">
        <f t="shared" si="0"/>
        <v>144800</v>
      </c>
      <c r="I10" s="114">
        <f>I11</f>
        <v>0</v>
      </c>
      <c r="J10" s="112">
        <f aca="true" t="shared" si="1" ref="J10:J51">SUM(H10:I10)</f>
        <v>144800</v>
      </c>
      <c r="K10" s="114">
        <f>K11</f>
        <v>0</v>
      </c>
      <c r="L10" s="112">
        <f aca="true" t="shared" si="2" ref="L10:L51">SUM(J10:K10)</f>
        <v>144800</v>
      </c>
    </row>
    <row r="11" spans="1:12" s="30" customFormat="1" ht="67.5">
      <c r="A11" s="86"/>
      <c r="B11" s="107"/>
      <c r="C11" s="88" t="s">
        <v>208</v>
      </c>
      <c r="D11" s="48" t="s">
        <v>264</v>
      </c>
      <c r="E11" s="114">
        <v>144800</v>
      </c>
      <c r="F11" s="114"/>
      <c r="G11" s="114"/>
      <c r="H11" s="112">
        <f t="shared" si="0"/>
        <v>144800</v>
      </c>
      <c r="I11" s="114">
        <v>0</v>
      </c>
      <c r="J11" s="112">
        <f t="shared" si="1"/>
        <v>144800</v>
      </c>
      <c r="K11" s="114">
        <v>0</v>
      </c>
      <c r="L11" s="112">
        <f t="shared" si="2"/>
        <v>144800</v>
      </c>
    </row>
    <row r="12" spans="1:12" s="9" customFormat="1" ht="48">
      <c r="A12" s="43">
        <v>751</v>
      </c>
      <c r="B12" s="45"/>
      <c r="C12" s="83"/>
      <c r="D12" s="46" t="s">
        <v>23</v>
      </c>
      <c r="E12" s="84">
        <f>SUM(E13)</f>
        <v>3809</v>
      </c>
      <c r="F12" s="84">
        <f>SUM(F13)</f>
        <v>0</v>
      </c>
      <c r="G12" s="84">
        <f>SUM(G13)</f>
        <v>0</v>
      </c>
      <c r="H12" s="82">
        <f t="shared" si="0"/>
        <v>3809</v>
      </c>
      <c r="I12" s="84">
        <f>SUM(I13)</f>
        <v>0</v>
      </c>
      <c r="J12" s="82">
        <f t="shared" si="1"/>
        <v>3809</v>
      </c>
      <c r="K12" s="84">
        <f>SUM(K13)</f>
        <v>0</v>
      </c>
      <c r="L12" s="82">
        <f t="shared" si="2"/>
        <v>3809</v>
      </c>
    </row>
    <row r="13" spans="1:12" s="30" customFormat="1" ht="33.75">
      <c r="A13" s="107"/>
      <c r="B13" s="86">
        <v>75101</v>
      </c>
      <c r="C13" s="87"/>
      <c r="D13" s="48" t="s">
        <v>24</v>
      </c>
      <c r="E13" s="115">
        <f>E14</f>
        <v>3809</v>
      </c>
      <c r="F13" s="115">
        <f>F14</f>
        <v>0</v>
      </c>
      <c r="G13" s="115">
        <f>G14</f>
        <v>0</v>
      </c>
      <c r="H13" s="112">
        <f t="shared" si="0"/>
        <v>3809</v>
      </c>
      <c r="I13" s="115">
        <f>I14</f>
        <v>0</v>
      </c>
      <c r="J13" s="112">
        <f t="shared" si="1"/>
        <v>3809</v>
      </c>
      <c r="K13" s="115">
        <f>K14</f>
        <v>0</v>
      </c>
      <c r="L13" s="112">
        <f t="shared" si="2"/>
        <v>3809</v>
      </c>
    </row>
    <row r="14" spans="1:12" s="30" customFormat="1" ht="67.5">
      <c r="A14" s="107"/>
      <c r="B14" s="86"/>
      <c r="C14" s="88" t="s">
        <v>208</v>
      </c>
      <c r="D14" s="48" t="s">
        <v>269</v>
      </c>
      <c r="E14" s="115">
        <v>3809</v>
      </c>
      <c r="F14" s="115"/>
      <c r="G14" s="115"/>
      <c r="H14" s="112">
        <f t="shared" si="0"/>
        <v>3809</v>
      </c>
      <c r="I14" s="115"/>
      <c r="J14" s="112">
        <f t="shared" si="1"/>
        <v>3809</v>
      </c>
      <c r="K14" s="115"/>
      <c r="L14" s="112">
        <f t="shared" si="2"/>
        <v>3809</v>
      </c>
    </row>
    <row r="15" spans="1:12" s="51" customFormat="1" ht="72">
      <c r="A15" s="45">
        <v>756</v>
      </c>
      <c r="B15" s="43"/>
      <c r="C15" s="121"/>
      <c r="D15" s="126" t="s">
        <v>177</v>
      </c>
      <c r="E15" s="122">
        <f>SUM(E16)</f>
        <v>228717</v>
      </c>
      <c r="F15" s="122">
        <f>SUM(F16)</f>
        <v>228717</v>
      </c>
      <c r="G15" s="122">
        <f>SUM(G16)</f>
        <v>228717</v>
      </c>
      <c r="H15" s="82">
        <f t="shared" si="0"/>
        <v>228717</v>
      </c>
      <c r="I15" s="122">
        <f>SUM(I16)</f>
        <v>0</v>
      </c>
      <c r="J15" s="82">
        <f t="shared" si="1"/>
        <v>228717</v>
      </c>
      <c r="K15" s="122">
        <f>SUM(K16)</f>
        <v>0</v>
      </c>
      <c r="L15" s="82">
        <f t="shared" si="2"/>
        <v>228717</v>
      </c>
    </row>
    <row r="16" spans="1:12" s="30" customFormat="1" ht="56.25">
      <c r="A16" s="107"/>
      <c r="B16" s="86">
        <v>75615</v>
      </c>
      <c r="C16" s="88"/>
      <c r="D16" s="85" t="s">
        <v>178</v>
      </c>
      <c r="E16" s="114">
        <f>SUM(E17:E18)</f>
        <v>228717</v>
      </c>
      <c r="F16" s="114">
        <f>SUM(F17:F18)</f>
        <v>228717</v>
      </c>
      <c r="G16" s="114">
        <f>SUM(G17:G18)</f>
        <v>228717</v>
      </c>
      <c r="H16" s="114">
        <f>SUM(H17:H18)</f>
        <v>228717</v>
      </c>
      <c r="I16" s="114">
        <f>SUM(I17:I18)</f>
        <v>0</v>
      </c>
      <c r="J16" s="112">
        <f t="shared" si="1"/>
        <v>228717</v>
      </c>
      <c r="K16" s="114">
        <f>SUM(K17:K18)</f>
        <v>0</v>
      </c>
      <c r="L16" s="112">
        <f t="shared" si="2"/>
        <v>228717</v>
      </c>
    </row>
    <row r="17" spans="1:12" s="30" customFormat="1" ht="45" hidden="1">
      <c r="A17" s="107"/>
      <c r="B17" s="86"/>
      <c r="C17" s="88">
        <v>2440</v>
      </c>
      <c r="D17" s="85" t="s">
        <v>216</v>
      </c>
      <c r="E17" s="114">
        <v>228717</v>
      </c>
      <c r="F17" s="114"/>
      <c r="G17" s="114">
        <v>228717</v>
      </c>
      <c r="H17" s="112">
        <f>SUM(E17+F17-G17)</f>
        <v>0</v>
      </c>
      <c r="I17" s="114"/>
      <c r="J17" s="112">
        <f t="shared" si="1"/>
        <v>0</v>
      </c>
      <c r="K17" s="114"/>
      <c r="L17" s="112">
        <f t="shared" si="2"/>
        <v>0</v>
      </c>
    </row>
    <row r="18" spans="1:12" s="30" customFormat="1" ht="33.75">
      <c r="A18" s="107"/>
      <c r="B18" s="86"/>
      <c r="C18" s="88">
        <v>2680</v>
      </c>
      <c r="D18" s="97" t="s">
        <v>399</v>
      </c>
      <c r="E18" s="114">
        <v>0</v>
      </c>
      <c r="F18" s="114">
        <v>228717</v>
      </c>
      <c r="G18" s="114"/>
      <c r="H18" s="112">
        <f>SUM(E18+F18-G18)</f>
        <v>228717</v>
      </c>
      <c r="I18" s="114">
        <v>0</v>
      </c>
      <c r="J18" s="112">
        <f t="shared" si="1"/>
        <v>228717</v>
      </c>
      <c r="K18" s="114">
        <v>0</v>
      </c>
      <c r="L18" s="112">
        <f t="shared" si="2"/>
        <v>228717</v>
      </c>
    </row>
    <row r="19" spans="1:12" s="13" customFormat="1" ht="24.75" customHeight="1">
      <c r="A19" s="163" t="s">
        <v>122</v>
      </c>
      <c r="B19" s="164"/>
      <c r="C19" s="165"/>
      <c r="D19" s="166" t="s">
        <v>123</v>
      </c>
      <c r="E19" s="167">
        <f aca="true" t="shared" si="3" ref="E19:G20">SUM(E20)</f>
        <v>2940</v>
      </c>
      <c r="F19" s="167">
        <f t="shared" si="3"/>
        <v>0</v>
      </c>
      <c r="G19" s="167">
        <f t="shared" si="3"/>
        <v>0</v>
      </c>
      <c r="H19" s="82">
        <f>SUM(H20,H23)</f>
        <v>2940</v>
      </c>
      <c r="I19" s="82">
        <f>SUM(I20,I23)</f>
        <v>1600</v>
      </c>
      <c r="J19" s="82">
        <f t="shared" si="1"/>
        <v>4540</v>
      </c>
      <c r="K19" s="82">
        <f>SUM(K20,K23)</f>
        <v>0</v>
      </c>
      <c r="L19" s="82">
        <f t="shared" si="2"/>
        <v>4540</v>
      </c>
    </row>
    <row r="20" spans="1:12" s="30" customFormat="1" ht="24.75" customHeight="1">
      <c r="A20" s="86"/>
      <c r="B20" s="103" t="s">
        <v>124</v>
      </c>
      <c r="C20" s="107"/>
      <c r="D20" s="48" t="s">
        <v>60</v>
      </c>
      <c r="E20" s="114">
        <f t="shared" si="3"/>
        <v>2940</v>
      </c>
      <c r="F20" s="114">
        <f t="shared" si="3"/>
        <v>0</v>
      </c>
      <c r="G20" s="114">
        <f t="shared" si="3"/>
        <v>0</v>
      </c>
      <c r="H20" s="112">
        <f>SUM(H21:H22)</f>
        <v>2940</v>
      </c>
      <c r="I20" s="112">
        <f>SUM(I21:I22)</f>
        <v>1000</v>
      </c>
      <c r="J20" s="112">
        <f t="shared" si="1"/>
        <v>3940</v>
      </c>
      <c r="K20" s="112">
        <f>SUM(K21:K22)</f>
        <v>0</v>
      </c>
      <c r="L20" s="112">
        <f t="shared" si="2"/>
        <v>3940</v>
      </c>
    </row>
    <row r="21" spans="1:12" s="30" customFormat="1" ht="56.25">
      <c r="A21" s="107"/>
      <c r="B21" s="86"/>
      <c r="C21" s="162">
        <v>2310</v>
      </c>
      <c r="D21" s="48" t="s">
        <v>299</v>
      </c>
      <c r="E21" s="90">
        <v>2940</v>
      </c>
      <c r="F21" s="90"/>
      <c r="G21" s="90"/>
      <c r="H21" s="112">
        <f>SUM(E21+F21-G21)</f>
        <v>2940</v>
      </c>
      <c r="I21" s="90">
        <v>0</v>
      </c>
      <c r="J21" s="112">
        <f t="shared" si="1"/>
        <v>2940</v>
      </c>
      <c r="K21" s="90">
        <v>0</v>
      </c>
      <c r="L21" s="112">
        <f t="shared" si="2"/>
        <v>2940</v>
      </c>
    </row>
    <row r="22" spans="1:12" s="30" customFormat="1" ht="56.25">
      <c r="A22" s="107"/>
      <c r="B22" s="86"/>
      <c r="C22" s="93">
        <v>2320</v>
      </c>
      <c r="D22" s="97" t="s">
        <v>266</v>
      </c>
      <c r="E22" s="90"/>
      <c r="F22" s="90"/>
      <c r="G22" s="90"/>
      <c r="H22" s="112">
        <v>0</v>
      </c>
      <c r="I22" s="90">
        <f>300+300+200+200</f>
        <v>1000</v>
      </c>
      <c r="J22" s="112">
        <f t="shared" si="1"/>
        <v>1000</v>
      </c>
      <c r="K22" s="90"/>
      <c r="L22" s="112">
        <f t="shared" si="2"/>
        <v>1000</v>
      </c>
    </row>
    <row r="23" spans="1:12" s="30" customFormat="1" ht="19.5" customHeight="1">
      <c r="A23" s="107"/>
      <c r="B23" s="86">
        <v>80110</v>
      </c>
      <c r="C23" s="162"/>
      <c r="D23" s="48" t="s">
        <v>61</v>
      </c>
      <c r="E23" s="90"/>
      <c r="F23" s="90"/>
      <c r="G23" s="90"/>
      <c r="H23" s="112">
        <f>SUM(H24)</f>
        <v>0</v>
      </c>
      <c r="I23" s="112">
        <f>SUM(I24)</f>
        <v>600</v>
      </c>
      <c r="J23" s="112">
        <f t="shared" si="1"/>
        <v>600</v>
      </c>
      <c r="K23" s="112">
        <f>SUM(K24)</f>
        <v>0</v>
      </c>
      <c r="L23" s="112">
        <f t="shared" si="2"/>
        <v>600</v>
      </c>
    </row>
    <row r="24" spans="1:12" s="30" customFormat="1" ht="56.25">
      <c r="A24" s="107"/>
      <c r="B24" s="86"/>
      <c r="C24" s="93">
        <v>2320</v>
      </c>
      <c r="D24" s="97" t="s">
        <v>266</v>
      </c>
      <c r="E24" s="90"/>
      <c r="F24" s="90"/>
      <c r="G24" s="90"/>
      <c r="H24" s="112">
        <v>0</v>
      </c>
      <c r="I24" s="90">
        <f>300+300</f>
        <v>600</v>
      </c>
      <c r="J24" s="112">
        <f t="shared" si="1"/>
        <v>600</v>
      </c>
      <c r="K24" s="90"/>
      <c r="L24" s="112">
        <f t="shared" si="2"/>
        <v>600</v>
      </c>
    </row>
    <row r="25" spans="1:12" s="51" customFormat="1" ht="28.5" customHeight="1">
      <c r="A25" s="43" t="s">
        <v>179</v>
      </c>
      <c r="B25" s="45"/>
      <c r="C25" s="83"/>
      <c r="D25" s="46" t="s">
        <v>220</v>
      </c>
      <c r="E25" s="82">
        <f>SUM(E28,E30,E32,E35,E37,)</f>
        <v>9582400</v>
      </c>
      <c r="F25" s="82">
        <f>SUM(F28,F30,F32,F35,F37,)</f>
        <v>0</v>
      </c>
      <c r="G25" s="82">
        <f>SUM(G28,G30,G32,G35,G37,)</f>
        <v>0</v>
      </c>
      <c r="H25" s="82">
        <f aca="true" t="shared" si="4" ref="H25:H38">SUM(E25+F25-G25)</f>
        <v>9582400</v>
      </c>
      <c r="I25" s="82">
        <f>SUM(I28,I30,I32,I35,I37,)</f>
        <v>-22000</v>
      </c>
      <c r="J25" s="82">
        <f t="shared" si="1"/>
        <v>9560400</v>
      </c>
      <c r="K25" s="82">
        <f>SUM(K28,K30,K32,K35,K37,)</f>
        <v>0</v>
      </c>
      <c r="L25" s="82">
        <f t="shared" si="2"/>
        <v>9560400</v>
      </c>
    </row>
    <row r="26" spans="1:12" s="30" customFormat="1" ht="45" hidden="1">
      <c r="A26" s="86"/>
      <c r="B26" s="64">
        <v>85212</v>
      </c>
      <c r="C26" s="99"/>
      <c r="D26" s="97" t="s">
        <v>242</v>
      </c>
      <c r="E26" s="112">
        <f>SUM(E27)</f>
        <v>5507000</v>
      </c>
      <c r="F26" s="112">
        <f>SUM(F27)</f>
        <v>5507000</v>
      </c>
      <c r="G26" s="112">
        <f>SUM(G27)</f>
        <v>5507000</v>
      </c>
      <c r="H26" s="112">
        <f t="shared" si="4"/>
        <v>5507000</v>
      </c>
      <c r="I26" s="112">
        <f>SUM(I27)</f>
        <v>5507000</v>
      </c>
      <c r="J26" s="112">
        <f t="shared" si="1"/>
        <v>11014000</v>
      </c>
      <c r="K26" s="112">
        <f>SUM(K27)</f>
        <v>5507000</v>
      </c>
      <c r="L26" s="112">
        <f t="shared" si="2"/>
        <v>16521000</v>
      </c>
    </row>
    <row r="27" spans="1:12" s="30" customFormat="1" ht="67.5" hidden="1">
      <c r="A27" s="86"/>
      <c r="B27" s="64"/>
      <c r="C27" s="99">
        <v>2010</v>
      </c>
      <c r="D27" s="48" t="s">
        <v>264</v>
      </c>
      <c r="E27" s="112">
        <v>5507000</v>
      </c>
      <c r="F27" s="112">
        <v>5507000</v>
      </c>
      <c r="G27" s="112">
        <v>5507000</v>
      </c>
      <c r="H27" s="112">
        <f t="shared" si="4"/>
        <v>5507000</v>
      </c>
      <c r="I27" s="112">
        <v>5507000</v>
      </c>
      <c r="J27" s="112">
        <f t="shared" si="1"/>
        <v>11014000</v>
      </c>
      <c r="K27" s="112">
        <v>5507000</v>
      </c>
      <c r="L27" s="112">
        <f t="shared" si="2"/>
        <v>16521000</v>
      </c>
    </row>
    <row r="28" spans="1:12" s="30" customFormat="1" ht="56.25">
      <c r="A28" s="86"/>
      <c r="B28" s="64">
        <v>85212</v>
      </c>
      <c r="C28" s="99"/>
      <c r="D28" s="97" t="s">
        <v>281</v>
      </c>
      <c r="E28" s="112">
        <f>SUM(E29)</f>
        <v>7804800</v>
      </c>
      <c r="F28" s="112">
        <f>SUM(F29)</f>
        <v>0</v>
      </c>
      <c r="G28" s="112">
        <f>SUM(G29)</f>
        <v>0</v>
      </c>
      <c r="H28" s="112">
        <f t="shared" si="4"/>
        <v>7804800</v>
      </c>
      <c r="I28" s="112">
        <f>SUM(I29)</f>
        <v>7900</v>
      </c>
      <c r="J28" s="112">
        <f t="shared" si="1"/>
        <v>7812700</v>
      </c>
      <c r="K28" s="112">
        <f>SUM(K29)</f>
        <v>0</v>
      </c>
      <c r="L28" s="112">
        <f t="shared" si="2"/>
        <v>7812700</v>
      </c>
    </row>
    <row r="29" spans="1:12" s="30" customFormat="1" ht="67.5">
      <c r="A29" s="86"/>
      <c r="B29" s="64"/>
      <c r="C29" s="99">
        <v>2010</v>
      </c>
      <c r="D29" s="48" t="s">
        <v>264</v>
      </c>
      <c r="E29" s="112">
        <v>7804800</v>
      </c>
      <c r="F29" s="112"/>
      <c r="G29" s="112"/>
      <c r="H29" s="112">
        <f t="shared" si="4"/>
        <v>7804800</v>
      </c>
      <c r="I29" s="112">
        <v>7900</v>
      </c>
      <c r="J29" s="112">
        <f t="shared" si="1"/>
        <v>7812700</v>
      </c>
      <c r="K29" s="112"/>
      <c r="L29" s="112">
        <f t="shared" si="2"/>
        <v>7812700</v>
      </c>
    </row>
    <row r="30" spans="1:12" s="30" customFormat="1" ht="56.25">
      <c r="A30" s="86"/>
      <c r="B30" s="107">
        <v>85213</v>
      </c>
      <c r="C30" s="87"/>
      <c r="D30" s="48" t="s">
        <v>219</v>
      </c>
      <c r="E30" s="112">
        <f>SUM(E31)</f>
        <v>99900</v>
      </c>
      <c r="F30" s="112">
        <f>SUM(F31)</f>
        <v>0</v>
      </c>
      <c r="G30" s="112">
        <f>SUM(G31)</f>
        <v>0</v>
      </c>
      <c r="H30" s="112">
        <f t="shared" si="4"/>
        <v>99900</v>
      </c>
      <c r="I30" s="112">
        <f>SUM(I31)</f>
        <v>-21500</v>
      </c>
      <c r="J30" s="112">
        <f t="shared" si="1"/>
        <v>78400</v>
      </c>
      <c r="K30" s="112">
        <f>SUM(K31)</f>
        <v>0</v>
      </c>
      <c r="L30" s="112">
        <f t="shared" si="2"/>
        <v>78400</v>
      </c>
    </row>
    <row r="31" spans="1:12" s="30" customFormat="1" ht="67.5">
      <c r="A31" s="86"/>
      <c r="B31" s="107"/>
      <c r="C31" s="87">
        <v>2010</v>
      </c>
      <c r="D31" s="48" t="s">
        <v>264</v>
      </c>
      <c r="E31" s="112">
        <v>99900</v>
      </c>
      <c r="F31" s="112"/>
      <c r="G31" s="112"/>
      <c r="H31" s="112">
        <f t="shared" si="4"/>
        <v>99900</v>
      </c>
      <c r="I31" s="112">
        <v>-21500</v>
      </c>
      <c r="J31" s="112">
        <f t="shared" si="1"/>
        <v>78400</v>
      </c>
      <c r="K31" s="112"/>
      <c r="L31" s="112">
        <f t="shared" si="2"/>
        <v>78400</v>
      </c>
    </row>
    <row r="32" spans="1:12" s="30" customFormat="1" ht="33.75">
      <c r="A32" s="86"/>
      <c r="B32" s="86" t="s">
        <v>180</v>
      </c>
      <c r="C32" s="87"/>
      <c r="D32" s="48" t="s">
        <v>276</v>
      </c>
      <c r="E32" s="114">
        <f>SUM(E33:E34)</f>
        <v>1011100</v>
      </c>
      <c r="F32" s="114">
        <f>SUM(F33:F34)</f>
        <v>0</v>
      </c>
      <c r="G32" s="114">
        <f>SUM(G33:G34)</f>
        <v>0</v>
      </c>
      <c r="H32" s="112">
        <f t="shared" si="4"/>
        <v>1011100</v>
      </c>
      <c r="I32" s="114">
        <f>SUM(I33:I34)</f>
        <v>-8400</v>
      </c>
      <c r="J32" s="112">
        <f t="shared" si="1"/>
        <v>1002700</v>
      </c>
      <c r="K32" s="114">
        <f>SUM(K33:K34)</f>
        <v>0</v>
      </c>
      <c r="L32" s="112">
        <f t="shared" si="2"/>
        <v>1002700</v>
      </c>
    </row>
    <row r="33" spans="1:12" s="30" customFormat="1" ht="67.5">
      <c r="A33" s="86"/>
      <c r="B33" s="86"/>
      <c r="C33" s="88" t="s">
        <v>208</v>
      </c>
      <c r="D33" s="48" t="s">
        <v>270</v>
      </c>
      <c r="E33" s="114">
        <v>439200</v>
      </c>
      <c r="F33" s="114"/>
      <c r="G33" s="114"/>
      <c r="H33" s="112">
        <f t="shared" si="4"/>
        <v>439200</v>
      </c>
      <c r="I33" s="114">
        <v>-2200</v>
      </c>
      <c r="J33" s="112">
        <f t="shared" si="1"/>
        <v>437000</v>
      </c>
      <c r="K33" s="114"/>
      <c r="L33" s="112">
        <f t="shared" si="2"/>
        <v>437000</v>
      </c>
    </row>
    <row r="34" spans="1:12" s="30" customFormat="1" ht="45">
      <c r="A34" s="86"/>
      <c r="B34" s="86"/>
      <c r="C34" s="88">
        <v>2030</v>
      </c>
      <c r="D34" s="97" t="s">
        <v>265</v>
      </c>
      <c r="E34" s="114">
        <v>571900</v>
      </c>
      <c r="F34" s="114"/>
      <c r="G34" s="114"/>
      <c r="H34" s="112">
        <f t="shared" si="4"/>
        <v>571900</v>
      </c>
      <c r="I34" s="114">
        <v>-6200</v>
      </c>
      <c r="J34" s="112">
        <f t="shared" si="1"/>
        <v>565700</v>
      </c>
      <c r="K34" s="114"/>
      <c r="L34" s="112">
        <f t="shared" si="2"/>
        <v>565700</v>
      </c>
    </row>
    <row r="35" spans="1:12" s="30" customFormat="1" ht="23.25" customHeight="1">
      <c r="A35" s="86"/>
      <c r="B35" s="86" t="s">
        <v>181</v>
      </c>
      <c r="C35" s="87"/>
      <c r="D35" s="48" t="s">
        <v>68</v>
      </c>
      <c r="E35" s="114">
        <f>E36</f>
        <v>338400</v>
      </c>
      <c r="F35" s="114">
        <f>F36</f>
        <v>0</v>
      </c>
      <c r="G35" s="114">
        <f>G36</f>
        <v>0</v>
      </c>
      <c r="H35" s="112">
        <f t="shared" si="4"/>
        <v>338400</v>
      </c>
      <c r="I35" s="114">
        <f>I36</f>
        <v>0</v>
      </c>
      <c r="J35" s="112">
        <f t="shared" si="1"/>
        <v>338400</v>
      </c>
      <c r="K35" s="114">
        <f>K36</f>
        <v>0</v>
      </c>
      <c r="L35" s="112">
        <f t="shared" si="2"/>
        <v>338400</v>
      </c>
    </row>
    <row r="36" spans="1:12" s="30" customFormat="1" ht="45" customHeight="1">
      <c r="A36" s="86"/>
      <c r="B36" s="86"/>
      <c r="C36" s="88">
        <v>2030</v>
      </c>
      <c r="D36" s="97" t="s">
        <v>248</v>
      </c>
      <c r="E36" s="114">
        <v>338400</v>
      </c>
      <c r="F36" s="114"/>
      <c r="G36" s="114"/>
      <c r="H36" s="112">
        <f t="shared" si="4"/>
        <v>338400</v>
      </c>
      <c r="I36" s="114">
        <v>0</v>
      </c>
      <c r="J36" s="112">
        <f t="shared" si="1"/>
        <v>338400</v>
      </c>
      <c r="K36" s="114">
        <v>0</v>
      </c>
      <c r="L36" s="112">
        <f t="shared" si="2"/>
        <v>338400</v>
      </c>
    </row>
    <row r="37" spans="1:12" s="30" customFormat="1" ht="24" customHeight="1">
      <c r="A37" s="86"/>
      <c r="B37" s="86">
        <v>85295</v>
      </c>
      <c r="C37" s="88"/>
      <c r="D37" s="97" t="s">
        <v>6</v>
      </c>
      <c r="E37" s="114">
        <f>SUM(E38)</f>
        <v>328200</v>
      </c>
      <c r="F37" s="114">
        <f>SUM(F38)</f>
        <v>0</v>
      </c>
      <c r="G37" s="114">
        <f>SUM(G38)</f>
        <v>0</v>
      </c>
      <c r="H37" s="112">
        <f t="shared" si="4"/>
        <v>328200</v>
      </c>
      <c r="I37" s="114">
        <f>SUM(I38)</f>
        <v>0</v>
      </c>
      <c r="J37" s="112">
        <f t="shared" si="1"/>
        <v>328200</v>
      </c>
      <c r="K37" s="114">
        <f>SUM(K38)</f>
        <v>0</v>
      </c>
      <c r="L37" s="112">
        <f t="shared" si="2"/>
        <v>328200</v>
      </c>
    </row>
    <row r="38" spans="1:12" s="30" customFormat="1" ht="45">
      <c r="A38" s="86"/>
      <c r="B38" s="86"/>
      <c r="C38" s="88">
        <v>2030</v>
      </c>
      <c r="D38" s="97" t="s">
        <v>265</v>
      </c>
      <c r="E38" s="114">
        <v>328200</v>
      </c>
      <c r="F38" s="114"/>
      <c r="G38" s="114"/>
      <c r="H38" s="112">
        <f t="shared" si="4"/>
        <v>328200</v>
      </c>
      <c r="I38" s="114">
        <v>0</v>
      </c>
      <c r="J38" s="112">
        <f t="shared" si="1"/>
        <v>328200</v>
      </c>
      <c r="K38" s="114">
        <v>0</v>
      </c>
      <c r="L38" s="112">
        <f t="shared" si="2"/>
        <v>328200</v>
      </c>
    </row>
    <row r="39" spans="1:12" s="9" customFormat="1" ht="24">
      <c r="A39" s="37">
        <v>854</v>
      </c>
      <c r="B39" s="40"/>
      <c r="C39" s="41"/>
      <c r="D39" s="38" t="s">
        <v>69</v>
      </c>
      <c r="E39" s="262"/>
      <c r="F39" s="262"/>
      <c r="G39" s="262"/>
      <c r="H39" s="263"/>
      <c r="I39" s="262"/>
      <c r="J39" s="82">
        <f aca="true" t="shared" si="5" ref="J39:L40">SUM(J40)</f>
        <v>0</v>
      </c>
      <c r="K39" s="82">
        <f t="shared" si="5"/>
        <v>252197</v>
      </c>
      <c r="L39" s="82">
        <f t="shared" si="5"/>
        <v>252197</v>
      </c>
    </row>
    <row r="40" spans="1:12" s="30" customFormat="1" ht="24.75" customHeight="1">
      <c r="A40" s="91"/>
      <c r="B40" s="92">
        <v>85415</v>
      </c>
      <c r="C40" s="93"/>
      <c r="D40" s="97" t="s">
        <v>541</v>
      </c>
      <c r="E40" s="114"/>
      <c r="F40" s="114"/>
      <c r="G40" s="114"/>
      <c r="H40" s="112"/>
      <c r="I40" s="114"/>
      <c r="J40" s="112">
        <f t="shared" si="5"/>
        <v>0</v>
      </c>
      <c r="K40" s="112">
        <f t="shared" si="5"/>
        <v>252197</v>
      </c>
      <c r="L40" s="112">
        <f t="shared" si="5"/>
        <v>252197</v>
      </c>
    </row>
    <row r="41" spans="1:12" s="30" customFormat="1" ht="45">
      <c r="A41" s="91"/>
      <c r="B41" s="92"/>
      <c r="C41" s="93">
        <v>2030</v>
      </c>
      <c r="D41" s="97" t="s">
        <v>265</v>
      </c>
      <c r="E41" s="114"/>
      <c r="F41" s="114"/>
      <c r="G41" s="114"/>
      <c r="H41" s="112"/>
      <c r="I41" s="114"/>
      <c r="J41" s="112">
        <v>0</v>
      </c>
      <c r="K41" s="266">
        <v>252197</v>
      </c>
      <c r="L41" s="112">
        <f>SUM(J41:K41)</f>
        <v>252197</v>
      </c>
    </row>
    <row r="42" spans="1:12" s="9" customFormat="1" ht="32.25" customHeight="1">
      <c r="A42" s="43" t="s">
        <v>73</v>
      </c>
      <c r="B42" s="34"/>
      <c r="C42" s="72"/>
      <c r="D42" s="46" t="s">
        <v>79</v>
      </c>
      <c r="E42" s="82">
        <f>SUM(E45)</f>
        <v>45000</v>
      </c>
      <c r="F42" s="82">
        <f>SUM(F45)</f>
        <v>900</v>
      </c>
      <c r="G42" s="82">
        <f>SUM(G45)</f>
        <v>0</v>
      </c>
      <c r="H42" s="82">
        <f>SUM(H43,H45,H47,)</f>
        <v>45900</v>
      </c>
      <c r="I42" s="82">
        <f>SUM(I43,I45,I47,)</f>
        <v>11500</v>
      </c>
      <c r="J42" s="82">
        <f t="shared" si="1"/>
        <v>57400</v>
      </c>
      <c r="K42" s="82">
        <f>SUM(K43,K45,K47,)</f>
        <v>0</v>
      </c>
      <c r="L42" s="82">
        <f t="shared" si="2"/>
        <v>57400</v>
      </c>
    </row>
    <row r="43" spans="1:12" s="30" customFormat="1" ht="32.25" customHeight="1">
      <c r="A43" s="86"/>
      <c r="B43" s="64">
        <v>92109</v>
      </c>
      <c r="C43" s="100"/>
      <c r="D43" s="97" t="s">
        <v>175</v>
      </c>
      <c r="E43" s="112"/>
      <c r="F43" s="112"/>
      <c r="G43" s="112"/>
      <c r="H43" s="112">
        <f>SUM(H44)</f>
        <v>0</v>
      </c>
      <c r="I43" s="112">
        <f>SUM(I44)</f>
        <v>9500</v>
      </c>
      <c r="J43" s="112">
        <f t="shared" si="1"/>
        <v>9500</v>
      </c>
      <c r="K43" s="112">
        <f>SUM(K44)</f>
        <v>0</v>
      </c>
      <c r="L43" s="112">
        <f t="shared" si="2"/>
        <v>9500</v>
      </c>
    </row>
    <row r="44" spans="1:12" s="30" customFormat="1" ht="56.25">
      <c r="A44" s="86"/>
      <c r="B44" s="4"/>
      <c r="C44" s="100">
        <v>2320</v>
      </c>
      <c r="D44" s="97" t="s">
        <v>266</v>
      </c>
      <c r="E44" s="112"/>
      <c r="F44" s="112"/>
      <c r="G44" s="112"/>
      <c r="H44" s="112">
        <v>0</v>
      </c>
      <c r="I44" s="112">
        <f>1500+500+3500+1500+1000+1500</f>
        <v>9500</v>
      </c>
      <c r="J44" s="112">
        <f t="shared" si="1"/>
        <v>9500</v>
      </c>
      <c r="K44" s="112"/>
      <c r="L44" s="112">
        <f t="shared" si="2"/>
        <v>9500</v>
      </c>
    </row>
    <row r="45" spans="1:12" s="30" customFormat="1" ht="21.75" customHeight="1">
      <c r="A45" s="86"/>
      <c r="B45" s="86" t="s">
        <v>74</v>
      </c>
      <c r="C45" s="87"/>
      <c r="D45" s="48" t="s">
        <v>75</v>
      </c>
      <c r="E45" s="114">
        <f>E46</f>
        <v>45000</v>
      </c>
      <c r="F45" s="114">
        <f>F46</f>
        <v>900</v>
      </c>
      <c r="G45" s="114">
        <f>G46</f>
        <v>0</v>
      </c>
      <c r="H45" s="112">
        <f>SUM(E45+F45-G45)</f>
        <v>45900</v>
      </c>
      <c r="I45" s="114">
        <f>I46</f>
        <v>0</v>
      </c>
      <c r="J45" s="112">
        <f t="shared" si="1"/>
        <v>45900</v>
      </c>
      <c r="K45" s="114">
        <f>K46</f>
        <v>0</v>
      </c>
      <c r="L45" s="112">
        <f t="shared" si="2"/>
        <v>45900</v>
      </c>
    </row>
    <row r="46" spans="1:12" s="30" customFormat="1" ht="56.25">
      <c r="A46" s="86"/>
      <c r="B46" s="86"/>
      <c r="C46" s="88">
        <v>2320</v>
      </c>
      <c r="D46" s="48" t="s">
        <v>266</v>
      </c>
      <c r="E46" s="114">
        <v>45000</v>
      </c>
      <c r="F46" s="114">
        <v>900</v>
      </c>
      <c r="G46" s="114"/>
      <c r="H46" s="112">
        <f>SUM(E46+F46-G46)</f>
        <v>45900</v>
      </c>
      <c r="I46" s="114">
        <v>0</v>
      </c>
      <c r="J46" s="112">
        <f t="shared" si="1"/>
        <v>45900</v>
      </c>
      <c r="K46" s="114">
        <v>0</v>
      </c>
      <c r="L46" s="112">
        <f t="shared" si="2"/>
        <v>45900</v>
      </c>
    </row>
    <row r="47" spans="1:12" s="30" customFormat="1" ht="21" customHeight="1">
      <c r="A47" s="86"/>
      <c r="B47" s="92">
        <v>92118</v>
      </c>
      <c r="C47" s="93"/>
      <c r="D47" s="97" t="s">
        <v>157</v>
      </c>
      <c r="E47" s="114"/>
      <c r="F47" s="114"/>
      <c r="G47" s="114"/>
      <c r="H47" s="112">
        <f>SUM(H48)</f>
        <v>0</v>
      </c>
      <c r="I47" s="112">
        <f>SUM(I48)</f>
        <v>2000</v>
      </c>
      <c r="J47" s="112">
        <f t="shared" si="1"/>
        <v>2000</v>
      </c>
      <c r="K47" s="112">
        <f>SUM(K48)</f>
        <v>0</v>
      </c>
      <c r="L47" s="112">
        <f t="shared" si="2"/>
        <v>2000</v>
      </c>
    </row>
    <row r="48" spans="1:12" s="30" customFormat="1" ht="56.25">
      <c r="A48" s="86"/>
      <c r="B48" s="92"/>
      <c r="C48" s="93">
        <v>2320</v>
      </c>
      <c r="D48" s="97" t="s">
        <v>266</v>
      </c>
      <c r="E48" s="114"/>
      <c r="F48" s="114"/>
      <c r="G48" s="114"/>
      <c r="H48" s="112">
        <v>0</v>
      </c>
      <c r="I48" s="114">
        <f>500+1000+500</f>
        <v>2000</v>
      </c>
      <c r="J48" s="112">
        <f t="shared" si="1"/>
        <v>2000</v>
      </c>
      <c r="K48" s="114"/>
      <c r="L48" s="112">
        <f t="shared" si="2"/>
        <v>2000</v>
      </c>
    </row>
    <row r="49" spans="1:12" s="51" customFormat="1" ht="22.5" customHeight="1">
      <c r="A49" s="40">
        <v>926</v>
      </c>
      <c r="B49" s="40"/>
      <c r="C49" s="40"/>
      <c r="D49" s="38" t="s">
        <v>76</v>
      </c>
      <c r="E49" s="122"/>
      <c r="F49" s="122"/>
      <c r="G49" s="122"/>
      <c r="H49" s="82">
        <f>SUM(H50)</f>
        <v>0</v>
      </c>
      <c r="I49" s="82">
        <f>SUM(I50)</f>
        <v>600</v>
      </c>
      <c r="J49" s="82">
        <f t="shared" si="1"/>
        <v>600</v>
      </c>
      <c r="K49" s="82">
        <f>SUM(K50)</f>
        <v>0</v>
      </c>
      <c r="L49" s="82">
        <f t="shared" si="2"/>
        <v>600</v>
      </c>
    </row>
    <row r="50" spans="1:12" s="30" customFormat="1" ht="22.5">
      <c r="A50" s="92"/>
      <c r="B50" s="92">
        <v>92605</v>
      </c>
      <c r="C50" s="92"/>
      <c r="D50" s="97" t="s">
        <v>77</v>
      </c>
      <c r="E50" s="114"/>
      <c r="F50" s="114"/>
      <c r="G50" s="114"/>
      <c r="H50" s="112">
        <f>SUM(H51)</f>
        <v>0</v>
      </c>
      <c r="I50" s="112">
        <f>SUM(I51)</f>
        <v>600</v>
      </c>
      <c r="J50" s="112">
        <f t="shared" si="1"/>
        <v>600</v>
      </c>
      <c r="K50" s="112">
        <f>SUM(K51)</f>
        <v>0</v>
      </c>
      <c r="L50" s="112">
        <f t="shared" si="2"/>
        <v>600</v>
      </c>
    </row>
    <row r="51" spans="1:12" s="30" customFormat="1" ht="56.25">
      <c r="A51" s="92"/>
      <c r="B51" s="92"/>
      <c r="C51" s="92">
        <v>2320</v>
      </c>
      <c r="D51" s="97" t="s">
        <v>266</v>
      </c>
      <c r="E51" s="114"/>
      <c r="F51" s="114"/>
      <c r="G51" s="114"/>
      <c r="H51" s="112">
        <v>0</v>
      </c>
      <c r="I51" s="114">
        <f>600</f>
        <v>600</v>
      </c>
      <c r="J51" s="112">
        <f t="shared" si="1"/>
        <v>600</v>
      </c>
      <c r="K51" s="114"/>
      <c r="L51" s="112">
        <f t="shared" si="2"/>
        <v>600</v>
      </c>
    </row>
    <row r="52" spans="1:12" s="30" customFormat="1" ht="25.5" customHeight="1">
      <c r="A52" s="140"/>
      <c r="B52" s="141"/>
      <c r="C52" s="142"/>
      <c r="D52" s="119" t="s">
        <v>78</v>
      </c>
      <c r="E52" s="122">
        <f>SUM(E42,E25,E15,E12,E9,E19)</f>
        <v>10007666</v>
      </c>
      <c r="F52" s="122">
        <f>SUM(F42,F25,F15,F12,F9,F19)</f>
        <v>229617</v>
      </c>
      <c r="G52" s="122">
        <f>SUM(G42,G25,G15,G12,G9,G19)</f>
        <v>228717</v>
      </c>
      <c r="H52" s="82">
        <f>SUM(H49,H42,H25,H19,H15,H12,H9,)</f>
        <v>10008566</v>
      </c>
      <c r="I52" s="82">
        <f>SUM(I49,I42,I25,I19,I15,I12,I9,)</f>
        <v>-8300</v>
      </c>
      <c r="J52" s="82">
        <f>SUM(J49,J42,J39,J25,J19,J15,J12,J9,)</f>
        <v>10000266</v>
      </c>
      <c r="K52" s="82">
        <f>SUM(K49,K42,K39,K25,K19,K15,K12,K9,)</f>
        <v>252197</v>
      </c>
      <c r="L52" s="82">
        <f>SUM(L49,L42,L39,L25,L19,L15,L12,L9,)</f>
        <v>10252463</v>
      </c>
    </row>
    <row r="53" spans="1:3" ht="12.75">
      <c r="A53" s="73"/>
      <c r="B53" s="73"/>
      <c r="C53" s="73"/>
    </row>
    <row r="54" spans="1:3" ht="12.75">
      <c r="A54" s="73"/>
      <c r="B54" s="73"/>
      <c r="C54" s="73"/>
    </row>
    <row r="56" spans="9:11" ht="12.75">
      <c r="I56" s="32">
        <v>13700</v>
      </c>
      <c r="J56" s="9" t="s">
        <v>419</v>
      </c>
      <c r="K56" s="32"/>
    </row>
    <row r="57" spans="5:12" ht="12.75">
      <c r="E57" s="125"/>
      <c r="F57" s="125"/>
      <c r="G57" s="125"/>
      <c r="H57" s="125"/>
      <c r="I57" s="32">
        <v>7900</v>
      </c>
      <c r="J57" s="125" t="s">
        <v>420</v>
      </c>
      <c r="K57" s="32"/>
      <c r="L57" s="125"/>
    </row>
    <row r="58" spans="9:11" ht="12.75">
      <c r="I58" s="32"/>
      <c r="J58" s="9" t="s">
        <v>421</v>
      </c>
      <c r="K58" s="32"/>
    </row>
    <row r="59" spans="9:11" ht="12.75">
      <c r="I59" s="32"/>
      <c r="J59" s="9" t="s">
        <v>422</v>
      </c>
      <c r="K59" s="32"/>
    </row>
    <row r="60" spans="9:11" ht="12.75">
      <c r="I60" s="32"/>
      <c r="J60" s="9" t="s">
        <v>423</v>
      </c>
      <c r="K60" s="32"/>
    </row>
    <row r="61" spans="9:11" ht="12.75">
      <c r="I61" s="49">
        <f>SUM(I56:I60)</f>
        <v>21600</v>
      </c>
      <c r="K61" s="49"/>
    </row>
  </sheetData>
  <mergeCells count="1">
    <mergeCell ref="A6:D6"/>
  </mergeCells>
  <printOptions horizontalCentered="1"/>
  <pageMargins left="0.7086614173228347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&amp;C&amp;8Dotacje - str.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0"/>
  <sheetViews>
    <sheetView zoomScale="80" zoomScaleNormal="80" workbookViewId="0" topLeftCell="A1">
      <selection activeCell="H5" sqref="H5"/>
    </sheetView>
  </sheetViews>
  <sheetFormatPr defaultColWidth="9.00390625" defaultRowHeight="12.75"/>
  <cols>
    <col min="1" max="1" width="4.875" style="9" customWidth="1"/>
    <col min="2" max="2" width="7.25390625" style="9" bestFit="1" customWidth="1"/>
    <col min="3" max="3" width="7.00390625" style="9" customWidth="1"/>
    <col min="4" max="4" width="40.25390625" style="9" customWidth="1"/>
    <col min="5" max="5" width="28.375" style="9" customWidth="1"/>
    <col min="6" max="6" width="34.875" style="9" hidden="1" customWidth="1"/>
    <col min="7" max="7" width="11.00390625" style="9" hidden="1" customWidth="1"/>
    <col min="8" max="8" width="16.375" style="9" customWidth="1"/>
    <col min="9" max="9" width="13.00390625" style="9" customWidth="1"/>
    <col min="10" max="10" width="17.375" style="9" customWidth="1"/>
  </cols>
  <sheetData>
    <row r="1" spans="5:9" ht="12.75">
      <c r="E1" s="130"/>
      <c r="F1" s="130" t="s">
        <v>470</v>
      </c>
      <c r="G1" s="130"/>
      <c r="H1" s="74" t="s">
        <v>540</v>
      </c>
      <c r="I1" s="130"/>
    </row>
    <row r="2" spans="5:9" ht="12.75">
      <c r="E2" s="130"/>
      <c r="F2" s="130" t="s">
        <v>411</v>
      </c>
      <c r="G2" s="130"/>
      <c r="H2" s="74" t="s">
        <v>520</v>
      </c>
      <c r="I2" s="130"/>
    </row>
    <row r="3" spans="5:9" ht="12.75">
      <c r="E3" s="130"/>
      <c r="F3" s="130" t="s">
        <v>447</v>
      </c>
      <c r="G3" s="130"/>
      <c r="H3" s="74" t="s">
        <v>470</v>
      </c>
      <c r="I3" s="130"/>
    </row>
    <row r="4" spans="5:9" ht="12.75">
      <c r="E4" s="130"/>
      <c r="F4" s="130" t="s">
        <v>413</v>
      </c>
      <c r="G4" s="130"/>
      <c r="H4" s="74" t="s">
        <v>477</v>
      </c>
      <c r="I4" s="130"/>
    </row>
    <row r="5" spans="1:10" ht="79.5" customHeight="1">
      <c r="A5" s="272" t="s">
        <v>448</v>
      </c>
      <c r="B5" s="272"/>
      <c r="C5" s="272"/>
      <c r="D5" s="272"/>
      <c r="E5" s="272"/>
      <c r="F5" s="272"/>
      <c r="G5" s="159"/>
      <c r="H5" s="159"/>
      <c r="I5" s="159"/>
      <c r="J5" s="159"/>
    </row>
    <row r="6" spans="1:10" ht="26.25" customHeight="1">
      <c r="A6" s="276" t="s">
        <v>522</v>
      </c>
      <c r="B6" s="276"/>
      <c r="C6" s="276"/>
      <c r="D6" s="276"/>
      <c r="E6" s="276"/>
      <c r="F6" s="254"/>
      <c r="G6" s="159"/>
      <c r="H6" s="159"/>
      <c r="I6" s="159"/>
      <c r="J6" s="159"/>
    </row>
    <row r="7" spans="1:10" ht="28.5" customHeight="1">
      <c r="A7" s="239" t="s">
        <v>355</v>
      </c>
      <c r="B7" s="240"/>
      <c r="C7" s="240"/>
      <c r="D7" s="240"/>
      <c r="E7" s="240"/>
      <c r="F7" s="240"/>
      <c r="G7" s="240"/>
      <c r="H7" s="241"/>
      <c r="I7" s="240"/>
      <c r="J7" s="241"/>
    </row>
    <row r="8" spans="1:10" s="152" customFormat="1" ht="29.25" customHeight="1">
      <c r="A8" s="6" t="s">
        <v>0</v>
      </c>
      <c r="B8" s="6" t="s">
        <v>1</v>
      </c>
      <c r="C8" s="6" t="s">
        <v>2</v>
      </c>
      <c r="D8" s="6" t="s">
        <v>356</v>
      </c>
      <c r="E8" s="6" t="s">
        <v>357</v>
      </c>
      <c r="F8" s="176" t="s">
        <v>437</v>
      </c>
      <c r="G8" s="176" t="s">
        <v>436</v>
      </c>
      <c r="H8" s="176" t="s">
        <v>437</v>
      </c>
      <c r="I8" s="176" t="s">
        <v>237</v>
      </c>
      <c r="J8" s="176" t="s">
        <v>438</v>
      </c>
    </row>
    <row r="9" spans="1:10" s="205" customFormat="1" ht="21.75" customHeight="1">
      <c r="A9" s="203" t="s">
        <v>358</v>
      </c>
      <c r="B9" s="204"/>
      <c r="C9" s="204"/>
      <c r="D9" s="204"/>
      <c r="E9" s="204"/>
      <c r="F9" s="20">
        <f>SUM(F10:F11)</f>
        <v>2633797</v>
      </c>
      <c r="G9" s="20">
        <f>SUM(G10:G11)</f>
        <v>0</v>
      </c>
      <c r="H9" s="20">
        <f>SUM(H10:H11)</f>
        <v>2633797</v>
      </c>
      <c r="I9" s="20">
        <f>SUM(I10:I11)</f>
        <v>500</v>
      </c>
      <c r="J9" s="20">
        <f>SUM(J10:J11)</f>
        <v>2634297</v>
      </c>
    </row>
    <row r="10" spans="1:10" s="206" customFormat="1" ht="21.75" customHeight="1">
      <c r="A10" s="92">
        <v>801</v>
      </c>
      <c r="B10" s="64">
        <v>80104</v>
      </c>
      <c r="C10" s="94">
        <v>2510</v>
      </c>
      <c r="D10" s="15" t="s">
        <v>359</v>
      </c>
      <c r="E10" s="15" t="s">
        <v>360</v>
      </c>
      <c r="F10" s="106">
        <v>2624508</v>
      </c>
      <c r="G10" s="106"/>
      <c r="H10" s="106">
        <v>2624508</v>
      </c>
      <c r="I10" s="106">
        <v>500</v>
      </c>
      <c r="J10" s="106">
        <f>SUM(H10:I10)</f>
        <v>2625008</v>
      </c>
    </row>
    <row r="11" spans="1:10" s="206" customFormat="1" ht="22.5">
      <c r="A11" s="92">
        <v>801</v>
      </c>
      <c r="B11" s="92">
        <v>80146</v>
      </c>
      <c r="C11" s="64">
        <v>2510</v>
      </c>
      <c r="D11" s="231" t="s">
        <v>359</v>
      </c>
      <c r="E11" s="231" t="s">
        <v>361</v>
      </c>
      <c r="F11" s="207">
        <v>9289</v>
      </c>
      <c r="G11" s="207"/>
      <c r="H11" s="207">
        <v>9289</v>
      </c>
      <c r="I11" s="207"/>
      <c r="J11" s="207">
        <v>9289</v>
      </c>
    </row>
    <row r="12" spans="1:10" s="205" customFormat="1" ht="21.75" customHeight="1">
      <c r="A12" s="203" t="s">
        <v>362</v>
      </c>
      <c r="B12" s="204"/>
      <c r="C12" s="204"/>
      <c r="D12" s="204"/>
      <c r="E12" s="204"/>
      <c r="F12" s="20">
        <f>SUM(F13:F14)</f>
        <v>329691</v>
      </c>
      <c r="G12" s="20">
        <f>SUM(G13:G14)</f>
        <v>0</v>
      </c>
      <c r="H12" s="20">
        <f>SUM(H13:H14)</f>
        <v>329691</v>
      </c>
      <c r="I12" s="20">
        <f>SUM(I13:I14)</f>
        <v>0</v>
      </c>
      <c r="J12" s="20">
        <f>SUM(J13:J14)</f>
        <v>329691</v>
      </c>
    </row>
    <row r="13" spans="1:10" s="206" customFormat="1" ht="22.5">
      <c r="A13" s="92">
        <v>801</v>
      </c>
      <c r="B13" s="64">
        <v>80101</v>
      </c>
      <c r="C13" s="94">
        <v>2540</v>
      </c>
      <c r="D13" s="15" t="s">
        <v>363</v>
      </c>
      <c r="E13" s="15" t="s">
        <v>364</v>
      </c>
      <c r="F13" s="106">
        <v>262446</v>
      </c>
      <c r="G13" s="106"/>
      <c r="H13" s="106">
        <v>262446</v>
      </c>
      <c r="I13" s="106"/>
      <c r="J13" s="106">
        <v>262446</v>
      </c>
    </row>
    <row r="14" spans="1:10" s="206" customFormat="1" ht="22.5">
      <c r="A14" s="92">
        <v>801</v>
      </c>
      <c r="B14" s="91">
        <v>80103</v>
      </c>
      <c r="C14" s="64">
        <v>2540</v>
      </c>
      <c r="D14" s="232" t="s">
        <v>365</v>
      </c>
      <c r="E14" s="15" t="s">
        <v>366</v>
      </c>
      <c r="F14" s="106">
        <v>67245</v>
      </c>
      <c r="G14" s="106"/>
      <c r="H14" s="106">
        <v>67245</v>
      </c>
      <c r="I14" s="106"/>
      <c r="J14" s="106">
        <v>67245</v>
      </c>
    </row>
    <row r="15" spans="1:10" s="205" customFormat="1" ht="21.75" customHeight="1">
      <c r="A15" s="203" t="s">
        <v>367</v>
      </c>
      <c r="B15" s="204"/>
      <c r="C15" s="204"/>
      <c r="D15" s="204"/>
      <c r="E15" s="204"/>
      <c r="F15" s="20">
        <f>SUM(F16:F21)</f>
        <v>1819960</v>
      </c>
      <c r="G15" s="20">
        <f>SUM(G16:G21)</f>
        <v>11500</v>
      </c>
      <c r="H15" s="20">
        <f>SUM(H16:H21)</f>
        <v>1831460</v>
      </c>
      <c r="I15" s="20">
        <f>SUM(I16:I21)</f>
        <v>0</v>
      </c>
      <c r="J15" s="20">
        <f>SUM(J16:J21)</f>
        <v>1831460</v>
      </c>
    </row>
    <row r="16" spans="1:10" s="206" customFormat="1" ht="23.25" customHeight="1">
      <c r="A16" s="92" t="s">
        <v>73</v>
      </c>
      <c r="B16" s="64">
        <v>92109</v>
      </c>
      <c r="C16" s="100">
        <v>2480</v>
      </c>
      <c r="D16" s="15" t="s">
        <v>368</v>
      </c>
      <c r="E16" s="15" t="s">
        <v>369</v>
      </c>
      <c r="F16" s="106">
        <f>450590+76000</f>
        <v>526590</v>
      </c>
      <c r="G16" s="106"/>
      <c r="H16" s="106">
        <f>SUM(F16:G16)</f>
        <v>526590</v>
      </c>
      <c r="I16" s="106"/>
      <c r="J16" s="106">
        <f>SUM(H16:I16)</f>
        <v>526590</v>
      </c>
    </row>
    <row r="17" spans="1:10" s="206" customFormat="1" ht="23.25" customHeight="1">
      <c r="A17" s="92">
        <v>921</v>
      </c>
      <c r="B17" s="64">
        <v>92109</v>
      </c>
      <c r="C17" s="100">
        <v>2480</v>
      </c>
      <c r="D17" s="15" t="s">
        <v>368</v>
      </c>
      <c r="E17" s="15" t="s">
        <v>371</v>
      </c>
      <c r="F17" s="106">
        <v>0</v>
      </c>
      <c r="G17" s="106">
        <v>9500</v>
      </c>
      <c r="H17" s="106">
        <f aca="true" t="shared" si="0" ref="H17:H22">SUM(F17:G17)</f>
        <v>9500</v>
      </c>
      <c r="I17" s="106"/>
      <c r="J17" s="106">
        <f aca="true" t="shared" si="1" ref="J17:J22">SUM(H17:I17)</f>
        <v>9500</v>
      </c>
    </row>
    <row r="18" spans="1:10" s="206" customFormat="1" ht="26.25" customHeight="1">
      <c r="A18" s="92">
        <v>921</v>
      </c>
      <c r="B18" s="92" t="s">
        <v>74</v>
      </c>
      <c r="C18" s="100">
        <v>2480</v>
      </c>
      <c r="D18" s="15" t="s">
        <v>370</v>
      </c>
      <c r="E18" s="15" t="s">
        <v>369</v>
      </c>
      <c r="F18" s="106">
        <v>871000</v>
      </c>
      <c r="G18" s="106"/>
      <c r="H18" s="106">
        <f t="shared" si="0"/>
        <v>871000</v>
      </c>
      <c r="I18" s="106"/>
      <c r="J18" s="106">
        <f t="shared" si="1"/>
        <v>871000</v>
      </c>
    </row>
    <row r="19" spans="1:10" s="206" customFormat="1" ht="26.25" customHeight="1">
      <c r="A19" s="92">
        <v>921</v>
      </c>
      <c r="B19" s="92" t="s">
        <v>74</v>
      </c>
      <c r="C19" s="100">
        <v>2480</v>
      </c>
      <c r="D19" s="15" t="s">
        <v>370</v>
      </c>
      <c r="E19" s="15" t="s">
        <v>371</v>
      </c>
      <c r="F19" s="207">
        <f>45000+900</f>
        <v>45900</v>
      </c>
      <c r="G19" s="207"/>
      <c r="H19" s="106">
        <f t="shared" si="0"/>
        <v>45900</v>
      </c>
      <c r="I19" s="207"/>
      <c r="J19" s="106">
        <f t="shared" si="1"/>
        <v>45900</v>
      </c>
    </row>
    <row r="20" spans="1:10" s="206" customFormat="1" ht="26.25" customHeight="1">
      <c r="A20" s="92">
        <v>921</v>
      </c>
      <c r="B20" s="92" t="s">
        <v>156</v>
      </c>
      <c r="C20" s="64">
        <v>2480</v>
      </c>
      <c r="D20" s="97" t="s">
        <v>372</v>
      </c>
      <c r="E20" s="15" t="s">
        <v>369</v>
      </c>
      <c r="F20" s="106">
        <v>376470</v>
      </c>
      <c r="G20" s="106"/>
      <c r="H20" s="106">
        <f t="shared" si="0"/>
        <v>376470</v>
      </c>
      <c r="I20" s="106"/>
      <c r="J20" s="106">
        <f t="shared" si="1"/>
        <v>376470</v>
      </c>
    </row>
    <row r="21" spans="1:10" s="206" customFormat="1" ht="27" customHeight="1">
      <c r="A21" s="92">
        <v>921</v>
      </c>
      <c r="B21" s="92">
        <v>92118</v>
      </c>
      <c r="C21" s="64">
        <v>2480</v>
      </c>
      <c r="D21" s="97" t="s">
        <v>372</v>
      </c>
      <c r="E21" s="15" t="s">
        <v>371</v>
      </c>
      <c r="F21" s="106">
        <v>0</v>
      </c>
      <c r="G21" s="106">
        <v>2000</v>
      </c>
      <c r="H21" s="106">
        <f t="shared" si="0"/>
        <v>2000</v>
      </c>
      <c r="I21" s="106"/>
      <c r="J21" s="106">
        <f t="shared" si="1"/>
        <v>2000</v>
      </c>
    </row>
    <row r="22" spans="1:10" s="31" customFormat="1" ht="16.5" customHeight="1">
      <c r="A22" s="273" t="s">
        <v>78</v>
      </c>
      <c r="B22" s="274"/>
      <c r="C22" s="274"/>
      <c r="D22" s="274"/>
      <c r="E22" s="275"/>
      <c r="F22" s="24">
        <f>SUM(F15,F12,F9,)</f>
        <v>4783448</v>
      </c>
      <c r="G22" s="24">
        <f>SUM(G15,G12,G9,)</f>
        <v>11500</v>
      </c>
      <c r="H22" s="106">
        <f t="shared" si="0"/>
        <v>4794948</v>
      </c>
      <c r="I22" s="24">
        <f>SUM(I15,I12,I9,)</f>
        <v>500</v>
      </c>
      <c r="J22" s="106">
        <f t="shared" si="1"/>
        <v>4795448</v>
      </c>
    </row>
    <row r="23" spans="1:10" s="210" customFormat="1" ht="33.75" customHeight="1">
      <c r="A23" s="236" t="s">
        <v>460</v>
      </c>
      <c r="B23" s="237"/>
      <c r="C23" s="237"/>
      <c r="D23" s="237"/>
      <c r="E23" s="237"/>
      <c r="F23" s="237"/>
      <c r="G23" s="237"/>
      <c r="H23" s="238"/>
      <c r="I23" s="237"/>
      <c r="J23" s="238"/>
    </row>
    <row r="24" spans="1:10" s="152" customFormat="1" ht="29.25" customHeight="1">
      <c r="A24" s="6" t="s">
        <v>0</v>
      </c>
      <c r="B24" s="6" t="s">
        <v>1</v>
      </c>
      <c r="C24" s="6" t="s">
        <v>2</v>
      </c>
      <c r="D24" s="6" t="s">
        <v>356</v>
      </c>
      <c r="E24" s="6" t="s">
        <v>357</v>
      </c>
      <c r="F24" s="176" t="s">
        <v>437</v>
      </c>
      <c r="G24" s="176" t="s">
        <v>436</v>
      </c>
      <c r="H24" s="176" t="s">
        <v>438</v>
      </c>
      <c r="I24" s="176" t="s">
        <v>237</v>
      </c>
      <c r="J24" s="176" t="s">
        <v>438</v>
      </c>
    </row>
    <row r="25" spans="1:10" s="205" customFormat="1" ht="21.75" customHeight="1">
      <c r="A25" s="203" t="s">
        <v>459</v>
      </c>
      <c r="B25" s="204"/>
      <c r="C25" s="204"/>
      <c r="D25" s="204"/>
      <c r="E25" s="204"/>
      <c r="F25" s="20">
        <f>SUM(F26:F61)</f>
        <v>352000</v>
      </c>
      <c r="G25" s="20">
        <f>SUM(G26:G61)</f>
        <v>0</v>
      </c>
      <c r="H25" s="20">
        <f>SUM(H26:H61)</f>
        <v>352000</v>
      </c>
      <c r="I25" s="20">
        <f>SUM(I26:I61)</f>
        <v>-18900</v>
      </c>
      <c r="J25" s="20">
        <f>SUM(J26:J61)</f>
        <v>333100</v>
      </c>
    </row>
    <row r="26" spans="1:10" s="205" customFormat="1" ht="21.75" customHeight="1">
      <c r="A26" s="102">
        <v>851</v>
      </c>
      <c r="B26" s="102">
        <v>85154</v>
      </c>
      <c r="C26" s="102">
        <v>2630</v>
      </c>
      <c r="D26" s="233" t="s">
        <v>373</v>
      </c>
      <c r="E26" s="232" t="s">
        <v>374</v>
      </c>
      <c r="F26" s="106">
        <v>56000</v>
      </c>
      <c r="G26" s="106">
        <f>-31147-7953</f>
        <v>-39100</v>
      </c>
      <c r="H26" s="106">
        <f>SUM(F26:G26)</f>
        <v>16900</v>
      </c>
      <c r="I26" s="106">
        <v>-16900</v>
      </c>
      <c r="J26" s="106">
        <f>SUM(H26:I26)</f>
        <v>0</v>
      </c>
    </row>
    <row r="27" spans="1:10" s="205" customFormat="1" ht="26.25" customHeight="1">
      <c r="A27" s="102">
        <v>851</v>
      </c>
      <c r="B27" s="102">
        <v>85154</v>
      </c>
      <c r="C27" s="102">
        <v>2830</v>
      </c>
      <c r="D27" s="15" t="s">
        <v>376</v>
      </c>
      <c r="E27" s="232" t="s">
        <v>374</v>
      </c>
      <c r="F27" s="106">
        <v>0</v>
      </c>
      <c r="G27" s="106">
        <v>31147</v>
      </c>
      <c r="H27" s="106">
        <f aca="true" t="shared" si="2" ref="H27:H62">SUM(F27:G27)</f>
        <v>31147</v>
      </c>
      <c r="I27" s="106"/>
      <c r="J27" s="106">
        <f aca="true" t="shared" si="3" ref="J27:J62">SUM(H27:I27)</f>
        <v>31147</v>
      </c>
    </row>
    <row r="28" spans="1:10" s="205" customFormat="1" ht="27" customHeight="1">
      <c r="A28" s="102">
        <v>851</v>
      </c>
      <c r="B28" s="102">
        <v>85154</v>
      </c>
      <c r="C28" s="102">
        <v>2820</v>
      </c>
      <c r="D28" s="15" t="s">
        <v>377</v>
      </c>
      <c r="E28" s="232" t="s">
        <v>374</v>
      </c>
      <c r="F28" s="106">
        <v>0</v>
      </c>
      <c r="G28" s="106">
        <v>7953</v>
      </c>
      <c r="H28" s="106">
        <f t="shared" si="2"/>
        <v>7953</v>
      </c>
      <c r="I28" s="106"/>
      <c r="J28" s="106">
        <f t="shared" si="3"/>
        <v>7953</v>
      </c>
    </row>
    <row r="29" spans="1:10" s="205" customFormat="1" ht="21.75" customHeight="1">
      <c r="A29" s="102">
        <v>851</v>
      </c>
      <c r="B29" s="102">
        <v>85154</v>
      </c>
      <c r="C29" s="102">
        <v>2630</v>
      </c>
      <c r="D29" s="233" t="s">
        <v>373</v>
      </c>
      <c r="E29" s="232" t="s">
        <v>375</v>
      </c>
      <c r="F29" s="106">
        <v>10000</v>
      </c>
      <c r="G29" s="106">
        <v>-8000</v>
      </c>
      <c r="H29" s="106">
        <f t="shared" si="2"/>
        <v>2000</v>
      </c>
      <c r="I29" s="106">
        <v>-2000</v>
      </c>
      <c r="J29" s="106">
        <f t="shared" si="3"/>
        <v>0</v>
      </c>
    </row>
    <row r="30" spans="1:10" s="206" customFormat="1" ht="22.5" hidden="1">
      <c r="A30" s="102">
        <v>851</v>
      </c>
      <c r="B30" s="102">
        <v>85154</v>
      </c>
      <c r="C30" s="102">
        <v>2630</v>
      </c>
      <c r="D30" s="15" t="s">
        <v>376</v>
      </c>
      <c r="E30" s="232" t="s">
        <v>375</v>
      </c>
      <c r="F30" s="212"/>
      <c r="G30" s="212"/>
      <c r="H30" s="106">
        <f t="shared" si="2"/>
        <v>0</v>
      </c>
      <c r="I30" s="212"/>
      <c r="J30" s="106">
        <f t="shared" si="3"/>
        <v>0</v>
      </c>
    </row>
    <row r="31" spans="1:10" s="206" customFormat="1" ht="22.5" hidden="1">
      <c r="A31" s="102">
        <v>851</v>
      </c>
      <c r="B31" s="102">
        <v>85154</v>
      </c>
      <c r="C31" s="102">
        <v>2630</v>
      </c>
      <c r="D31" s="15" t="s">
        <v>376</v>
      </c>
      <c r="E31" s="232" t="s">
        <v>375</v>
      </c>
      <c r="F31" s="212"/>
      <c r="G31" s="212"/>
      <c r="H31" s="106">
        <f t="shared" si="2"/>
        <v>0</v>
      </c>
      <c r="I31" s="212"/>
      <c r="J31" s="106">
        <f t="shared" si="3"/>
        <v>0</v>
      </c>
    </row>
    <row r="32" spans="1:10" s="213" customFormat="1" ht="22.5" hidden="1">
      <c r="A32" s="102">
        <v>851</v>
      </c>
      <c r="B32" s="102">
        <v>85154</v>
      </c>
      <c r="C32" s="102">
        <v>2630</v>
      </c>
      <c r="D32" s="15" t="s">
        <v>377</v>
      </c>
      <c r="E32" s="232" t="s">
        <v>375</v>
      </c>
      <c r="F32" s="212"/>
      <c r="G32" s="212"/>
      <c r="H32" s="106">
        <f t="shared" si="2"/>
        <v>0</v>
      </c>
      <c r="I32" s="212"/>
      <c r="J32" s="106">
        <f t="shared" si="3"/>
        <v>0</v>
      </c>
    </row>
    <row r="33" spans="1:10" s="213" customFormat="1" ht="22.5" hidden="1">
      <c r="A33" s="102">
        <v>851</v>
      </c>
      <c r="B33" s="102">
        <v>85154</v>
      </c>
      <c r="C33" s="102">
        <v>2630</v>
      </c>
      <c r="D33" s="15" t="s">
        <v>378</v>
      </c>
      <c r="E33" s="232" t="s">
        <v>375</v>
      </c>
      <c r="F33" s="212"/>
      <c r="G33" s="212"/>
      <c r="H33" s="106">
        <f t="shared" si="2"/>
        <v>0</v>
      </c>
      <c r="I33" s="212"/>
      <c r="J33" s="106">
        <f t="shared" si="3"/>
        <v>0</v>
      </c>
    </row>
    <row r="34" spans="1:10" s="213" customFormat="1" ht="22.5" hidden="1">
      <c r="A34" s="102">
        <v>851</v>
      </c>
      <c r="B34" s="102">
        <v>85154</v>
      </c>
      <c r="C34" s="102">
        <v>2630</v>
      </c>
      <c r="D34" s="15" t="s">
        <v>379</v>
      </c>
      <c r="E34" s="232" t="s">
        <v>375</v>
      </c>
      <c r="F34" s="212"/>
      <c r="G34" s="212"/>
      <c r="H34" s="106">
        <f t="shared" si="2"/>
        <v>0</v>
      </c>
      <c r="I34" s="212"/>
      <c r="J34" s="106">
        <f t="shared" si="3"/>
        <v>0</v>
      </c>
    </row>
    <row r="35" spans="1:10" s="213" customFormat="1" ht="22.5">
      <c r="A35" s="102">
        <v>851</v>
      </c>
      <c r="B35" s="102">
        <v>85154</v>
      </c>
      <c r="C35" s="102">
        <v>2830</v>
      </c>
      <c r="D35" s="15" t="s">
        <v>376</v>
      </c>
      <c r="E35" s="232" t="s">
        <v>375</v>
      </c>
      <c r="F35" s="214">
        <v>0</v>
      </c>
      <c r="G35" s="214">
        <v>8000</v>
      </c>
      <c r="H35" s="106">
        <f t="shared" si="2"/>
        <v>8000</v>
      </c>
      <c r="I35" s="214"/>
      <c r="J35" s="106">
        <f t="shared" si="3"/>
        <v>8000</v>
      </c>
    </row>
    <row r="36" spans="1:10" s="213" customFormat="1" ht="24" customHeight="1">
      <c r="A36" s="102">
        <v>854</v>
      </c>
      <c r="B36" s="102">
        <v>85412</v>
      </c>
      <c r="C36" s="102">
        <v>2630</v>
      </c>
      <c r="D36" s="233" t="s">
        <v>373</v>
      </c>
      <c r="E36" s="232" t="s">
        <v>380</v>
      </c>
      <c r="F36" s="214">
        <v>36000</v>
      </c>
      <c r="G36" s="214">
        <v>0</v>
      </c>
      <c r="H36" s="106">
        <f t="shared" si="2"/>
        <v>36000</v>
      </c>
      <c r="I36" s="214"/>
      <c r="J36" s="106">
        <f t="shared" si="3"/>
        <v>36000</v>
      </c>
    </row>
    <row r="37" spans="1:10" s="213" customFormat="1" ht="22.5">
      <c r="A37" s="102">
        <v>926</v>
      </c>
      <c r="B37" s="102">
        <v>92605</v>
      </c>
      <c r="C37" s="102">
        <v>2630</v>
      </c>
      <c r="D37" s="233" t="s">
        <v>373</v>
      </c>
      <c r="E37" s="232" t="s">
        <v>77</v>
      </c>
      <c r="F37" s="214">
        <v>250000</v>
      </c>
      <c r="G37" s="214">
        <v>-247500</v>
      </c>
      <c r="H37" s="106">
        <f t="shared" si="2"/>
        <v>2500</v>
      </c>
      <c r="I37" s="214"/>
      <c r="J37" s="106">
        <f t="shared" si="3"/>
        <v>2500</v>
      </c>
    </row>
    <row r="38" spans="1:10" s="216" customFormat="1" ht="22.5" hidden="1">
      <c r="A38" s="102">
        <v>926</v>
      </c>
      <c r="B38" s="102">
        <v>92605</v>
      </c>
      <c r="C38" s="211">
        <v>2630</v>
      </c>
      <c r="D38" s="177" t="s">
        <v>381</v>
      </c>
      <c r="E38" s="232" t="s">
        <v>77</v>
      </c>
      <c r="F38" s="215"/>
      <c r="G38" s="215"/>
      <c r="H38" s="106">
        <f t="shared" si="2"/>
        <v>0</v>
      </c>
      <c r="I38" s="215"/>
      <c r="J38" s="106">
        <f t="shared" si="3"/>
        <v>0</v>
      </c>
    </row>
    <row r="39" spans="1:10" s="216" customFormat="1" ht="22.5" hidden="1">
      <c r="A39" s="102">
        <v>926</v>
      </c>
      <c r="B39" s="102">
        <v>92605</v>
      </c>
      <c r="C39" s="211">
        <v>2630</v>
      </c>
      <c r="D39" s="177" t="s">
        <v>382</v>
      </c>
      <c r="E39" s="232" t="s">
        <v>77</v>
      </c>
      <c r="F39" s="215"/>
      <c r="G39" s="215"/>
      <c r="H39" s="106">
        <f t="shared" si="2"/>
        <v>0</v>
      </c>
      <c r="I39" s="215"/>
      <c r="J39" s="106">
        <f t="shared" si="3"/>
        <v>0</v>
      </c>
    </row>
    <row r="40" spans="1:10" s="216" customFormat="1" ht="22.5" hidden="1">
      <c r="A40" s="102">
        <v>926</v>
      </c>
      <c r="B40" s="102">
        <v>92605</v>
      </c>
      <c r="C40" s="211">
        <v>2630</v>
      </c>
      <c r="D40" s="177" t="s">
        <v>383</v>
      </c>
      <c r="E40" s="232" t="s">
        <v>77</v>
      </c>
      <c r="F40" s="215"/>
      <c r="G40" s="215"/>
      <c r="H40" s="106">
        <f t="shared" si="2"/>
        <v>0</v>
      </c>
      <c r="I40" s="215"/>
      <c r="J40" s="106">
        <f t="shared" si="3"/>
        <v>0</v>
      </c>
    </row>
    <row r="41" spans="1:10" s="216" customFormat="1" ht="22.5" hidden="1">
      <c r="A41" s="102">
        <v>926</v>
      </c>
      <c r="B41" s="102">
        <v>92605</v>
      </c>
      <c r="C41" s="211">
        <v>2630</v>
      </c>
      <c r="D41" s="177" t="s">
        <v>384</v>
      </c>
      <c r="E41" s="232" t="s">
        <v>77</v>
      </c>
      <c r="F41" s="215"/>
      <c r="G41" s="215"/>
      <c r="H41" s="106">
        <f t="shared" si="2"/>
        <v>0</v>
      </c>
      <c r="I41" s="215"/>
      <c r="J41" s="106">
        <f t="shared" si="3"/>
        <v>0</v>
      </c>
    </row>
    <row r="42" spans="1:10" s="216" customFormat="1" ht="22.5" hidden="1">
      <c r="A42" s="102">
        <v>926</v>
      </c>
      <c r="B42" s="102">
        <v>92605</v>
      </c>
      <c r="C42" s="211">
        <v>2630</v>
      </c>
      <c r="D42" s="177" t="s">
        <v>385</v>
      </c>
      <c r="E42" s="232" t="s">
        <v>77</v>
      </c>
      <c r="F42" s="215"/>
      <c r="G42" s="215"/>
      <c r="H42" s="106">
        <f t="shared" si="2"/>
        <v>0</v>
      </c>
      <c r="I42" s="215"/>
      <c r="J42" s="106">
        <f t="shared" si="3"/>
        <v>0</v>
      </c>
    </row>
    <row r="43" spans="1:10" s="216" customFormat="1" ht="22.5" hidden="1">
      <c r="A43" s="102">
        <v>926</v>
      </c>
      <c r="B43" s="102">
        <v>92605</v>
      </c>
      <c r="C43" s="211">
        <v>2630</v>
      </c>
      <c r="D43" s="177" t="s">
        <v>386</v>
      </c>
      <c r="E43" s="232" t="s">
        <v>77</v>
      </c>
      <c r="F43" s="215"/>
      <c r="G43" s="215"/>
      <c r="H43" s="106">
        <f t="shared" si="2"/>
        <v>0</v>
      </c>
      <c r="I43" s="215"/>
      <c r="J43" s="106">
        <f t="shared" si="3"/>
        <v>0</v>
      </c>
    </row>
    <row r="44" spans="1:10" s="216" customFormat="1" ht="22.5" hidden="1">
      <c r="A44" s="102">
        <v>926</v>
      </c>
      <c r="B44" s="102">
        <v>92605</v>
      </c>
      <c r="C44" s="211">
        <v>2630</v>
      </c>
      <c r="D44" s="177" t="s">
        <v>387</v>
      </c>
      <c r="E44" s="232" t="s">
        <v>77</v>
      </c>
      <c r="F44" s="215"/>
      <c r="G44" s="215"/>
      <c r="H44" s="106">
        <f t="shared" si="2"/>
        <v>0</v>
      </c>
      <c r="I44" s="215"/>
      <c r="J44" s="106">
        <f t="shared" si="3"/>
        <v>0</v>
      </c>
    </row>
    <row r="45" spans="1:10" s="216" customFormat="1" ht="22.5" hidden="1">
      <c r="A45" s="102">
        <v>926</v>
      </c>
      <c r="B45" s="102">
        <v>92605</v>
      </c>
      <c r="C45" s="211">
        <v>2630</v>
      </c>
      <c r="D45" s="177" t="s">
        <v>388</v>
      </c>
      <c r="E45" s="232" t="s">
        <v>77</v>
      </c>
      <c r="F45" s="215"/>
      <c r="G45" s="215"/>
      <c r="H45" s="106">
        <f t="shared" si="2"/>
        <v>0</v>
      </c>
      <c r="I45" s="215"/>
      <c r="J45" s="106">
        <f t="shared" si="3"/>
        <v>0</v>
      </c>
    </row>
    <row r="46" spans="1:10" s="216" customFormat="1" ht="22.5" hidden="1">
      <c r="A46" s="102">
        <v>926</v>
      </c>
      <c r="B46" s="102">
        <v>92605</v>
      </c>
      <c r="C46" s="211">
        <v>2630</v>
      </c>
      <c r="D46" s="177" t="s">
        <v>389</v>
      </c>
      <c r="E46" s="232" t="s">
        <v>77</v>
      </c>
      <c r="F46" s="215"/>
      <c r="G46" s="215"/>
      <c r="H46" s="106">
        <f t="shared" si="2"/>
        <v>0</v>
      </c>
      <c r="I46" s="215"/>
      <c r="J46" s="106">
        <f t="shared" si="3"/>
        <v>0</v>
      </c>
    </row>
    <row r="47" spans="1:10" s="216" customFormat="1" ht="22.5" hidden="1">
      <c r="A47" s="102">
        <v>926</v>
      </c>
      <c r="B47" s="102">
        <v>92605</v>
      </c>
      <c r="C47" s="211">
        <v>2630</v>
      </c>
      <c r="D47" s="177" t="s">
        <v>390</v>
      </c>
      <c r="E47" s="232" t="s">
        <v>77</v>
      </c>
      <c r="F47" s="215"/>
      <c r="G47" s="215"/>
      <c r="H47" s="106">
        <f t="shared" si="2"/>
        <v>0</v>
      </c>
      <c r="I47" s="215"/>
      <c r="J47" s="106">
        <f t="shared" si="3"/>
        <v>0</v>
      </c>
    </row>
    <row r="48" spans="1:10" s="216" customFormat="1" ht="22.5" hidden="1">
      <c r="A48" s="102">
        <v>926</v>
      </c>
      <c r="B48" s="102">
        <v>92605</v>
      </c>
      <c r="C48" s="211">
        <v>2630</v>
      </c>
      <c r="D48" s="177" t="s">
        <v>391</v>
      </c>
      <c r="E48" s="232" t="s">
        <v>77</v>
      </c>
      <c r="F48" s="215"/>
      <c r="G48" s="215"/>
      <c r="H48" s="106">
        <f t="shared" si="2"/>
        <v>0</v>
      </c>
      <c r="I48" s="215"/>
      <c r="J48" s="106">
        <f t="shared" si="3"/>
        <v>0</v>
      </c>
    </row>
    <row r="49" spans="1:10" s="216" customFormat="1" ht="22.5">
      <c r="A49" s="102">
        <v>926</v>
      </c>
      <c r="B49" s="102">
        <v>92605</v>
      </c>
      <c r="C49" s="102">
        <v>2820</v>
      </c>
      <c r="D49" s="177" t="s">
        <v>449</v>
      </c>
      <c r="E49" s="232" t="s">
        <v>77</v>
      </c>
      <c r="F49" s="215">
        <v>0</v>
      </c>
      <c r="G49" s="215">
        <v>131400</v>
      </c>
      <c r="H49" s="106">
        <f t="shared" si="2"/>
        <v>131400</v>
      </c>
      <c r="I49" s="215"/>
      <c r="J49" s="106">
        <f t="shared" si="3"/>
        <v>131400</v>
      </c>
    </row>
    <row r="50" spans="1:10" s="216" customFormat="1" ht="22.5">
      <c r="A50" s="102">
        <v>926</v>
      </c>
      <c r="B50" s="102">
        <v>92605</v>
      </c>
      <c r="C50" s="102">
        <v>2820</v>
      </c>
      <c r="D50" s="177" t="s">
        <v>382</v>
      </c>
      <c r="E50" s="232" t="s">
        <v>77</v>
      </c>
      <c r="F50" s="215">
        <v>0</v>
      </c>
      <c r="G50" s="215">
        <v>62000</v>
      </c>
      <c r="H50" s="106">
        <f t="shared" si="2"/>
        <v>62000</v>
      </c>
      <c r="I50" s="215"/>
      <c r="J50" s="106">
        <f t="shared" si="3"/>
        <v>62000</v>
      </c>
    </row>
    <row r="51" spans="1:10" s="216" customFormat="1" ht="22.5">
      <c r="A51" s="102">
        <v>926</v>
      </c>
      <c r="B51" s="102">
        <v>92605</v>
      </c>
      <c r="C51" s="102">
        <v>2820</v>
      </c>
      <c r="D51" s="177" t="s">
        <v>450</v>
      </c>
      <c r="E51" s="232" t="s">
        <v>77</v>
      </c>
      <c r="F51" s="215">
        <v>0</v>
      </c>
      <c r="G51" s="215">
        <v>4000</v>
      </c>
      <c r="H51" s="106">
        <f t="shared" si="2"/>
        <v>4000</v>
      </c>
      <c r="I51" s="215"/>
      <c r="J51" s="106">
        <f t="shared" si="3"/>
        <v>4000</v>
      </c>
    </row>
    <row r="52" spans="1:10" s="216" customFormat="1" ht="22.5">
      <c r="A52" s="102">
        <v>926</v>
      </c>
      <c r="B52" s="102">
        <v>92605</v>
      </c>
      <c r="C52" s="102">
        <v>2820</v>
      </c>
      <c r="D52" s="177" t="s">
        <v>451</v>
      </c>
      <c r="E52" s="232" t="s">
        <v>77</v>
      </c>
      <c r="F52" s="215">
        <v>0</v>
      </c>
      <c r="G52" s="215">
        <v>5000</v>
      </c>
      <c r="H52" s="106">
        <f t="shared" si="2"/>
        <v>5000</v>
      </c>
      <c r="I52" s="215"/>
      <c r="J52" s="106">
        <f t="shared" si="3"/>
        <v>5000</v>
      </c>
    </row>
    <row r="53" spans="1:10" s="216" customFormat="1" ht="22.5">
      <c r="A53" s="102">
        <v>926</v>
      </c>
      <c r="B53" s="102">
        <v>92605</v>
      </c>
      <c r="C53" s="102">
        <v>2820</v>
      </c>
      <c r="D53" s="177" t="s">
        <v>452</v>
      </c>
      <c r="E53" s="232" t="s">
        <v>77</v>
      </c>
      <c r="F53" s="215">
        <v>0</v>
      </c>
      <c r="G53" s="215">
        <v>3500</v>
      </c>
      <c r="H53" s="106">
        <f t="shared" si="2"/>
        <v>3500</v>
      </c>
      <c r="I53" s="215"/>
      <c r="J53" s="106">
        <f t="shared" si="3"/>
        <v>3500</v>
      </c>
    </row>
    <row r="54" spans="1:10" s="216" customFormat="1" ht="22.5">
      <c r="A54" s="102">
        <v>926</v>
      </c>
      <c r="B54" s="102">
        <v>92605</v>
      </c>
      <c r="C54" s="102">
        <v>2820</v>
      </c>
      <c r="D54" s="177" t="s">
        <v>453</v>
      </c>
      <c r="E54" s="232" t="s">
        <v>77</v>
      </c>
      <c r="F54" s="215">
        <v>0</v>
      </c>
      <c r="G54" s="215">
        <v>8000</v>
      </c>
      <c r="H54" s="106">
        <f t="shared" si="2"/>
        <v>8000</v>
      </c>
      <c r="I54" s="215"/>
      <c r="J54" s="106">
        <f t="shared" si="3"/>
        <v>8000</v>
      </c>
    </row>
    <row r="55" spans="1:10" s="216" customFormat="1" ht="22.5">
      <c r="A55" s="102">
        <v>926</v>
      </c>
      <c r="B55" s="102">
        <v>92605</v>
      </c>
      <c r="C55" s="102">
        <v>2820</v>
      </c>
      <c r="D55" s="177" t="s">
        <v>454</v>
      </c>
      <c r="E55" s="232" t="s">
        <v>77</v>
      </c>
      <c r="F55" s="215">
        <v>0</v>
      </c>
      <c r="G55" s="215">
        <v>2500</v>
      </c>
      <c r="H55" s="106">
        <f t="shared" si="2"/>
        <v>2500</v>
      </c>
      <c r="I55" s="215"/>
      <c r="J55" s="106">
        <f t="shared" si="3"/>
        <v>2500</v>
      </c>
    </row>
    <row r="56" spans="1:10" s="216" customFormat="1" ht="22.5">
      <c r="A56" s="102">
        <v>926</v>
      </c>
      <c r="B56" s="102">
        <v>92605</v>
      </c>
      <c r="C56" s="102">
        <v>2820</v>
      </c>
      <c r="D56" s="177" t="s">
        <v>455</v>
      </c>
      <c r="E56" s="232" t="s">
        <v>77</v>
      </c>
      <c r="F56" s="215">
        <v>0</v>
      </c>
      <c r="G56" s="215">
        <v>7000</v>
      </c>
      <c r="H56" s="106">
        <f t="shared" si="2"/>
        <v>7000</v>
      </c>
      <c r="I56" s="215"/>
      <c r="J56" s="106">
        <f t="shared" si="3"/>
        <v>7000</v>
      </c>
    </row>
    <row r="57" spans="1:10" s="216" customFormat="1" ht="32.25" customHeight="1">
      <c r="A57" s="102">
        <v>926</v>
      </c>
      <c r="B57" s="102">
        <v>92605</v>
      </c>
      <c r="C57" s="102">
        <v>2820</v>
      </c>
      <c r="D57" s="177" t="s">
        <v>456</v>
      </c>
      <c r="E57" s="232" t="s">
        <v>77</v>
      </c>
      <c r="F57" s="215">
        <v>0</v>
      </c>
      <c r="G57" s="215">
        <v>14000</v>
      </c>
      <c r="H57" s="106">
        <f t="shared" si="2"/>
        <v>14000</v>
      </c>
      <c r="I57" s="215"/>
      <c r="J57" s="106">
        <f t="shared" si="3"/>
        <v>14000</v>
      </c>
    </row>
    <row r="58" spans="1:10" s="216" customFormat="1" ht="22.5">
      <c r="A58" s="102">
        <v>926</v>
      </c>
      <c r="B58" s="102">
        <v>92605</v>
      </c>
      <c r="C58" s="102">
        <v>2820</v>
      </c>
      <c r="D58" s="177" t="s">
        <v>457</v>
      </c>
      <c r="E58" s="232" t="s">
        <v>77</v>
      </c>
      <c r="F58" s="215">
        <v>0</v>
      </c>
      <c r="G58" s="215">
        <v>6000</v>
      </c>
      <c r="H58" s="106">
        <f t="shared" si="2"/>
        <v>6000</v>
      </c>
      <c r="I58" s="215"/>
      <c r="J58" s="106">
        <f t="shared" si="3"/>
        <v>6000</v>
      </c>
    </row>
    <row r="59" spans="1:10" s="216" customFormat="1" ht="28.5" customHeight="1">
      <c r="A59" s="102">
        <v>926</v>
      </c>
      <c r="B59" s="102">
        <v>92605</v>
      </c>
      <c r="C59" s="102">
        <v>2820</v>
      </c>
      <c r="D59" s="177" t="s">
        <v>377</v>
      </c>
      <c r="E59" s="232" t="s">
        <v>77</v>
      </c>
      <c r="F59" s="215">
        <v>0</v>
      </c>
      <c r="G59" s="215">
        <v>1500</v>
      </c>
      <c r="H59" s="106">
        <f t="shared" si="2"/>
        <v>1500</v>
      </c>
      <c r="I59" s="215"/>
      <c r="J59" s="106">
        <f t="shared" si="3"/>
        <v>1500</v>
      </c>
    </row>
    <row r="60" spans="1:10" s="216" customFormat="1" ht="26.25" customHeight="1">
      <c r="A60" s="102">
        <v>926</v>
      </c>
      <c r="B60" s="102">
        <v>92605</v>
      </c>
      <c r="C60" s="102">
        <v>2820</v>
      </c>
      <c r="D60" s="177" t="s">
        <v>389</v>
      </c>
      <c r="E60" s="232" t="s">
        <v>77</v>
      </c>
      <c r="F60" s="215">
        <v>0</v>
      </c>
      <c r="G60" s="215">
        <v>2000</v>
      </c>
      <c r="H60" s="106">
        <f t="shared" si="2"/>
        <v>2000</v>
      </c>
      <c r="I60" s="215"/>
      <c r="J60" s="106">
        <f t="shared" si="3"/>
        <v>2000</v>
      </c>
    </row>
    <row r="61" spans="1:10" s="216" customFormat="1" ht="22.5">
      <c r="A61" s="102">
        <v>926</v>
      </c>
      <c r="B61" s="102">
        <v>92605</v>
      </c>
      <c r="C61" s="102">
        <v>2830</v>
      </c>
      <c r="D61" s="177" t="s">
        <v>458</v>
      </c>
      <c r="E61" s="232" t="s">
        <v>77</v>
      </c>
      <c r="F61" s="215">
        <v>0</v>
      </c>
      <c r="G61" s="215">
        <v>600</v>
      </c>
      <c r="H61" s="106">
        <f t="shared" si="2"/>
        <v>600</v>
      </c>
      <c r="I61" s="215"/>
      <c r="J61" s="106">
        <f t="shared" si="3"/>
        <v>600</v>
      </c>
    </row>
    <row r="62" spans="1:10" s="31" customFormat="1" ht="21.75" customHeight="1">
      <c r="A62" s="273" t="s">
        <v>78</v>
      </c>
      <c r="B62" s="274"/>
      <c r="C62" s="274"/>
      <c r="D62" s="274"/>
      <c r="E62" s="275"/>
      <c r="F62" s="52">
        <f>SUM(F25)</f>
        <v>352000</v>
      </c>
      <c r="G62" s="52">
        <f>SUM(G25)</f>
        <v>0</v>
      </c>
      <c r="H62" s="20">
        <f t="shared" si="2"/>
        <v>352000</v>
      </c>
      <c r="I62" s="52">
        <f>SUM(I25)</f>
        <v>-18900</v>
      </c>
      <c r="J62" s="20">
        <f t="shared" si="3"/>
        <v>333100</v>
      </c>
    </row>
    <row r="63" spans="1:10" s="31" customFormat="1" ht="27.75" customHeight="1">
      <c r="A63" s="236" t="s">
        <v>392</v>
      </c>
      <c r="B63" s="237"/>
      <c r="C63" s="237"/>
      <c r="D63" s="237"/>
      <c r="E63" s="237"/>
      <c r="F63" s="237"/>
      <c r="G63" s="237"/>
      <c r="H63" s="238"/>
      <c r="I63" s="237"/>
      <c r="J63" s="238"/>
    </row>
    <row r="64" spans="1:10" s="152" customFormat="1" ht="29.25" customHeight="1">
      <c r="A64" s="6" t="s">
        <v>0</v>
      </c>
      <c r="B64" s="6" t="s">
        <v>1</v>
      </c>
      <c r="C64" s="6" t="s">
        <v>2</v>
      </c>
      <c r="D64" s="6" t="s">
        <v>356</v>
      </c>
      <c r="E64" s="6" t="s">
        <v>357</v>
      </c>
      <c r="F64" s="176" t="s">
        <v>437</v>
      </c>
      <c r="G64" s="176" t="s">
        <v>436</v>
      </c>
      <c r="H64" s="176" t="s">
        <v>438</v>
      </c>
      <c r="I64" s="176" t="s">
        <v>436</v>
      </c>
      <c r="J64" s="176" t="s">
        <v>438</v>
      </c>
    </row>
    <row r="65" spans="1:10" s="206" customFormat="1" ht="22.5" customHeight="1">
      <c r="A65" s="102">
        <v>854</v>
      </c>
      <c r="B65" s="102">
        <v>85495</v>
      </c>
      <c r="C65" s="102">
        <v>2320</v>
      </c>
      <c r="D65" s="15" t="s">
        <v>393</v>
      </c>
      <c r="E65" s="234" t="s">
        <v>394</v>
      </c>
      <c r="F65" s="214">
        <v>200000</v>
      </c>
      <c r="G65" s="214"/>
      <c r="H65" s="214">
        <v>200000</v>
      </c>
      <c r="I65" s="214"/>
      <c r="J65" s="214">
        <v>200000</v>
      </c>
    </row>
    <row r="66" spans="1:10" s="217" customFormat="1" ht="22.5" customHeight="1">
      <c r="A66" s="102">
        <v>854</v>
      </c>
      <c r="B66" s="102">
        <v>85495</v>
      </c>
      <c r="C66" s="102">
        <v>2320</v>
      </c>
      <c r="D66" s="15" t="s">
        <v>395</v>
      </c>
      <c r="E66" s="15" t="s">
        <v>396</v>
      </c>
      <c r="F66" s="71">
        <v>26650</v>
      </c>
      <c r="G66" s="71"/>
      <c r="H66" s="71">
        <v>26650</v>
      </c>
      <c r="I66" s="71"/>
      <c r="J66" s="71">
        <v>26650</v>
      </c>
    </row>
    <row r="67" spans="1:10" s="178" customFormat="1" ht="17.25" customHeight="1">
      <c r="A67" s="273" t="s">
        <v>78</v>
      </c>
      <c r="B67" s="274"/>
      <c r="C67" s="274"/>
      <c r="D67" s="274"/>
      <c r="E67" s="275"/>
      <c r="F67" s="52">
        <f>SUM(F65:F66)</f>
        <v>226650</v>
      </c>
      <c r="G67" s="52">
        <f>SUM(G65:G66)</f>
        <v>0</v>
      </c>
      <c r="H67" s="52">
        <f>SUM(H65:H66)</f>
        <v>226650</v>
      </c>
      <c r="I67" s="52">
        <f>SUM(I65:I66)</f>
        <v>0</v>
      </c>
      <c r="J67" s="52">
        <f>SUM(J65:J66)</f>
        <v>226650</v>
      </c>
    </row>
    <row r="68" spans="1:10" s="178" customFormat="1" ht="21.75" customHeight="1">
      <c r="A68" s="236" t="s">
        <v>483</v>
      </c>
      <c r="B68" s="237"/>
      <c r="C68" s="237"/>
      <c r="D68" s="237"/>
      <c r="E68" s="237"/>
      <c r="F68" s="237"/>
      <c r="G68" s="237"/>
      <c r="H68" s="238"/>
      <c r="I68" s="237"/>
      <c r="J68" s="238"/>
    </row>
    <row r="69" spans="1:10" s="178" customFormat="1" ht="25.5" customHeight="1">
      <c r="A69" s="6" t="s">
        <v>0</v>
      </c>
      <c r="B69" s="6" t="s">
        <v>1</v>
      </c>
      <c r="C69" s="6" t="s">
        <v>2</v>
      </c>
      <c r="D69" s="6" t="s">
        <v>356</v>
      </c>
      <c r="E69" s="6" t="s">
        <v>357</v>
      </c>
      <c r="F69" s="176" t="s">
        <v>437</v>
      </c>
      <c r="G69" s="176" t="s">
        <v>436</v>
      </c>
      <c r="H69" s="176" t="s">
        <v>438</v>
      </c>
      <c r="I69" s="176" t="s">
        <v>237</v>
      </c>
      <c r="J69" s="176" t="s">
        <v>438</v>
      </c>
    </row>
    <row r="70" spans="1:10" s="178" customFormat="1" ht="51.75" customHeight="1">
      <c r="A70" s="180">
        <v>851</v>
      </c>
      <c r="B70" s="180">
        <v>85154</v>
      </c>
      <c r="C70" s="180">
        <v>2710</v>
      </c>
      <c r="D70" s="245" t="s">
        <v>501</v>
      </c>
      <c r="E70" s="244" t="s">
        <v>502</v>
      </c>
      <c r="F70" s="243">
        <v>0</v>
      </c>
      <c r="G70" s="243"/>
      <c r="H70" s="243">
        <f>SUM(F70:G70)</f>
        <v>0</v>
      </c>
      <c r="I70" s="243">
        <v>11551</v>
      </c>
      <c r="J70" s="243">
        <f>SUM(H70:I70)</f>
        <v>11551</v>
      </c>
    </row>
    <row r="71" spans="1:10" s="178" customFormat="1" ht="21.75" customHeight="1">
      <c r="A71" s="277" t="s">
        <v>78</v>
      </c>
      <c r="B71" s="278"/>
      <c r="C71" s="278"/>
      <c r="D71" s="278"/>
      <c r="E71" s="279"/>
      <c r="F71" s="243">
        <f>SUM(F70:F70)</f>
        <v>0</v>
      </c>
      <c r="G71" s="243">
        <f>SUM(G70:G70)</f>
        <v>0</v>
      </c>
      <c r="H71" s="243">
        <f>SUM(F71:G71)</f>
        <v>0</v>
      </c>
      <c r="I71" s="243">
        <f>SUM(I70:I70)</f>
        <v>11551</v>
      </c>
      <c r="J71" s="243">
        <f>SUM(H71:I71)</f>
        <v>11551</v>
      </c>
    </row>
    <row r="72" spans="1:10" s="31" customFormat="1" ht="24.75" customHeight="1">
      <c r="A72" s="209" t="s">
        <v>525</v>
      </c>
      <c r="B72" s="218"/>
      <c r="C72" s="218"/>
      <c r="D72" s="218"/>
      <c r="E72" s="218"/>
      <c r="F72" s="219">
        <f>SUM(F22,F62,F67,F71)</f>
        <v>5362098</v>
      </c>
      <c r="G72" s="219">
        <f>SUM(G22,G62,G67,G71)</f>
        <v>11500</v>
      </c>
      <c r="H72" s="219">
        <f>SUM(H22,H62,H67,H71)</f>
        <v>5373598</v>
      </c>
      <c r="I72" s="219">
        <f>SUM(I22,I62,I67,I71)</f>
        <v>-6849</v>
      </c>
      <c r="J72" s="219">
        <f>SUM(J22,J62,J67,J71)</f>
        <v>5366749</v>
      </c>
    </row>
    <row r="73" spans="1:5" ht="36.75" customHeight="1">
      <c r="A73" s="280" t="s">
        <v>523</v>
      </c>
      <c r="B73" s="280"/>
      <c r="C73" s="280"/>
      <c r="D73" s="280"/>
      <c r="E73" s="280"/>
    </row>
    <row r="74" spans="1:10" ht="15.75">
      <c r="A74" s="236" t="s">
        <v>524</v>
      </c>
      <c r="B74" s="237"/>
      <c r="C74" s="237"/>
      <c r="D74" s="237"/>
      <c r="E74" s="237"/>
      <c r="F74" s="237"/>
      <c r="G74" s="237"/>
      <c r="H74" s="238"/>
      <c r="I74" s="237"/>
      <c r="J74" s="238"/>
    </row>
    <row r="75" spans="1:10" ht="27.75" customHeight="1">
      <c r="A75" s="6" t="s">
        <v>0</v>
      </c>
      <c r="B75" s="6" t="s">
        <v>1</v>
      </c>
      <c r="C75" s="6" t="s">
        <v>2</v>
      </c>
      <c r="D75" s="6" t="s">
        <v>356</v>
      </c>
      <c r="E75" s="6" t="s">
        <v>357</v>
      </c>
      <c r="F75" s="176" t="s">
        <v>437</v>
      </c>
      <c r="G75" s="176" t="s">
        <v>436</v>
      </c>
      <c r="H75" s="176" t="s">
        <v>438</v>
      </c>
      <c r="I75" s="176" t="s">
        <v>237</v>
      </c>
      <c r="J75" s="176" t="s">
        <v>438</v>
      </c>
    </row>
    <row r="76" spans="1:10" ht="78.75">
      <c r="A76" s="180">
        <v>600</v>
      </c>
      <c r="B76" s="180">
        <v>60013</v>
      </c>
      <c r="C76" s="180">
        <v>6300</v>
      </c>
      <c r="D76" s="245" t="s">
        <v>503</v>
      </c>
      <c r="E76" s="244" t="s">
        <v>504</v>
      </c>
      <c r="F76" s="243">
        <v>0</v>
      </c>
      <c r="G76" s="243"/>
      <c r="H76" s="243">
        <f>SUM(F76:G76)</f>
        <v>0</v>
      </c>
      <c r="I76" s="243">
        <v>30000</v>
      </c>
      <c r="J76" s="243">
        <f>SUM(H76:I76)</f>
        <v>30000</v>
      </c>
    </row>
    <row r="77" spans="1:10" ht="18.75" customHeight="1">
      <c r="A77" s="277" t="s">
        <v>78</v>
      </c>
      <c r="B77" s="278"/>
      <c r="C77" s="278"/>
      <c r="D77" s="278"/>
      <c r="E77" s="279"/>
      <c r="F77" s="243">
        <f>SUM(F76:F76)</f>
        <v>0</v>
      </c>
      <c r="G77" s="243">
        <f>SUM(G76:G76)</f>
        <v>0</v>
      </c>
      <c r="H77" s="243">
        <f>SUM(F77:G77)</f>
        <v>0</v>
      </c>
      <c r="I77" s="243">
        <f>SUM(I76:I76)</f>
        <v>30000</v>
      </c>
      <c r="J77" s="243">
        <f>SUM(H77:I77)</f>
        <v>30000</v>
      </c>
    </row>
    <row r="78" spans="1:10" s="255" customFormat="1" ht="24" customHeight="1">
      <c r="A78" s="256" t="s">
        <v>526</v>
      </c>
      <c r="B78" s="257"/>
      <c r="C78" s="257"/>
      <c r="D78" s="257"/>
      <c r="E78" s="257"/>
      <c r="F78" s="257"/>
      <c r="G78" s="257"/>
      <c r="H78" s="258">
        <f>SUM(H77)</f>
        <v>0</v>
      </c>
      <c r="I78" s="258">
        <f>SUM(I77)</f>
        <v>30000</v>
      </c>
      <c r="J78" s="258">
        <f>SUM(J77)</f>
        <v>30000</v>
      </c>
    </row>
    <row r="80" spans="1:10" ht="20.25">
      <c r="A80" s="269" t="s">
        <v>528</v>
      </c>
      <c r="B80" s="269"/>
      <c r="C80" s="269"/>
      <c r="D80" s="269"/>
      <c r="E80" s="269"/>
      <c r="H80" s="259">
        <f>SUM(H78,H72)</f>
        <v>5373598</v>
      </c>
      <c r="I80" s="259">
        <f>SUM(I78,I72)</f>
        <v>23151</v>
      </c>
      <c r="J80" s="259">
        <f>SUM(J78,J72)</f>
        <v>5396749</v>
      </c>
    </row>
  </sheetData>
  <mergeCells count="9">
    <mergeCell ref="A80:E80"/>
    <mergeCell ref="A77:E77"/>
    <mergeCell ref="A73:E73"/>
    <mergeCell ref="A71:E71"/>
    <mergeCell ref="A5:F5"/>
    <mergeCell ref="A22:E22"/>
    <mergeCell ref="A62:E62"/>
    <mergeCell ref="A67:E67"/>
    <mergeCell ref="A6:E6"/>
  </mergeCells>
  <printOptions horizontalCentered="1"/>
  <pageMargins left="0.5118110236220472" right="0.5118110236220472" top="0.5905511811023623" bottom="0.5905511811023623" header="0.5118110236220472" footer="0.31496062992125984"/>
  <pageSetup firstPageNumber="1" useFirstPageNumber="1" horizontalDpi="600" verticalDpi="600" orientation="landscape" paperSize="9" scale="95" r:id="rId1"/>
  <headerFooter alignWithMargins="0">
    <oddFooter>&amp;C&amp;8Dotacje przekazywane - str.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16"/>
  <sheetViews>
    <sheetView workbookViewId="0" topLeftCell="A1">
      <selection activeCell="O8" sqref="O8"/>
    </sheetView>
  </sheetViews>
  <sheetFormatPr defaultColWidth="9.00390625" defaultRowHeight="12.75"/>
  <cols>
    <col min="1" max="1" width="4.875" style="9" customWidth="1"/>
    <col min="2" max="2" width="7.25390625" style="9" bestFit="1" customWidth="1"/>
    <col min="3" max="3" width="5.625" style="9" customWidth="1"/>
    <col min="4" max="4" width="30.125" style="9" customWidth="1"/>
    <col min="5" max="5" width="12.375" style="0" hidden="1" customWidth="1"/>
    <col min="6" max="6" width="9.875" style="0" hidden="1" customWidth="1"/>
    <col min="7" max="7" width="11.25390625" style="0" hidden="1" customWidth="1"/>
    <col min="8" max="8" width="34.875" style="0" hidden="1" customWidth="1"/>
    <col min="9" max="9" width="10.375" style="0" hidden="1" customWidth="1"/>
    <col min="10" max="10" width="12.875" style="0" customWidth="1"/>
    <col min="11" max="11" width="12.75390625" style="0" customWidth="1"/>
    <col min="12" max="12" width="12.875" style="0" customWidth="1"/>
  </cols>
  <sheetData>
    <row r="1" spans="5:12" ht="12.75">
      <c r="E1" s="74"/>
      <c r="F1" s="74" t="s">
        <v>327</v>
      </c>
      <c r="G1" s="74"/>
      <c r="H1" s="130" t="s">
        <v>472</v>
      </c>
      <c r="I1" s="130"/>
      <c r="J1" s="130" t="s">
        <v>546</v>
      </c>
      <c r="K1" s="130"/>
      <c r="L1" s="74"/>
    </row>
    <row r="2" spans="5:12" ht="12.75">
      <c r="E2" s="74"/>
      <c r="F2" s="74" t="s">
        <v>406</v>
      </c>
      <c r="G2" s="74"/>
      <c r="H2" s="130" t="s">
        <v>411</v>
      </c>
      <c r="I2" s="130"/>
      <c r="J2" s="130" t="s">
        <v>520</v>
      </c>
      <c r="K2" s="130"/>
      <c r="L2" s="74"/>
    </row>
    <row r="3" spans="5:12" ht="12.75">
      <c r="E3" s="74"/>
      <c r="F3" s="74" t="s">
        <v>169</v>
      </c>
      <c r="G3" s="74"/>
      <c r="H3" s="130" t="s">
        <v>441</v>
      </c>
      <c r="I3" s="130"/>
      <c r="J3" s="130" t="s">
        <v>472</v>
      </c>
      <c r="K3" s="130"/>
      <c r="L3" s="74"/>
    </row>
    <row r="4" spans="5:12" ht="12.75">
      <c r="E4" s="74"/>
      <c r="F4" s="74" t="s">
        <v>400</v>
      </c>
      <c r="G4" s="74"/>
      <c r="H4" s="130" t="s">
        <v>413</v>
      </c>
      <c r="I4" s="130"/>
      <c r="J4" s="130" t="s">
        <v>477</v>
      </c>
      <c r="K4" s="130"/>
      <c r="L4" s="74"/>
    </row>
    <row r="5" spans="1:10" ht="15" customHeight="1">
      <c r="A5" s="281" t="s">
        <v>440</v>
      </c>
      <c r="B5" s="281"/>
      <c r="C5" s="281"/>
      <c r="D5" s="281"/>
      <c r="E5" s="281"/>
      <c r="F5" s="281"/>
      <c r="G5" s="281"/>
      <c r="H5" s="281"/>
      <c r="I5" s="281"/>
      <c r="J5" s="281"/>
    </row>
    <row r="6" spans="1:4" ht="12.75">
      <c r="A6" s="12"/>
      <c r="B6" s="12"/>
      <c r="C6" s="12"/>
      <c r="D6" s="42"/>
    </row>
    <row r="7" spans="1:12" s="9" customFormat="1" ht="24" customHeight="1">
      <c r="A7" s="228" t="s">
        <v>0</v>
      </c>
      <c r="B7" s="229" t="s">
        <v>1</v>
      </c>
      <c r="C7" s="230" t="s">
        <v>2</v>
      </c>
      <c r="D7" s="229" t="s">
        <v>3</v>
      </c>
      <c r="E7" s="179" t="s">
        <v>159</v>
      </c>
      <c r="F7" s="179" t="s">
        <v>234</v>
      </c>
      <c r="G7" s="179" t="s">
        <v>235</v>
      </c>
      <c r="H7" s="179" t="s">
        <v>437</v>
      </c>
      <c r="I7" s="179" t="s">
        <v>237</v>
      </c>
      <c r="J7" s="179" t="s">
        <v>437</v>
      </c>
      <c r="K7" s="179" t="s">
        <v>237</v>
      </c>
      <c r="L7" s="179" t="s">
        <v>243</v>
      </c>
    </row>
    <row r="8" spans="1:12" s="8" customFormat="1" ht="24" customHeight="1">
      <c r="A8" s="37" t="s">
        <v>85</v>
      </c>
      <c r="B8" s="6"/>
      <c r="C8" s="26"/>
      <c r="D8" s="25" t="s">
        <v>86</v>
      </c>
      <c r="E8" s="50">
        <f>E12</f>
        <v>1907280</v>
      </c>
      <c r="F8" s="50">
        <f>F12</f>
        <v>40000</v>
      </c>
      <c r="G8" s="50">
        <f>G12</f>
        <v>840000</v>
      </c>
      <c r="H8" s="50">
        <f>SUM(H9,H12)</f>
        <v>1107280</v>
      </c>
      <c r="I8" s="50">
        <f>SUM(I9,I12)</f>
        <v>-6000</v>
      </c>
      <c r="J8" s="50">
        <f>SUM(J9,J12)</f>
        <v>1101280</v>
      </c>
      <c r="K8" s="50">
        <f>SUM(K9,K12)</f>
        <v>0</v>
      </c>
      <c r="L8" s="50">
        <f>SUM(L9,L12)</f>
        <v>1101280</v>
      </c>
    </row>
    <row r="9" spans="1:12" s="30" customFormat="1" ht="24" customHeight="1">
      <c r="A9" s="91"/>
      <c r="B9" s="64">
        <v>60013</v>
      </c>
      <c r="C9" s="100"/>
      <c r="D9" s="15" t="s">
        <v>480</v>
      </c>
      <c r="E9" s="71"/>
      <c r="F9" s="71"/>
      <c r="G9" s="71"/>
      <c r="H9" s="71"/>
      <c r="I9" s="71"/>
      <c r="J9" s="71">
        <f aca="true" t="shared" si="0" ref="J9:L10">SUM(J10)</f>
        <v>0</v>
      </c>
      <c r="K9" s="71">
        <f t="shared" si="0"/>
        <v>30000</v>
      </c>
      <c r="L9" s="71">
        <f t="shared" si="0"/>
        <v>30000</v>
      </c>
    </row>
    <row r="10" spans="1:12" s="30" customFormat="1" ht="67.5">
      <c r="A10" s="91"/>
      <c r="B10" s="64"/>
      <c r="C10" s="100">
        <v>6300</v>
      </c>
      <c r="D10" s="48" t="s">
        <v>481</v>
      </c>
      <c r="E10" s="71"/>
      <c r="F10" s="71"/>
      <c r="G10" s="71"/>
      <c r="H10" s="71"/>
      <c r="I10" s="71"/>
      <c r="J10" s="71">
        <f t="shared" si="0"/>
        <v>0</v>
      </c>
      <c r="K10" s="71">
        <f t="shared" si="0"/>
        <v>30000</v>
      </c>
      <c r="L10" s="71">
        <f t="shared" si="0"/>
        <v>30000</v>
      </c>
    </row>
    <row r="11" spans="1:12" s="33" customFormat="1" ht="78.75">
      <c r="A11" s="60"/>
      <c r="B11" s="57"/>
      <c r="C11" s="58"/>
      <c r="D11" s="62" t="s">
        <v>496</v>
      </c>
      <c r="E11" s="221"/>
      <c r="F11" s="221"/>
      <c r="G11" s="221"/>
      <c r="H11" s="221"/>
      <c r="I11" s="221"/>
      <c r="J11" s="221">
        <v>0</v>
      </c>
      <c r="K11" s="221">
        <v>30000</v>
      </c>
      <c r="L11" s="221">
        <f>SUM(J11:K11)</f>
        <v>30000</v>
      </c>
    </row>
    <row r="12" spans="1:12" s="30" customFormat="1" ht="24" customHeight="1">
      <c r="A12" s="91"/>
      <c r="B12" s="92" t="s">
        <v>87</v>
      </c>
      <c r="C12" s="100"/>
      <c r="D12" s="15" t="s">
        <v>88</v>
      </c>
      <c r="E12" s="71">
        <f>SUM(E13,E29,E31)</f>
        <v>1907280</v>
      </c>
      <c r="F12" s="71">
        <f>SUM(F13,F29,F31)</f>
        <v>40000</v>
      </c>
      <c r="G12" s="71">
        <f>SUM(G13,G29,G31)</f>
        <v>840000</v>
      </c>
      <c r="H12" s="71">
        <f>SUM(H13,H29,H31)</f>
        <v>1107280</v>
      </c>
      <c r="I12" s="71">
        <f>SUM(I13,I29,I31)</f>
        <v>-6000</v>
      </c>
      <c r="J12" s="71">
        <f>SUM(H12:I12)</f>
        <v>1101280</v>
      </c>
      <c r="K12" s="71">
        <f>SUM(K13,K29,K31)</f>
        <v>-30000</v>
      </c>
      <c r="L12" s="71">
        <f>SUM(J12:K12)</f>
        <v>1071280</v>
      </c>
    </row>
    <row r="13" spans="1:12" s="30" customFormat="1" ht="24" customHeight="1">
      <c r="A13" s="98"/>
      <c r="B13" s="64"/>
      <c r="C13" s="100">
        <v>6050</v>
      </c>
      <c r="D13" s="15" t="s">
        <v>84</v>
      </c>
      <c r="E13" s="71">
        <f>SUM(E14:E28)</f>
        <v>1895630</v>
      </c>
      <c r="F13" s="71">
        <f>SUM(F14:F28)</f>
        <v>0</v>
      </c>
      <c r="G13" s="71">
        <f>SUM(G14:G28)</f>
        <v>840000</v>
      </c>
      <c r="H13" s="71">
        <f>SUM(H14:H28)</f>
        <v>1055630</v>
      </c>
      <c r="I13" s="71">
        <f>SUM(I14:I28)</f>
        <v>-6000</v>
      </c>
      <c r="J13" s="71">
        <f aca="true" t="shared" si="1" ref="J13:J78">SUM(H13:I13)</f>
        <v>1049630</v>
      </c>
      <c r="K13" s="71">
        <f>SUM(K14:K28)</f>
        <v>0</v>
      </c>
      <c r="L13" s="71">
        <f aca="true" t="shared" si="2" ref="L13:L71">SUM(J13:K13)</f>
        <v>1049630</v>
      </c>
    </row>
    <row r="14" spans="1:12" s="33" customFormat="1" ht="24" customHeight="1">
      <c r="A14" s="56"/>
      <c r="B14" s="57"/>
      <c r="C14" s="58"/>
      <c r="D14" s="62" t="s">
        <v>301</v>
      </c>
      <c r="E14" s="116">
        <v>150000</v>
      </c>
      <c r="F14" s="116"/>
      <c r="G14" s="116">
        <v>60000</v>
      </c>
      <c r="H14" s="221">
        <f aca="true" t="shared" si="3" ref="H14:H30">E14+F14-G14</f>
        <v>90000</v>
      </c>
      <c r="I14" s="116"/>
      <c r="J14" s="221">
        <f t="shared" si="1"/>
        <v>90000</v>
      </c>
      <c r="K14" s="116">
        <v>0</v>
      </c>
      <c r="L14" s="221">
        <f t="shared" si="2"/>
        <v>90000</v>
      </c>
    </row>
    <row r="15" spans="1:12" s="33" customFormat="1" ht="22.5">
      <c r="A15" s="56"/>
      <c r="B15" s="57"/>
      <c r="C15" s="58"/>
      <c r="D15" s="62" t="s">
        <v>410</v>
      </c>
      <c r="E15" s="116">
        <v>250000</v>
      </c>
      <c r="F15" s="116"/>
      <c r="G15" s="116">
        <v>100000</v>
      </c>
      <c r="H15" s="221">
        <f t="shared" si="3"/>
        <v>150000</v>
      </c>
      <c r="I15" s="116"/>
      <c r="J15" s="221">
        <f t="shared" si="1"/>
        <v>150000</v>
      </c>
      <c r="K15" s="116">
        <v>0</v>
      </c>
      <c r="L15" s="221">
        <f t="shared" si="2"/>
        <v>150000</v>
      </c>
    </row>
    <row r="16" spans="1:12" s="33" customFormat="1" ht="24" customHeight="1">
      <c r="A16" s="56"/>
      <c r="B16" s="57"/>
      <c r="C16" s="58"/>
      <c r="D16" s="62" t="s">
        <v>302</v>
      </c>
      <c r="E16" s="116">
        <v>280000</v>
      </c>
      <c r="F16" s="116"/>
      <c r="G16" s="116"/>
      <c r="H16" s="221">
        <f t="shared" si="3"/>
        <v>280000</v>
      </c>
      <c r="I16" s="116"/>
      <c r="J16" s="221">
        <f t="shared" si="1"/>
        <v>280000</v>
      </c>
      <c r="K16" s="116">
        <v>0</v>
      </c>
      <c r="L16" s="221">
        <f t="shared" si="2"/>
        <v>280000</v>
      </c>
    </row>
    <row r="17" spans="1:12" s="33" customFormat="1" ht="22.5">
      <c r="A17" s="56"/>
      <c r="B17" s="57"/>
      <c r="C17" s="58"/>
      <c r="D17" s="62" t="s">
        <v>304</v>
      </c>
      <c r="E17" s="116">
        <v>90000</v>
      </c>
      <c r="F17" s="116"/>
      <c r="G17" s="116">
        <v>36000</v>
      </c>
      <c r="H17" s="221">
        <f t="shared" si="3"/>
        <v>54000</v>
      </c>
      <c r="I17" s="116"/>
      <c r="J17" s="221">
        <f t="shared" si="1"/>
        <v>54000</v>
      </c>
      <c r="K17" s="116">
        <v>0</v>
      </c>
      <c r="L17" s="221">
        <f t="shared" si="2"/>
        <v>54000</v>
      </c>
    </row>
    <row r="18" spans="1:12" s="33" customFormat="1" ht="24" customHeight="1">
      <c r="A18" s="56"/>
      <c r="B18" s="57"/>
      <c r="C18" s="58"/>
      <c r="D18" s="62" t="s">
        <v>303</v>
      </c>
      <c r="E18" s="116">
        <v>190000</v>
      </c>
      <c r="F18" s="116"/>
      <c r="G18" s="116"/>
      <c r="H18" s="221">
        <f t="shared" si="3"/>
        <v>190000</v>
      </c>
      <c r="I18" s="116"/>
      <c r="J18" s="221">
        <f t="shared" si="1"/>
        <v>190000</v>
      </c>
      <c r="K18" s="116">
        <v>0</v>
      </c>
      <c r="L18" s="221">
        <f t="shared" si="2"/>
        <v>190000</v>
      </c>
    </row>
    <row r="19" spans="1:12" s="33" customFormat="1" ht="24" customHeight="1">
      <c r="A19" s="56"/>
      <c r="B19" s="57"/>
      <c r="C19" s="58"/>
      <c r="D19" s="62" t="s">
        <v>305</v>
      </c>
      <c r="E19" s="116">
        <v>140000</v>
      </c>
      <c r="F19" s="116"/>
      <c r="G19" s="116">
        <v>54000</v>
      </c>
      <c r="H19" s="221">
        <f t="shared" si="3"/>
        <v>86000</v>
      </c>
      <c r="I19" s="116"/>
      <c r="J19" s="221">
        <f t="shared" si="1"/>
        <v>86000</v>
      </c>
      <c r="K19" s="116">
        <v>0</v>
      </c>
      <c r="L19" s="221">
        <f t="shared" si="2"/>
        <v>86000</v>
      </c>
    </row>
    <row r="20" spans="1:12" s="33" customFormat="1" ht="24" customHeight="1" hidden="1">
      <c r="A20" s="56"/>
      <c r="B20" s="57"/>
      <c r="C20" s="58"/>
      <c r="D20" s="62" t="s">
        <v>306</v>
      </c>
      <c r="E20" s="116">
        <v>350000</v>
      </c>
      <c r="F20" s="116"/>
      <c r="G20" s="116">
        <v>350000</v>
      </c>
      <c r="H20" s="221">
        <f t="shared" si="3"/>
        <v>0</v>
      </c>
      <c r="I20" s="116"/>
      <c r="J20" s="221">
        <f t="shared" si="1"/>
        <v>0</v>
      </c>
      <c r="K20" s="116"/>
      <c r="L20" s="221">
        <f t="shared" si="2"/>
        <v>0</v>
      </c>
    </row>
    <row r="21" spans="1:12" s="33" customFormat="1" ht="24" customHeight="1">
      <c r="A21" s="56"/>
      <c r="B21" s="57"/>
      <c r="C21" s="58"/>
      <c r="D21" s="62" t="s">
        <v>307</v>
      </c>
      <c r="E21" s="116">
        <v>350000</v>
      </c>
      <c r="F21" s="116"/>
      <c r="G21" s="116">
        <v>240000</v>
      </c>
      <c r="H21" s="221">
        <f t="shared" si="3"/>
        <v>110000</v>
      </c>
      <c r="I21" s="116"/>
      <c r="J21" s="221">
        <f t="shared" si="1"/>
        <v>110000</v>
      </c>
      <c r="K21" s="116">
        <v>0</v>
      </c>
      <c r="L21" s="221">
        <f t="shared" si="2"/>
        <v>110000</v>
      </c>
    </row>
    <row r="22" spans="1:12" s="33" customFormat="1" ht="33.75">
      <c r="A22" s="56"/>
      <c r="B22" s="57"/>
      <c r="C22" s="58"/>
      <c r="D22" s="62" t="s">
        <v>309</v>
      </c>
      <c r="E22" s="116">
        <v>35000</v>
      </c>
      <c r="F22" s="116"/>
      <c r="G22" s="116"/>
      <c r="H22" s="221">
        <f t="shared" si="3"/>
        <v>35000</v>
      </c>
      <c r="I22" s="116"/>
      <c r="J22" s="221">
        <f t="shared" si="1"/>
        <v>35000</v>
      </c>
      <c r="K22" s="116">
        <v>0</v>
      </c>
      <c r="L22" s="221">
        <f t="shared" si="2"/>
        <v>35000</v>
      </c>
    </row>
    <row r="23" spans="1:12" s="33" customFormat="1" ht="24" customHeight="1">
      <c r="A23" s="56"/>
      <c r="B23" s="57"/>
      <c r="C23" s="58"/>
      <c r="D23" s="62" t="s">
        <v>240</v>
      </c>
      <c r="E23" s="116">
        <v>6300</v>
      </c>
      <c r="F23" s="116"/>
      <c r="G23" s="116"/>
      <c r="H23" s="221">
        <f t="shared" si="3"/>
        <v>6300</v>
      </c>
      <c r="I23" s="116"/>
      <c r="J23" s="221">
        <f t="shared" si="1"/>
        <v>6300</v>
      </c>
      <c r="K23" s="116">
        <v>0</v>
      </c>
      <c r="L23" s="221">
        <f t="shared" si="2"/>
        <v>6300</v>
      </c>
    </row>
    <row r="24" spans="1:12" s="33" customFormat="1" ht="24" customHeight="1">
      <c r="A24" s="56"/>
      <c r="B24" s="57"/>
      <c r="C24" s="58"/>
      <c r="D24" s="59" t="s">
        <v>274</v>
      </c>
      <c r="E24" s="116">
        <v>21000</v>
      </c>
      <c r="F24" s="116"/>
      <c r="G24" s="116"/>
      <c r="H24" s="221">
        <f t="shared" si="3"/>
        <v>21000</v>
      </c>
      <c r="I24" s="116"/>
      <c r="J24" s="221">
        <f t="shared" si="1"/>
        <v>21000</v>
      </c>
      <c r="K24" s="116">
        <v>0</v>
      </c>
      <c r="L24" s="221">
        <f t="shared" si="2"/>
        <v>21000</v>
      </c>
    </row>
    <row r="25" spans="1:12" s="33" customFormat="1" ht="24" customHeight="1">
      <c r="A25" s="56"/>
      <c r="B25" s="57"/>
      <c r="C25" s="58"/>
      <c r="D25" s="59" t="s">
        <v>310</v>
      </c>
      <c r="E25" s="116">
        <v>8700</v>
      </c>
      <c r="F25" s="116"/>
      <c r="G25" s="116"/>
      <c r="H25" s="221">
        <f t="shared" si="3"/>
        <v>8700</v>
      </c>
      <c r="I25" s="116"/>
      <c r="J25" s="221">
        <f t="shared" si="1"/>
        <v>8700</v>
      </c>
      <c r="K25" s="116">
        <v>0</v>
      </c>
      <c r="L25" s="221">
        <f t="shared" si="2"/>
        <v>8700</v>
      </c>
    </row>
    <row r="26" spans="1:12" s="33" customFormat="1" ht="24" customHeight="1">
      <c r="A26" s="56"/>
      <c r="B26" s="57"/>
      <c r="C26" s="58"/>
      <c r="D26" s="59" t="s">
        <v>311</v>
      </c>
      <c r="E26" s="116">
        <v>11820</v>
      </c>
      <c r="F26" s="116"/>
      <c r="G26" s="116"/>
      <c r="H26" s="221">
        <f t="shared" si="3"/>
        <v>11820</v>
      </c>
      <c r="I26" s="116"/>
      <c r="J26" s="221">
        <f t="shared" si="1"/>
        <v>11820</v>
      </c>
      <c r="K26" s="116">
        <v>0</v>
      </c>
      <c r="L26" s="221">
        <f t="shared" si="2"/>
        <v>11820</v>
      </c>
    </row>
    <row r="27" spans="1:12" s="33" customFormat="1" ht="24" customHeight="1">
      <c r="A27" s="56"/>
      <c r="B27" s="57"/>
      <c r="C27" s="58"/>
      <c r="D27" s="59" t="s">
        <v>312</v>
      </c>
      <c r="E27" s="116">
        <v>6000</v>
      </c>
      <c r="F27" s="116"/>
      <c r="G27" s="116"/>
      <c r="H27" s="221">
        <f t="shared" si="3"/>
        <v>6000</v>
      </c>
      <c r="I27" s="116">
        <v>-6000</v>
      </c>
      <c r="J27" s="221">
        <f t="shared" si="1"/>
        <v>0</v>
      </c>
      <c r="K27" s="116">
        <v>0</v>
      </c>
      <c r="L27" s="221">
        <f t="shared" si="2"/>
        <v>0</v>
      </c>
    </row>
    <row r="28" spans="1:12" s="33" customFormat="1" ht="24" customHeight="1">
      <c r="A28" s="56"/>
      <c r="B28" s="57"/>
      <c r="C28" s="58"/>
      <c r="D28" s="59" t="s">
        <v>313</v>
      </c>
      <c r="E28" s="116">
        <v>6810</v>
      </c>
      <c r="F28" s="116"/>
      <c r="G28" s="116"/>
      <c r="H28" s="221">
        <f t="shared" si="3"/>
        <v>6810</v>
      </c>
      <c r="I28" s="116"/>
      <c r="J28" s="221">
        <f t="shared" si="1"/>
        <v>6810</v>
      </c>
      <c r="K28" s="116">
        <v>0</v>
      </c>
      <c r="L28" s="221">
        <f t="shared" si="2"/>
        <v>6810</v>
      </c>
    </row>
    <row r="29" spans="1:12" s="30" customFormat="1" ht="22.5">
      <c r="A29" s="98"/>
      <c r="B29" s="64"/>
      <c r="C29" s="100">
        <v>6060</v>
      </c>
      <c r="D29" s="15" t="s">
        <v>107</v>
      </c>
      <c r="E29" s="113">
        <f>SUM(E30)</f>
        <v>11650</v>
      </c>
      <c r="F29" s="113">
        <f>SUM(F30)</f>
        <v>0</v>
      </c>
      <c r="G29" s="113">
        <f>SUM(G30)</f>
        <v>0</v>
      </c>
      <c r="H29" s="71">
        <f t="shared" si="3"/>
        <v>11650</v>
      </c>
      <c r="I29" s="113">
        <f>SUM(I30)</f>
        <v>0</v>
      </c>
      <c r="J29" s="71">
        <f t="shared" si="1"/>
        <v>11650</v>
      </c>
      <c r="K29" s="113">
        <f>SUM(K30)</f>
        <v>0</v>
      </c>
      <c r="L29" s="71">
        <f t="shared" si="2"/>
        <v>11650</v>
      </c>
    </row>
    <row r="30" spans="1:12" s="33" customFormat="1" ht="22.5">
      <c r="A30" s="56"/>
      <c r="B30" s="57"/>
      <c r="C30" s="58"/>
      <c r="D30" s="62" t="s">
        <v>308</v>
      </c>
      <c r="E30" s="116">
        <v>11650</v>
      </c>
      <c r="F30" s="116"/>
      <c r="G30" s="116"/>
      <c r="H30" s="221">
        <f t="shared" si="3"/>
        <v>11650</v>
      </c>
      <c r="I30" s="116"/>
      <c r="J30" s="221">
        <f t="shared" si="1"/>
        <v>11650</v>
      </c>
      <c r="K30" s="116">
        <v>0</v>
      </c>
      <c r="L30" s="221">
        <f t="shared" si="2"/>
        <v>11650</v>
      </c>
    </row>
    <row r="31" spans="1:12" s="33" customFormat="1" ht="24" customHeight="1">
      <c r="A31" s="56"/>
      <c r="B31" s="57"/>
      <c r="C31" s="100">
        <v>6800</v>
      </c>
      <c r="D31" s="15" t="s">
        <v>402</v>
      </c>
      <c r="E31" s="113">
        <f>SUM(E32)</f>
        <v>0</v>
      </c>
      <c r="F31" s="113">
        <f>SUM(F32)</f>
        <v>40000</v>
      </c>
      <c r="G31" s="113">
        <f>SUM(G32)</f>
        <v>0</v>
      </c>
      <c r="H31" s="113">
        <f>SUM(H32)</f>
        <v>40000</v>
      </c>
      <c r="I31" s="113">
        <f>SUM(I32)</f>
        <v>0</v>
      </c>
      <c r="J31" s="71">
        <f t="shared" si="1"/>
        <v>40000</v>
      </c>
      <c r="K31" s="113">
        <f>SUM(K32)</f>
        <v>-30000</v>
      </c>
      <c r="L31" s="71">
        <f t="shared" si="2"/>
        <v>10000</v>
      </c>
    </row>
    <row r="32" spans="1:12" s="33" customFormat="1" ht="33.75">
      <c r="A32" s="56"/>
      <c r="B32" s="57"/>
      <c r="C32" s="58"/>
      <c r="D32" s="62" t="s">
        <v>409</v>
      </c>
      <c r="E32" s="116">
        <v>0</v>
      </c>
      <c r="F32" s="116">
        <v>40000</v>
      </c>
      <c r="G32" s="116"/>
      <c r="H32" s="221">
        <f>E32+F32-G32</f>
        <v>40000</v>
      </c>
      <c r="I32" s="116"/>
      <c r="J32" s="221">
        <f t="shared" si="1"/>
        <v>40000</v>
      </c>
      <c r="K32" s="116">
        <v>-30000</v>
      </c>
      <c r="L32" s="221">
        <f t="shared" si="2"/>
        <v>10000</v>
      </c>
    </row>
    <row r="33" spans="1:12" s="13" customFormat="1" ht="24" customHeight="1">
      <c r="A33" s="37" t="s">
        <v>11</v>
      </c>
      <c r="B33" s="6"/>
      <c r="C33" s="26"/>
      <c r="D33" s="25" t="s">
        <v>12</v>
      </c>
      <c r="E33" s="20">
        <f>SUM(E34,E37,)</f>
        <v>550000</v>
      </c>
      <c r="F33" s="20">
        <f>SUM(F34,F37,)</f>
        <v>0</v>
      </c>
      <c r="G33" s="20">
        <f>SUM(G34,G37,)</f>
        <v>100000</v>
      </c>
      <c r="H33" s="20">
        <f>SUM(H34,H37,)</f>
        <v>450000</v>
      </c>
      <c r="I33" s="20">
        <f>SUM(I34,I37,)</f>
        <v>0</v>
      </c>
      <c r="J33" s="50">
        <f t="shared" si="1"/>
        <v>450000</v>
      </c>
      <c r="K33" s="20">
        <f>SUM(K34,K37,)</f>
        <v>0</v>
      </c>
      <c r="L33" s="50">
        <f t="shared" si="2"/>
        <v>450000</v>
      </c>
    </row>
    <row r="34" spans="1:12" s="30" customFormat="1" ht="24" customHeight="1">
      <c r="A34" s="91"/>
      <c r="B34" s="64">
        <v>70021</v>
      </c>
      <c r="C34" s="93"/>
      <c r="D34" s="48" t="s">
        <v>211</v>
      </c>
      <c r="E34" s="113">
        <f aca="true" t="shared" si="4" ref="E34:G35">SUM(E35)</f>
        <v>300000</v>
      </c>
      <c r="F34" s="113">
        <f t="shared" si="4"/>
        <v>0</v>
      </c>
      <c r="G34" s="113">
        <f t="shared" si="4"/>
        <v>0</v>
      </c>
      <c r="H34" s="71">
        <f aca="true" t="shared" si="5" ref="H34:H39">E34+F34-G34</f>
        <v>300000</v>
      </c>
      <c r="I34" s="113">
        <f>SUM(I35)</f>
        <v>0</v>
      </c>
      <c r="J34" s="71">
        <f t="shared" si="1"/>
        <v>300000</v>
      </c>
      <c r="K34" s="113">
        <f>SUM(K35)</f>
        <v>0</v>
      </c>
      <c r="L34" s="71">
        <f t="shared" si="2"/>
        <v>300000</v>
      </c>
    </row>
    <row r="35" spans="1:12" s="30" customFormat="1" ht="65.25" customHeight="1">
      <c r="A35" s="91"/>
      <c r="B35" s="64"/>
      <c r="C35" s="93">
        <v>6010</v>
      </c>
      <c r="D35" s="48" t="s">
        <v>296</v>
      </c>
      <c r="E35" s="113">
        <f t="shared" si="4"/>
        <v>300000</v>
      </c>
      <c r="F35" s="113">
        <f t="shared" si="4"/>
        <v>0</v>
      </c>
      <c r="G35" s="113">
        <f t="shared" si="4"/>
        <v>0</v>
      </c>
      <c r="H35" s="71">
        <f t="shared" si="5"/>
        <v>300000</v>
      </c>
      <c r="I35" s="113">
        <f>SUM(I36)</f>
        <v>0</v>
      </c>
      <c r="J35" s="71">
        <f t="shared" si="1"/>
        <v>300000</v>
      </c>
      <c r="K35" s="113">
        <f>SUM(K36)</f>
        <v>0</v>
      </c>
      <c r="L35" s="71">
        <f t="shared" si="2"/>
        <v>300000</v>
      </c>
    </row>
    <row r="36" spans="1:12" s="33" customFormat="1" ht="33.75">
      <c r="A36" s="60"/>
      <c r="B36" s="57"/>
      <c r="C36" s="133"/>
      <c r="D36" s="62" t="s">
        <v>401</v>
      </c>
      <c r="E36" s="63">
        <v>300000</v>
      </c>
      <c r="F36" s="63"/>
      <c r="G36" s="63"/>
      <c r="H36" s="221">
        <f t="shared" si="5"/>
        <v>300000</v>
      </c>
      <c r="I36" s="63"/>
      <c r="J36" s="71">
        <f t="shared" si="1"/>
        <v>300000</v>
      </c>
      <c r="K36" s="63">
        <v>0</v>
      </c>
      <c r="L36" s="71">
        <f t="shared" si="2"/>
        <v>300000</v>
      </c>
    </row>
    <row r="37" spans="1:12" s="30" customFormat="1" ht="21.75" customHeight="1">
      <c r="A37" s="91"/>
      <c r="B37" s="92">
        <v>70095</v>
      </c>
      <c r="C37" s="100"/>
      <c r="D37" s="15" t="s">
        <v>6</v>
      </c>
      <c r="E37" s="113">
        <f>E38</f>
        <v>250000</v>
      </c>
      <c r="F37" s="113">
        <f>F38</f>
        <v>0</v>
      </c>
      <c r="G37" s="113">
        <f>G38</f>
        <v>100000</v>
      </c>
      <c r="H37" s="71">
        <f t="shared" si="5"/>
        <v>150000</v>
      </c>
      <c r="I37" s="113">
        <f>I38</f>
        <v>0</v>
      </c>
      <c r="J37" s="71">
        <f t="shared" si="1"/>
        <v>150000</v>
      </c>
      <c r="K37" s="113">
        <f>K38</f>
        <v>0</v>
      </c>
      <c r="L37" s="71">
        <f t="shared" si="2"/>
        <v>150000</v>
      </c>
    </row>
    <row r="38" spans="1:12" s="30" customFormat="1" ht="24" customHeight="1">
      <c r="A38" s="91"/>
      <c r="B38" s="92"/>
      <c r="C38" s="93">
        <v>6050</v>
      </c>
      <c r="D38" s="15" t="s">
        <v>84</v>
      </c>
      <c r="E38" s="106">
        <f>SUM(E39)</f>
        <v>250000</v>
      </c>
      <c r="F38" s="106">
        <f>SUM(F39)</f>
        <v>0</v>
      </c>
      <c r="G38" s="106">
        <f>SUM(G39)</f>
        <v>100000</v>
      </c>
      <c r="H38" s="71">
        <f t="shared" si="5"/>
        <v>150000</v>
      </c>
      <c r="I38" s="106">
        <f>SUM(I39)</f>
        <v>0</v>
      </c>
      <c r="J38" s="71">
        <f t="shared" si="1"/>
        <v>150000</v>
      </c>
      <c r="K38" s="106">
        <f>SUM(K39)</f>
        <v>0</v>
      </c>
      <c r="L38" s="71">
        <f t="shared" si="2"/>
        <v>150000</v>
      </c>
    </row>
    <row r="39" spans="1:12" s="30" customFormat="1" ht="24" customHeight="1">
      <c r="A39" s="60"/>
      <c r="B39" s="57"/>
      <c r="C39" s="61"/>
      <c r="D39" s="62" t="s">
        <v>165</v>
      </c>
      <c r="E39" s="116">
        <v>250000</v>
      </c>
      <c r="F39" s="116"/>
      <c r="G39" s="116">
        <v>100000</v>
      </c>
      <c r="H39" s="221">
        <f t="shared" si="5"/>
        <v>150000</v>
      </c>
      <c r="I39" s="116"/>
      <c r="J39" s="221">
        <f t="shared" si="1"/>
        <v>150000</v>
      </c>
      <c r="K39" s="116">
        <v>0</v>
      </c>
      <c r="L39" s="221">
        <f t="shared" si="2"/>
        <v>150000</v>
      </c>
    </row>
    <row r="40" spans="1:12" s="51" customFormat="1" ht="22.5" customHeight="1">
      <c r="A40" s="37">
        <v>750</v>
      </c>
      <c r="B40" s="6"/>
      <c r="C40" s="14"/>
      <c r="D40" s="25" t="s">
        <v>94</v>
      </c>
      <c r="E40" s="52">
        <f>E41</f>
        <v>51800</v>
      </c>
      <c r="F40" s="52">
        <f>F41</f>
        <v>0</v>
      </c>
      <c r="G40" s="52">
        <f>G41</f>
        <v>0</v>
      </c>
      <c r="H40" s="52">
        <f>H41</f>
        <v>51800</v>
      </c>
      <c r="I40" s="52">
        <f>I41</f>
        <v>0</v>
      </c>
      <c r="J40" s="50">
        <f t="shared" si="1"/>
        <v>51800</v>
      </c>
      <c r="K40" s="52">
        <f>K41</f>
        <v>0</v>
      </c>
      <c r="L40" s="50">
        <f t="shared" si="2"/>
        <v>51800</v>
      </c>
    </row>
    <row r="41" spans="1:12" s="30" customFormat="1" ht="25.5" customHeight="1">
      <c r="A41" s="91"/>
      <c r="B41" s="103" t="s">
        <v>21</v>
      </c>
      <c r="C41" s="107"/>
      <c r="D41" s="48" t="s">
        <v>22</v>
      </c>
      <c r="E41" s="113">
        <f>E42</f>
        <v>51800</v>
      </c>
      <c r="F41" s="113">
        <f>F42</f>
        <v>0</v>
      </c>
      <c r="G41" s="113">
        <f>G42</f>
        <v>0</v>
      </c>
      <c r="H41" s="71">
        <f>E41+F41-G41</f>
        <v>51800</v>
      </c>
      <c r="I41" s="113">
        <f>I42</f>
        <v>0</v>
      </c>
      <c r="J41" s="71">
        <f t="shared" si="1"/>
        <v>51800</v>
      </c>
      <c r="K41" s="113">
        <f>K42</f>
        <v>0</v>
      </c>
      <c r="L41" s="71">
        <f t="shared" si="2"/>
        <v>51800</v>
      </c>
    </row>
    <row r="42" spans="1:12" s="30" customFormat="1" ht="23.25" customHeight="1">
      <c r="A42" s="91"/>
      <c r="B42" s="64"/>
      <c r="C42" s="94">
        <v>6060</v>
      </c>
      <c r="D42" s="15" t="s">
        <v>107</v>
      </c>
      <c r="E42" s="113">
        <f>SUM(E43)</f>
        <v>51800</v>
      </c>
      <c r="F42" s="113">
        <f>SUM(F43)</f>
        <v>0</v>
      </c>
      <c r="G42" s="113">
        <f>SUM(G43)</f>
        <v>0</v>
      </c>
      <c r="H42" s="71">
        <f>E42+F42-G42</f>
        <v>51800</v>
      </c>
      <c r="I42" s="113">
        <f>SUM(I43)</f>
        <v>0</v>
      </c>
      <c r="J42" s="71">
        <f t="shared" si="1"/>
        <v>51800</v>
      </c>
      <c r="K42" s="113">
        <f>SUM(K43)</f>
        <v>0</v>
      </c>
      <c r="L42" s="71">
        <f t="shared" si="2"/>
        <v>51800</v>
      </c>
    </row>
    <row r="43" spans="1:12" s="33" customFormat="1" ht="24" customHeight="1">
      <c r="A43" s="60"/>
      <c r="B43" s="57"/>
      <c r="C43" s="61"/>
      <c r="D43" s="62" t="s">
        <v>314</v>
      </c>
      <c r="E43" s="116">
        <v>51800</v>
      </c>
      <c r="F43" s="116"/>
      <c r="G43" s="116"/>
      <c r="H43" s="221">
        <f>E43+F43-G43</f>
        <v>51800</v>
      </c>
      <c r="I43" s="116"/>
      <c r="J43" s="221">
        <f t="shared" si="1"/>
        <v>51800</v>
      </c>
      <c r="K43" s="116">
        <v>0</v>
      </c>
      <c r="L43" s="221">
        <f t="shared" si="2"/>
        <v>51800</v>
      </c>
    </row>
    <row r="44" spans="1:12" s="51" customFormat="1" ht="26.25" customHeight="1">
      <c r="A44" s="37">
        <v>754</v>
      </c>
      <c r="B44" s="6"/>
      <c r="C44" s="14"/>
      <c r="D44" s="25" t="s">
        <v>26</v>
      </c>
      <c r="E44" s="52">
        <f>SUM(E45)</f>
        <v>68170</v>
      </c>
      <c r="F44" s="52">
        <f>SUM(F45)</f>
        <v>0</v>
      </c>
      <c r="G44" s="52">
        <f>SUM(G45)</f>
        <v>0</v>
      </c>
      <c r="H44" s="52">
        <f>SUM(H45)</f>
        <v>68170</v>
      </c>
      <c r="I44" s="52">
        <f>SUM(I45)</f>
        <v>0</v>
      </c>
      <c r="J44" s="50">
        <f t="shared" si="1"/>
        <v>68170</v>
      </c>
      <c r="K44" s="52">
        <f>SUM(K45)</f>
        <v>0</v>
      </c>
      <c r="L44" s="50">
        <f t="shared" si="2"/>
        <v>68170</v>
      </c>
    </row>
    <row r="45" spans="1:12" s="30" customFormat="1" ht="26.25" customHeight="1">
      <c r="A45" s="91"/>
      <c r="B45" s="64">
        <v>75412</v>
      </c>
      <c r="C45" s="94"/>
      <c r="D45" s="15" t="s">
        <v>112</v>
      </c>
      <c r="E45" s="113">
        <f>E46</f>
        <v>68170</v>
      </c>
      <c r="F45" s="113">
        <f>F46</f>
        <v>0</v>
      </c>
      <c r="G45" s="113">
        <f>G46</f>
        <v>0</v>
      </c>
      <c r="H45" s="71">
        <f>E45+F45-G45</f>
        <v>68170</v>
      </c>
      <c r="I45" s="113">
        <f>I46</f>
        <v>0</v>
      </c>
      <c r="J45" s="71">
        <f t="shared" si="1"/>
        <v>68170</v>
      </c>
      <c r="K45" s="113">
        <f>K46</f>
        <v>0</v>
      </c>
      <c r="L45" s="71">
        <f t="shared" si="2"/>
        <v>68170</v>
      </c>
    </row>
    <row r="46" spans="1:12" s="30" customFormat="1" ht="26.25" customHeight="1">
      <c r="A46" s="60"/>
      <c r="B46" s="57"/>
      <c r="C46" s="94">
        <v>6050</v>
      </c>
      <c r="D46" s="15" t="s">
        <v>84</v>
      </c>
      <c r="E46" s="113">
        <f>SUM(E47)</f>
        <v>68170</v>
      </c>
      <c r="F46" s="113">
        <f>SUM(F47)</f>
        <v>0</v>
      </c>
      <c r="G46" s="113">
        <f>SUM(G47)</f>
        <v>0</v>
      </c>
      <c r="H46" s="71">
        <f>E46+F46-G46</f>
        <v>68170</v>
      </c>
      <c r="I46" s="113">
        <f>SUM(I47)</f>
        <v>0</v>
      </c>
      <c r="J46" s="71">
        <f t="shared" si="1"/>
        <v>68170</v>
      </c>
      <c r="K46" s="113">
        <f>SUM(K47)</f>
        <v>0</v>
      </c>
      <c r="L46" s="71">
        <f t="shared" si="2"/>
        <v>68170</v>
      </c>
    </row>
    <row r="47" spans="1:12" s="30" customFormat="1" ht="24" customHeight="1">
      <c r="A47" s="60"/>
      <c r="B47" s="57"/>
      <c r="C47" s="61"/>
      <c r="D47" s="62" t="s">
        <v>258</v>
      </c>
      <c r="E47" s="116">
        <v>68170</v>
      </c>
      <c r="F47" s="116"/>
      <c r="G47" s="116"/>
      <c r="H47" s="221">
        <f>E47+F47-G47</f>
        <v>68170</v>
      </c>
      <c r="I47" s="116"/>
      <c r="J47" s="221">
        <f t="shared" si="1"/>
        <v>68170</v>
      </c>
      <c r="K47" s="116">
        <v>0</v>
      </c>
      <c r="L47" s="221">
        <f t="shared" si="2"/>
        <v>68170</v>
      </c>
    </row>
    <row r="48" spans="1:12" s="51" customFormat="1" ht="21.75" customHeight="1">
      <c r="A48" s="37">
        <v>801</v>
      </c>
      <c r="B48" s="6"/>
      <c r="C48" s="14"/>
      <c r="D48" s="25" t="s">
        <v>123</v>
      </c>
      <c r="E48" s="20">
        <f>SUM(E49,E54)</f>
        <v>144060</v>
      </c>
      <c r="F48" s="20">
        <f>SUM(F49,F54)</f>
        <v>150000</v>
      </c>
      <c r="G48" s="20">
        <f>SUM(G49,G54)</f>
        <v>0</v>
      </c>
      <c r="H48" s="20">
        <f>SUM(H49,H54)</f>
        <v>294060</v>
      </c>
      <c r="I48" s="20">
        <f>SUM(I49,I54)</f>
        <v>-150000</v>
      </c>
      <c r="J48" s="50">
        <f t="shared" si="1"/>
        <v>144060</v>
      </c>
      <c r="K48" s="20">
        <f>SUM(K49,K54)</f>
        <v>0</v>
      </c>
      <c r="L48" s="50">
        <f t="shared" si="2"/>
        <v>144060</v>
      </c>
    </row>
    <row r="49" spans="1:12" s="30" customFormat="1" ht="21.75" customHeight="1">
      <c r="A49" s="91"/>
      <c r="B49" s="64">
        <v>80101</v>
      </c>
      <c r="C49" s="94"/>
      <c r="D49" s="15" t="s">
        <v>60</v>
      </c>
      <c r="E49" s="106">
        <f>SUM(E52,E50)</f>
        <v>34560</v>
      </c>
      <c r="F49" s="106">
        <f>SUM(F52,F50)</f>
        <v>150000</v>
      </c>
      <c r="G49" s="106">
        <f>SUM(G52,G50)</f>
        <v>0</v>
      </c>
      <c r="H49" s="106">
        <f>SUM(H52,H50)</f>
        <v>184560</v>
      </c>
      <c r="I49" s="106">
        <f>SUM(I52,I50)</f>
        <v>-150000</v>
      </c>
      <c r="J49" s="71">
        <f t="shared" si="1"/>
        <v>34560</v>
      </c>
      <c r="K49" s="106">
        <f>SUM(K52,K50)</f>
        <v>0</v>
      </c>
      <c r="L49" s="71">
        <f t="shared" si="2"/>
        <v>34560</v>
      </c>
    </row>
    <row r="50" spans="1:12" s="30" customFormat="1" ht="27.75" customHeight="1">
      <c r="A50" s="91"/>
      <c r="B50" s="64"/>
      <c r="C50" s="94">
        <v>6050</v>
      </c>
      <c r="D50" s="15" t="s">
        <v>84</v>
      </c>
      <c r="E50" s="106">
        <f>SUM(E51)</f>
        <v>0</v>
      </c>
      <c r="F50" s="106">
        <f>SUM(F51)</f>
        <v>150000</v>
      </c>
      <c r="G50" s="106">
        <f>SUM(G51)</f>
        <v>0</v>
      </c>
      <c r="H50" s="71">
        <f>E50+F50-G50</f>
        <v>150000</v>
      </c>
      <c r="I50" s="106">
        <f>SUM(I51)</f>
        <v>-150000</v>
      </c>
      <c r="J50" s="71">
        <f t="shared" si="1"/>
        <v>0</v>
      </c>
      <c r="K50" s="106">
        <f>SUM(K51)</f>
        <v>0</v>
      </c>
      <c r="L50" s="71">
        <f t="shared" si="2"/>
        <v>0</v>
      </c>
    </row>
    <row r="51" spans="1:12" s="33" customFormat="1" ht="27" customHeight="1">
      <c r="A51" s="60"/>
      <c r="B51" s="57"/>
      <c r="C51" s="61"/>
      <c r="D51" s="62" t="s">
        <v>404</v>
      </c>
      <c r="E51" s="63">
        <v>0</v>
      </c>
      <c r="F51" s="63">
        <v>150000</v>
      </c>
      <c r="G51" s="63"/>
      <c r="H51" s="221">
        <f>E51+F51-G51</f>
        <v>150000</v>
      </c>
      <c r="I51" s="63">
        <v>-150000</v>
      </c>
      <c r="J51" s="221">
        <f t="shared" si="1"/>
        <v>0</v>
      </c>
      <c r="K51" s="63">
        <v>0</v>
      </c>
      <c r="L51" s="221">
        <f t="shared" si="2"/>
        <v>0</v>
      </c>
    </row>
    <row r="52" spans="1:12" s="30" customFormat="1" ht="28.5" customHeight="1">
      <c r="A52" s="91"/>
      <c r="B52" s="64"/>
      <c r="C52" s="94">
        <v>6060</v>
      </c>
      <c r="D52" s="15" t="s">
        <v>107</v>
      </c>
      <c r="E52" s="106">
        <f>SUM(E53)</f>
        <v>34560</v>
      </c>
      <c r="F52" s="106">
        <f>SUM(F53)</f>
        <v>0</v>
      </c>
      <c r="G52" s="106">
        <f>SUM(G53)</f>
        <v>0</v>
      </c>
      <c r="H52" s="71">
        <f>E52+F52-G52</f>
        <v>34560</v>
      </c>
      <c r="I52" s="106">
        <f>SUM(I53)</f>
        <v>0</v>
      </c>
      <c r="J52" s="71">
        <f t="shared" si="1"/>
        <v>34560</v>
      </c>
      <c r="K52" s="106">
        <f>SUM(K53)</f>
        <v>0</v>
      </c>
      <c r="L52" s="71">
        <f t="shared" si="2"/>
        <v>34560</v>
      </c>
    </row>
    <row r="53" spans="1:12" s="33" customFormat="1" ht="27.75" customHeight="1">
      <c r="A53" s="60"/>
      <c r="B53" s="57"/>
      <c r="C53" s="61"/>
      <c r="D53" s="62" t="s">
        <v>315</v>
      </c>
      <c r="E53" s="63">
        <v>34560</v>
      </c>
      <c r="F53" s="63"/>
      <c r="G53" s="63"/>
      <c r="H53" s="221">
        <f>E53+F53-G53</f>
        <v>34560</v>
      </c>
      <c r="I53" s="63"/>
      <c r="J53" s="71">
        <f t="shared" si="1"/>
        <v>34560</v>
      </c>
      <c r="K53" s="63">
        <v>0</v>
      </c>
      <c r="L53" s="71">
        <f t="shared" si="2"/>
        <v>34560</v>
      </c>
    </row>
    <row r="54" spans="1:12" s="30" customFormat="1" ht="24" customHeight="1">
      <c r="A54" s="91"/>
      <c r="B54" s="64">
        <v>80110</v>
      </c>
      <c r="C54" s="94"/>
      <c r="D54" s="15" t="s">
        <v>61</v>
      </c>
      <c r="E54" s="106">
        <f>SUM(E55,E57)</f>
        <v>109500</v>
      </c>
      <c r="F54" s="106">
        <f>SUM(F55,F57)</f>
        <v>0</v>
      </c>
      <c r="G54" s="106">
        <f>SUM(G55,G57)</f>
        <v>0</v>
      </c>
      <c r="H54" s="106">
        <f>SUM(H55,H57)</f>
        <v>109500</v>
      </c>
      <c r="I54" s="106">
        <f>SUM(I55,I57)</f>
        <v>0</v>
      </c>
      <c r="J54" s="71">
        <f t="shared" si="1"/>
        <v>109500</v>
      </c>
      <c r="K54" s="106">
        <f>SUM(K55,K57)</f>
        <v>0</v>
      </c>
      <c r="L54" s="71">
        <f t="shared" si="2"/>
        <v>109500</v>
      </c>
    </row>
    <row r="55" spans="1:12" s="30" customFormat="1" ht="24.75" customHeight="1">
      <c r="A55" s="91"/>
      <c r="B55" s="64"/>
      <c r="C55" s="94">
        <v>6050</v>
      </c>
      <c r="D55" s="15" t="s">
        <v>84</v>
      </c>
      <c r="E55" s="106">
        <f>SUM(E56)</f>
        <v>100000</v>
      </c>
      <c r="F55" s="106">
        <f>SUM(F56)</f>
        <v>0</v>
      </c>
      <c r="G55" s="106">
        <f>SUM(G56)</f>
        <v>0</v>
      </c>
      <c r="H55" s="71">
        <f>E55+F55-G55</f>
        <v>100000</v>
      </c>
      <c r="I55" s="106">
        <f>SUM(I56)</f>
        <v>0</v>
      </c>
      <c r="J55" s="71">
        <f t="shared" si="1"/>
        <v>100000</v>
      </c>
      <c r="K55" s="106">
        <f>SUM(K56)</f>
        <v>0</v>
      </c>
      <c r="L55" s="71">
        <f t="shared" si="2"/>
        <v>100000</v>
      </c>
    </row>
    <row r="56" spans="1:12" s="33" customFormat="1" ht="30.75" customHeight="1">
      <c r="A56" s="60"/>
      <c r="B56" s="57"/>
      <c r="C56" s="61"/>
      <c r="D56" s="62" t="s">
        <v>326</v>
      </c>
      <c r="E56" s="63">
        <v>100000</v>
      </c>
      <c r="F56" s="63"/>
      <c r="G56" s="63"/>
      <c r="H56" s="221">
        <f>E56+F56-G56</f>
        <v>100000</v>
      </c>
      <c r="I56" s="63"/>
      <c r="J56" s="221">
        <f t="shared" si="1"/>
        <v>100000</v>
      </c>
      <c r="K56" s="63">
        <v>0</v>
      </c>
      <c r="L56" s="221">
        <f t="shared" si="2"/>
        <v>100000</v>
      </c>
    </row>
    <row r="57" spans="1:12" s="30" customFormat="1" ht="26.25" customHeight="1">
      <c r="A57" s="91"/>
      <c r="B57" s="64"/>
      <c r="C57" s="94">
        <v>6060</v>
      </c>
      <c r="D57" s="15" t="s">
        <v>107</v>
      </c>
      <c r="E57" s="106">
        <f>SUM(E58)</f>
        <v>9500</v>
      </c>
      <c r="F57" s="106">
        <f>SUM(F58)</f>
        <v>0</v>
      </c>
      <c r="G57" s="106">
        <f>SUM(G58)</f>
        <v>0</v>
      </c>
      <c r="H57" s="71">
        <f>E57+F57-G57</f>
        <v>9500</v>
      </c>
      <c r="I57" s="106">
        <f>SUM(I58)</f>
        <v>0</v>
      </c>
      <c r="J57" s="71">
        <f t="shared" si="1"/>
        <v>9500</v>
      </c>
      <c r="K57" s="106">
        <f>SUM(K58)</f>
        <v>0</v>
      </c>
      <c r="L57" s="71">
        <f t="shared" si="2"/>
        <v>9500</v>
      </c>
    </row>
    <row r="58" spans="1:12" s="33" customFormat="1" ht="24" customHeight="1">
      <c r="A58" s="60"/>
      <c r="B58" s="57"/>
      <c r="C58" s="61"/>
      <c r="D58" s="62" t="s">
        <v>315</v>
      </c>
      <c r="E58" s="116">
        <v>9500</v>
      </c>
      <c r="F58" s="116"/>
      <c r="G58" s="116"/>
      <c r="H58" s="221">
        <f>E58+F58-G58</f>
        <v>9500</v>
      </c>
      <c r="I58" s="116"/>
      <c r="J58" s="221">
        <f t="shared" si="1"/>
        <v>9500</v>
      </c>
      <c r="K58" s="116">
        <v>0</v>
      </c>
      <c r="L58" s="221">
        <f t="shared" si="2"/>
        <v>9500</v>
      </c>
    </row>
    <row r="59" spans="1:12" s="51" customFormat="1" ht="24" customHeight="1">
      <c r="A59" s="37">
        <v>851</v>
      </c>
      <c r="B59" s="6"/>
      <c r="C59" s="14"/>
      <c r="D59" s="25" t="s">
        <v>62</v>
      </c>
      <c r="E59" s="52">
        <f>SUM(E60)</f>
        <v>20000</v>
      </c>
      <c r="F59" s="52">
        <f>SUM(F60)</f>
        <v>0</v>
      </c>
      <c r="G59" s="52">
        <f>SUM(G60)</f>
        <v>0</v>
      </c>
      <c r="H59" s="52">
        <f>SUM(H60)</f>
        <v>20000</v>
      </c>
      <c r="I59" s="52">
        <f>SUM(I60)</f>
        <v>0</v>
      </c>
      <c r="J59" s="50">
        <f t="shared" si="1"/>
        <v>20000</v>
      </c>
      <c r="K59" s="52">
        <f>SUM(K60)</f>
        <v>0</v>
      </c>
      <c r="L59" s="50">
        <f t="shared" si="2"/>
        <v>20000</v>
      </c>
    </row>
    <row r="60" spans="1:12" s="30" customFormat="1" ht="24" customHeight="1">
      <c r="A60" s="91"/>
      <c r="B60" s="64">
        <v>85153</v>
      </c>
      <c r="C60" s="94"/>
      <c r="D60" s="15" t="s">
        <v>283</v>
      </c>
      <c r="E60" s="113">
        <f aca="true" t="shared" si="6" ref="E60:G61">SUM(E61)</f>
        <v>20000</v>
      </c>
      <c r="F60" s="113">
        <f t="shared" si="6"/>
        <v>0</v>
      </c>
      <c r="G60" s="113">
        <f t="shared" si="6"/>
        <v>0</v>
      </c>
      <c r="H60" s="71">
        <f>E60+F60-G60</f>
        <v>20000</v>
      </c>
      <c r="I60" s="113">
        <f>SUM(I61)</f>
        <v>0</v>
      </c>
      <c r="J60" s="71">
        <f t="shared" si="1"/>
        <v>20000</v>
      </c>
      <c r="K60" s="113">
        <f>SUM(K61)</f>
        <v>0</v>
      </c>
      <c r="L60" s="71">
        <f t="shared" si="2"/>
        <v>20000</v>
      </c>
    </row>
    <row r="61" spans="1:12" s="51" customFormat="1" ht="24" customHeight="1">
      <c r="A61" s="37"/>
      <c r="B61" s="6"/>
      <c r="C61" s="94">
        <v>6060</v>
      </c>
      <c r="D61" s="15" t="s">
        <v>107</v>
      </c>
      <c r="E61" s="113">
        <f t="shared" si="6"/>
        <v>20000</v>
      </c>
      <c r="F61" s="113">
        <f t="shared" si="6"/>
        <v>0</v>
      </c>
      <c r="G61" s="113">
        <f t="shared" si="6"/>
        <v>0</v>
      </c>
      <c r="H61" s="71">
        <f>E61+F61-G61</f>
        <v>20000</v>
      </c>
      <c r="I61" s="113">
        <f>SUM(I62)</f>
        <v>0</v>
      </c>
      <c r="J61" s="71">
        <f t="shared" si="1"/>
        <v>20000</v>
      </c>
      <c r="K61" s="113">
        <f>SUM(K62)</f>
        <v>0</v>
      </c>
      <c r="L61" s="71">
        <f t="shared" si="2"/>
        <v>20000</v>
      </c>
    </row>
    <row r="62" spans="1:12" s="51" customFormat="1" ht="24" customHeight="1">
      <c r="A62" s="37"/>
      <c r="B62" s="6"/>
      <c r="C62" s="94"/>
      <c r="D62" s="62" t="s">
        <v>229</v>
      </c>
      <c r="E62" s="116">
        <v>20000</v>
      </c>
      <c r="F62" s="116"/>
      <c r="G62" s="116"/>
      <c r="H62" s="221">
        <f>E62+F62-G62</f>
        <v>20000</v>
      </c>
      <c r="I62" s="116"/>
      <c r="J62" s="221">
        <f t="shared" si="1"/>
        <v>20000</v>
      </c>
      <c r="K62" s="116"/>
      <c r="L62" s="221">
        <f t="shared" si="2"/>
        <v>20000</v>
      </c>
    </row>
    <row r="63" spans="1:12" s="51" customFormat="1" ht="21" customHeight="1">
      <c r="A63" s="37">
        <v>852</v>
      </c>
      <c r="B63" s="6"/>
      <c r="C63" s="14"/>
      <c r="D63" s="25" t="s">
        <v>220</v>
      </c>
      <c r="E63" s="52">
        <f>SUM(E64)</f>
        <v>18550</v>
      </c>
      <c r="F63" s="52">
        <f>SUM(F64)</f>
        <v>0</v>
      </c>
      <c r="G63" s="52">
        <f>SUM(G64)</f>
        <v>0</v>
      </c>
      <c r="H63" s="52">
        <f>SUM(H64)</f>
        <v>18550</v>
      </c>
      <c r="I63" s="52">
        <f>SUM(I64)</f>
        <v>0</v>
      </c>
      <c r="J63" s="50">
        <f t="shared" si="1"/>
        <v>18550</v>
      </c>
      <c r="K63" s="52">
        <f>SUM(K64)</f>
        <v>0</v>
      </c>
      <c r="L63" s="50">
        <f t="shared" si="2"/>
        <v>18550</v>
      </c>
    </row>
    <row r="64" spans="1:12" s="30" customFormat="1" ht="20.25" customHeight="1">
      <c r="A64" s="91"/>
      <c r="B64" s="64">
        <v>85219</v>
      </c>
      <c r="C64" s="94"/>
      <c r="D64" s="15" t="s">
        <v>68</v>
      </c>
      <c r="E64" s="113">
        <f aca="true" t="shared" si="7" ref="E64:G65">SUM(E65)</f>
        <v>18550</v>
      </c>
      <c r="F64" s="113">
        <f t="shared" si="7"/>
        <v>0</v>
      </c>
      <c r="G64" s="113">
        <f t="shared" si="7"/>
        <v>0</v>
      </c>
      <c r="H64" s="71">
        <f>E64+F64-G64</f>
        <v>18550</v>
      </c>
      <c r="I64" s="113">
        <f>SUM(I65)</f>
        <v>0</v>
      </c>
      <c r="J64" s="71">
        <f t="shared" si="1"/>
        <v>18550</v>
      </c>
      <c r="K64" s="113">
        <f>SUM(K65)</f>
        <v>0</v>
      </c>
      <c r="L64" s="71">
        <f t="shared" si="2"/>
        <v>18550</v>
      </c>
    </row>
    <row r="65" spans="1:12" s="30" customFormat="1" ht="24.75" customHeight="1">
      <c r="A65" s="91"/>
      <c r="B65" s="64"/>
      <c r="C65" s="94">
        <v>6060</v>
      </c>
      <c r="D65" s="15" t="s">
        <v>107</v>
      </c>
      <c r="E65" s="113">
        <f t="shared" si="7"/>
        <v>18550</v>
      </c>
      <c r="F65" s="113">
        <f t="shared" si="7"/>
        <v>0</v>
      </c>
      <c r="G65" s="113">
        <f t="shared" si="7"/>
        <v>0</v>
      </c>
      <c r="H65" s="71">
        <f>E65+F65-G65</f>
        <v>18550</v>
      </c>
      <c r="I65" s="113">
        <f>SUM(I66)</f>
        <v>0</v>
      </c>
      <c r="J65" s="71">
        <f t="shared" si="1"/>
        <v>18550</v>
      </c>
      <c r="K65" s="113">
        <f>SUM(K66)</f>
        <v>0</v>
      </c>
      <c r="L65" s="71">
        <f t="shared" si="2"/>
        <v>18550</v>
      </c>
    </row>
    <row r="66" spans="1:12" s="33" customFormat="1" ht="18" customHeight="1">
      <c r="A66" s="60"/>
      <c r="B66" s="57"/>
      <c r="C66" s="61"/>
      <c r="D66" s="62" t="s">
        <v>315</v>
      </c>
      <c r="E66" s="116">
        <v>18550</v>
      </c>
      <c r="F66" s="116"/>
      <c r="G66" s="116"/>
      <c r="H66" s="221">
        <f>E66+F66-G66</f>
        <v>18550</v>
      </c>
      <c r="I66" s="116"/>
      <c r="J66" s="221">
        <f t="shared" si="1"/>
        <v>18550</v>
      </c>
      <c r="K66" s="116">
        <v>0</v>
      </c>
      <c r="L66" s="221">
        <f t="shared" si="2"/>
        <v>18550</v>
      </c>
    </row>
    <row r="67" spans="1:12" s="51" customFormat="1" ht="24.75" customHeight="1">
      <c r="A67" s="37">
        <v>854</v>
      </c>
      <c r="B67" s="6"/>
      <c r="C67" s="14"/>
      <c r="D67" s="25" t="s">
        <v>69</v>
      </c>
      <c r="E67" s="52">
        <f>SUM(E68)</f>
        <v>100000</v>
      </c>
      <c r="F67" s="52">
        <f>SUM(F68)</f>
        <v>0</v>
      </c>
      <c r="G67" s="52">
        <f>SUM(G68)</f>
        <v>70000</v>
      </c>
      <c r="H67" s="52">
        <f>SUM(H68)</f>
        <v>30000</v>
      </c>
      <c r="I67" s="52">
        <f>SUM(I68)</f>
        <v>0</v>
      </c>
      <c r="J67" s="50">
        <f t="shared" si="1"/>
        <v>30000</v>
      </c>
      <c r="K67" s="52">
        <f>SUM(K68)</f>
        <v>0</v>
      </c>
      <c r="L67" s="50">
        <f t="shared" si="2"/>
        <v>30000</v>
      </c>
    </row>
    <row r="68" spans="1:12" s="30" customFormat="1" ht="41.25" customHeight="1">
      <c r="A68" s="91"/>
      <c r="B68" s="64">
        <v>85412</v>
      </c>
      <c r="C68" s="94"/>
      <c r="D68" s="48" t="s">
        <v>183</v>
      </c>
      <c r="E68" s="113">
        <f aca="true" t="shared" si="8" ref="E68:G69">SUM(E69)</f>
        <v>100000</v>
      </c>
      <c r="F68" s="113">
        <f t="shared" si="8"/>
        <v>0</v>
      </c>
      <c r="G68" s="113">
        <f t="shared" si="8"/>
        <v>70000</v>
      </c>
      <c r="H68" s="71">
        <f>E68+F68-G68</f>
        <v>30000</v>
      </c>
      <c r="I68" s="113">
        <f>SUM(I69)</f>
        <v>0</v>
      </c>
      <c r="J68" s="71">
        <f t="shared" si="1"/>
        <v>30000</v>
      </c>
      <c r="K68" s="113">
        <f>SUM(K69)</f>
        <v>0</v>
      </c>
      <c r="L68" s="71">
        <f t="shared" si="2"/>
        <v>30000</v>
      </c>
    </row>
    <row r="69" spans="1:12" s="30" customFormat="1" ht="24.75" customHeight="1">
      <c r="A69" s="91"/>
      <c r="B69" s="64"/>
      <c r="C69" s="94">
        <v>6050</v>
      </c>
      <c r="D69" s="15" t="s">
        <v>84</v>
      </c>
      <c r="E69" s="113">
        <f t="shared" si="8"/>
        <v>100000</v>
      </c>
      <c r="F69" s="113">
        <f t="shared" si="8"/>
        <v>0</v>
      </c>
      <c r="G69" s="113">
        <f t="shared" si="8"/>
        <v>70000</v>
      </c>
      <c r="H69" s="71">
        <f>E69+F69-G69</f>
        <v>30000</v>
      </c>
      <c r="I69" s="113">
        <f>SUM(I70)</f>
        <v>0</v>
      </c>
      <c r="J69" s="71">
        <f t="shared" si="1"/>
        <v>30000</v>
      </c>
      <c r="K69" s="113">
        <f>SUM(K70)</f>
        <v>0</v>
      </c>
      <c r="L69" s="71">
        <f t="shared" si="2"/>
        <v>30000</v>
      </c>
    </row>
    <row r="70" spans="1:12" s="33" customFormat="1" ht="18.75" customHeight="1">
      <c r="A70" s="60"/>
      <c r="B70" s="57"/>
      <c r="C70" s="61"/>
      <c r="D70" s="62" t="s">
        <v>316</v>
      </c>
      <c r="E70" s="116">
        <v>100000</v>
      </c>
      <c r="F70" s="116"/>
      <c r="G70" s="116">
        <v>70000</v>
      </c>
      <c r="H70" s="221">
        <f>E70+F70-G70</f>
        <v>30000</v>
      </c>
      <c r="I70" s="116"/>
      <c r="J70" s="221">
        <f t="shared" si="1"/>
        <v>30000</v>
      </c>
      <c r="K70" s="116">
        <v>0</v>
      </c>
      <c r="L70" s="221">
        <f t="shared" si="2"/>
        <v>30000</v>
      </c>
    </row>
    <row r="71" spans="1:12" s="51" customFormat="1" ht="31.5" customHeight="1">
      <c r="A71" s="37" t="s">
        <v>141</v>
      </c>
      <c r="B71" s="6"/>
      <c r="C71" s="26"/>
      <c r="D71" s="25" t="s">
        <v>71</v>
      </c>
      <c r="E71" s="20">
        <f>SUM(E72,E82)</f>
        <v>415400</v>
      </c>
      <c r="F71" s="20">
        <f>SUM(F72,F82)</f>
        <v>510000</v>
      </c>
      <c r="G71" s="20">
        <f>SUM(G72,G82)</f>
        <v>260000</v>
      </c>
      <c r="H71" s="20">
        <f>SUM(H72,H82)</f>
        <v>665400</v>
      </c>
      <c r="I71" s="20">
        <f>SUM(I72,I82)</f>
        <v>0</v>
      </c>
      <c r="J71" s="50">
        <f t="shared" si="1"/>
        <v>665400</v>
      </c>
      <c r="K71" s="20">
        <f>SUM(K72,K82)</f>
        <v>505115</v>
      </c>
      <c r="L71" s="50">
        <f t="shared" si="2"/>
        <v>1170515</v>
      </c>
    </row>
    <row r="72" spans="1:12" s="30" customFormat="1" ht="27" customHeight="1">
      <c r="A72" s="91"/>
      <c r="B72" s="92" t="s">
        <v>142</v>
      </c>
      <c r="C72" s="100"/>
      <c r="D72" s="15" t="s">
        <v>72</v>
      </c>
      <c r="E72" s="106">
        <f>SUM(E75)</f>
        <v>260000</v>
      </c>
      <c r="F72" s="106">
        <f>SUM(F75)</f>
        <v>510000</v>
      </c>
      <c r="G72" s="106">
        <f>SUM(G75)</f>
        <v>260000</v>
      </c>
      <c r="H72" s="71">
        <f aca="true" t="shared" si="9" ref="H72:H89">E72+F72-G72</f>
        <v>510000</v>
      </c>
      <c r="I72" s="106">
        <f>SUM(I75)</f>
        <v>0</v>
      </c>
      <c r="J72" s="71">
        <f>SUM(J73,J75,)</f>
        <v>510000</v>
      </c>
      <c r="K72" s="71">
        <f>SUM(K73,K75,)</f>
        <v>505115</v>
      </c>
      <c r="L72" s="71">
        <f>SUM(L73,L75,)</f>
        <v>1015115</v>
      </c>
    </row>
    <row r="73" spans="1:12" s="30" customFormat="1" ht="67.5">
      <c r="A73" s="91"/>
      <c r="B73" s="92"/>
      <c r="C73" s="100">
        <v>6010</v>
      </c>
      <c r="D73" s="48" t="s">
        <v>296</v>
      </c>
      <c r="E73" s="106"/>
      <c r="F73" s="106"/>
      <c r="G73" s="106"/>
      <c r="H73" s="71"/>
      <c r="I73" s="106"/>
      <c r="J73" s="71">
        <f>SUM(J74)</f>
        <v>0</v>
      </c>
      <c r="K73" s="71">
        <f>SUM(K74)</f>
        <v>115</v>
      </c>
      <c r="L73" s="71">
        <f>SUM(L74)</f>
        <v>115</v>
      </c>
    </row>
    <row r="74" spans="1:12" s="30" customFormat="1" ht="27" customHeight="1">
      <c r="A74" s="91"/>
      <c r="B74" s="92"/>
      <c r="C74" s="100"/>
      <c r="D74" s="15" t="s">
        <v>497</v>
      </c>
      <c r="E74" s="106"/>
      <c r="F74" s="106"/>
      <c r="G74" s="106"/>
      <c r="H74" s="71"/>
      <c r="I74" s="106"/>
      <c r="J74" s="71">
        <v>0</v>
      </c>
      <c r="K74" s="106">
        <v>115</v>
      </c>
      <c r="L74" s="71">
        <f>SUM(J74:K74)</f>
        <v>115</v>
      </c>
    </row>
    <row r="75" spans="1:12" s="30" customFormat="1" ht="27.75" customHeight="1">
      <c r="A75" s="91"/>
      <c r="B75" s="92"/>
      <c r="C75" s="93">
        <v>6050</v>
      </c>
      <c r="D75" s="15" t="s">
        <v>84</v>
      </c>
      <c r="E75" s="113">
        <f>SUM(E76:E78)</f>
        <v>260000</v>
      </c>
      <c r="F75" s="113">
        <f>SUM(F76:F78)</f>
        <v>510000</v>
      </c>
      <c r="G75" s="113">
        <f>SUM(G76:G78)</f>
        <v>260000</v>
      </c>
      <c r="H75" s="71">
        <f>SUM(H76:H79)</f>
        <v>510000</v>
      </c>
      <c r="I75" s="71">
        <f>SUM(I76:I79)</f>
        <v>0</v>
      </c>
      <c r="J75" s="71">
        <f>SUM(J76:J81)</f>
        <v>510000</v>
      </c>
      <c r="K75" s="71">
        <f>SUM(K76:K81)</f>
        <v>505000</v>
      </c>
      <c r="L75" s="71">
        <f>SUM(L76:L81)</f>
        <v>1015000</v>
      </c>
    </row>
    <row r="76" spans="1:12" s="33" customFormat="1" ht="24" customHeight="1">
      <c r="A76" s="60"/>
      <c r="B76" s="120"/>
      <c r="C76" s="133"/>
      <c r="D76" s="65" t="s">
        <v>317</v>
      </c>
      <c r="E76" s="116">
        <v>110000</v>
      </c>
      <c r="F76" s="116">
        <v>150000</v>
      </c>
      <c r="G76" s="116">
        <v>110000</v>
      </c>
      <c r="H76" s="71">
        <f t="shared" si="9"/>
        <v>150000</v>
      </c>
      <c r="I76" s="116"/>
      <c r="J76" s="221">
        <f t="shared" si="1"/>
        <v>150000</v>
      </c>
      <c r="K76" s="116">
        <v>0</v>
      </c>
      <c r="L76" s="221">
        <f aca="true" t="shared" si="10" ref="L76:L81">SUM(J76:K76)</f>
        <v>150000</v>
      </c>
    </row>
    <row r="77" spans="1:12" s="33" customFormat="1" ht="24" customHeight="1">
      <c r="A77" s="60"/>
      <c r="B77" s="120"/>
      <c r="C77" s="133"/>
      <c r="D77" s="65" t="s">
        <v>318</v>
      </c>
      <c r="E77" s="116">
        <v>150000</v>
      </c>
      <c r="F77" s="116">
        <v>110000</v>
      </c>
      <c r="G77" s="116">
        <v>150000</v>
      </c>
      <c r="H77" s="71">
        <f t="shared" si="9"/>
        <v>110000</v>
      </c>
      <c r="I77" s="116"/>
      <c r="J77" s="221">
        <f t="shared" si="1"/>
        <v>110000</v>
      </c>
      <c r="K77" s="116">
        <v>0</v>
      </c>
      <c r="L77" s="221">
        <f t="shared" si="10"/>
        <v>110000</v>
      </c>
    </row>
    <row r="78" spans="1:12" s="33" customFormat="1" ht="24" customHeight="1">
      <c r="A78" s="60"/>
      <c r="B78" s="120"/>
      <c r="C78" s="133"/>
      <c r="D78" s="65" t="s">
        <v>403</v>
      </c>
      <c r="E78" s="116">
        <v>0</v>
      </c>
      <c r="F78" s="116">
        <v>250000</v>
      </c>
      <c r="G78" s="116"/>
      <c r="H78" s="71">
        <f t="shared" si="9"/>
        <v>250000</v>
      </c>
      <c r="I78" s="116">
        <v>-250000</v>
      </c>
      <c r="J78" s="221">
        <f t="shared" si="1"/>
        <v>0</v>
      </c>
      <c r="K78" s="116">
        <v>0</v>
      </c>
      <c r="L78" s="221">
        <f t="shared" si="10"/>
        <v>0</v>
      </c>
    </row>
    <row r="79" spans="1:12" s="33" customFormat="1" ht="67.5">
      <c r="A79" s="60"/>
      <c r="B79" s="120"/>
      <c r="C79" s="133"/>
      <c r="D79" s="65" t="s">
        <v>471</v>
      </c>
      <c r="E79" s="116"/>
      <c r="F79" s="116"/>
      <c r="G79" s="116"/>
      <c r="H79" s="71">
        <v>0</v>
      </c>
      <c r="I79" s="116">
        <v>250000</v>
      </c>
      <c r="J79" s="221">
        <f>SUM(H79:I79)</f>
        <v>250000</v>
      </c>
      <c r="K79" s="116">
        <v>0</v>
      </c>
      <c r="L79" s="221">
        <f t="shared" si="10"/>
        <v>250000</v>
      </c>
    </row>
    <row r="80" spans="1:12" s="33" customFormat="1" ht="33.75">
      <c r="A80" s="60"/>
      <c r="B80" s="120"/>
      <c r="C80" s="133"/>
      <c r="D80" s="65" t="s">
        <v>521</v>
      </c>
      <c r="E80" s="116"/>
      <c r="F80" s="116"/>
      <c r="G80" s="116"/>
      <c r="H80" s="71"/>
      <c r="I80" s="116"/>
      <c r="J80" s="221">
        <v>0</v>
      </c>
      <c r="K80" s="116">
        <v>5000</v>
      </c>
      <c r="L80" s="221">
        <f t="shared" si="10"/>
        <v>5000</v>
      </c>
    </row>
    <row r="81" spans="1:12" s="33" customFormat="1" ht="33.75">
      <c r="A81" s="60"/>
      <c r="B81" s="120"/>
      <c r="C81" s="133"/>
      <c r="D81" s="65" t="s">
        <v>547</v>
      </c>
      <c r="E81" s="63"/>
      <c r="F81" s="63"/>
      <c r="G81" s="63"/>
      <c r="H81" s="71"/>
      <c r="I81" s="63"/>
      <c r="J81" s="221">
        <v>0</v>
      </c>
      <c r="K81" s="63">
        <v>500000</v>
      </c>
      <c r="L81" s="221">
        <f t="shared" si="10"/>
        <v>500000</v>
      </c>
    </row>
    <row r="82" spans="1:12" s="30" customFormat="1" ht="24" customHeight="1">
      <c r="A82" s="91"/>
      <c r="B82" s="92" t="s">
        <v>151</v>
      </c>
      <c r="C82" s="100"/>
      <c r="D82" s="15" t="s">
        <v>152</v>
      </c>
      <c r="E82" s="106">
        <f>SUM(E83:E83)</f>
        <v>155400</v>
      </c>
      <c r="F82" s="106">
        <f>SUM(F83:F83)</f>
        <v>0</v>
      </c>
      <c r="G82" s="106">
        <f>SUM(G83:G83)</f>
        <v>0</v>
      </c>
      <c r="H82" s="71">
        <f t="shared" si="9"/>
        <v>155400</v>
      </c>
      <c r="I82" s="106">
        <f>SUM(I83:I83)</f>
        <v>0</v>
      </c>
      <c r="J82" s="71">
        <f aca="true" t="shared" si="11" ref="J82:J102">SUM(H82:I82)</f>
        <v>155400</v>
      </c>
      <c r="K82" s="106">
        <f>SUM(K83:K83)</f>
        <v>0</v>
      </c>
      <c r="L82" s="71">
        <f aca="true" t="shared" si="12" ref="L82:L102">SUM(J82:K82)</f>
        <v>155400</v>
      </c>
    </row>
    <row r="83" spans="1:12" s="30" customFormat="1" ht="25.5" customHeight="1">
      <c r="A83" s="91"/>
      <c r="B83" s="64"/>
      <c r="C83" s="93">
        <v>6050</v>
      </c>
      <c r="D83" s="15" t="s">
        <v>84</v>
      </c>
      <c r="E83" s="106">
        <f>SUM(E84:E89)</f>
        <v>155400</v>
      </c>
      <c r="F83" s="106">
        <f>SUM(F84:F89)</f>
        <v>0</v>
      </c>
      <c r="G83" s="106">
        <f>SUM(G84:G89)</f>
        <v>0</v>
      </c>
      <c r="H83" s="71">
        <f t="shared" si="9"/>
        <v>155400</v>
      </c>
      <c r="I83" s="106">
        <f>SUM(I84:I89)</f>
        <v>0</v>
      </c>
      <c r="J83" s="71">
        <f>SUM(J84:J89)</f>
        <v>155400</v>
      </c>
      <c r="K83" s="71">
        <f>SUM(K84:K89)</f>
        <v>0</v>
      </c>
      <c r="L83" s="71">
        <f>SUM(L84:L89)</f>
        <v>155400</v>
      </c>
    </row>
    <row r="84" spans="1:12" s="33" customFormat="1" ht="24" customHeight="1">
      <c r="A84" s="60"/>
      <c r="B84" s="57"/>
      <c r="C84" s="133"/>
      <c r="D84" s="62" t="s">
        <v>319</v>
      </c>
      <c r="E84" s="63">
        <v>85000</v>
      </c>
      <c r="F84" s="63"/>
      <c r="G84" s="63"/>
      <c r="H84" s="221">
        <f t="shared" si="9"/>
        <v>85000</v>
      </c>
      <c r="I84" s="63"/>
      <c r="J84" s="221">
        <f t="shared" si="11"/>
        <v>85000</v>
      </c>
      <c r="K84" s="63"/>
      <c r="L84" s="221">
        <f t="shared" si="12"/>
        <v>85000</v>
      </c>
    </row>
    <row r="85" spans="1:12" s="33" customFormat="1" ht="39.75" customHeight="1">
      <c r="A85" s="60"/>
      <c r="B85" s="57"/>
      <c r="C85" s="133"/>
      <c r="D85" s="62" t="s">
        <v>405</v>
      </c>
      <c r="E85" s="63">
        <f>20000+4000</f>
        <v>24000</v>
      </c>
      <c r="F85" s="63"/>
      <c r="G85" s="63"/>
      <c r="H85" s="221">
        <f t="shared" si="9"/>
        <v>24000</v>
      </c>
      <c r="I85" s="63"/>
      <c r="J85" s="221">
        <f t="shared" si="11"/>
        <v>24000</v>
      </c>
      <c r="K85" s="63">
        <v>0</v>
      </c>
      <c r="L85" s="221">
        <f t="shared" si="12"/>
        <v>24000</v>
      </c>
    </row>
    <row r="86" spans="1:12" s="33" customFormat="1" ht="24.75" customHeight="1">
      <c r="A86" s="60"/>
      <c r="B86" s="57"/>
      <c r="C86" s="133"/>
      <c r="D86" s="62" t="s">
        <v>320</v>
      </c>
      <c r="E86" s="63">
        <v>15000</v>
      </c>
      <c r="F86" s="63"/>
      <c r="G86" s="63"/>
      <c r="H86" s="221">
        <f t="shared" si="9"/>
        <v>15000</v>
      </c>
      <c r="I86" s="63"/>
      <c r="J86" s="221">
        <f t="shared" si="11"/>
        <v>15000</v>
      </c>
      <c r="K86" s="63">
        <v>0</v>
      </c>
      <c r="L86" s="221">
        <f t="shared" si="12"/>
        <v>15000</v>
      </c>
    </row>
    <row r="87" spans="1:12" s="33" customFormat="1" ht="23.25" customHeight="1">
      <c r="A87" s="60"/>
      <c r="B87" s="57"/>
      <c r="C87" s="133"/>
      <c r="D87" s="62" t="s">
        <v>321</v>
      </c>
      <c r="E87" s="116">
        <v>1400</v>
      </c>
      <c r="F87" s="116"/>
      <c r="G87" s="116"/>
      <c r="H87" s="221">
        <f t="shared" si="9"/>
        <v>1400</v>
      </c>
      <c r="I87" s="116"/>
      <c r="J87" s="221">
        <f t="shared" si="11"/>
        <v>1400</v>
      </c>
      <c r="K87" s="116">
        <v>0</v>
      </c>
      <c r="L87" s="221">
        <f t="shared" si="12"/>
        <v>1400</v>
      </c>
    </row>
    <row r="88" spans="1:12" s="33" customFormat="1" ht="24.75" customHeight="1">
      <c r="A88" s="60"/>
      <c r="B88" s="57"/>
      <c r="C88" s="61"/>
      <c r="D88" s="62" t="s">
        <v>322</v>
      </c>
      <c r="E88" s="116">
        <v>10000</v>
      </c>
      <c r="F88" s="116"/>
      <c r="G88" s="116"/>
      <c r="H88" s="221">
        <f t="shared" si="9"/>
        <v>10000</v>
      </c>
      <c r="I88" s="116"/>
      <c r="J88" s="221">
        <f t="shared" si="11"/>
        <v>10000</v>
      </c>
      <c r="K88" s="116">
        <v>0</v>
      </c>
      <c r="L88" s="221">
        <f t="shared" si="12"/>
        <v>10000</v>
      </c>
    </row>
    <row r="89" spans="1:12" s="33" customFormat="1" ht="27" customHeight="1">
      <c r="A89" s="60"/>
      <c r="B89" s="57"/>
      <c r="C89" s="61"/>
      <c r="D89" s="62" t="s">
        <v>323</v>
      </c>
      <c r="E89" s="116">
        <v>20000</v>
      </c>
      <c r="F89" s="116"/>
      <c r="G89" s="116"/>
      <c r="H89" s="221">
        <f t="shared" si="9"/>
        <v>20000</v>
      </c>
      <c r="I89" s="116"/>
      <c r="J89" s="221">
        <f t="shared" si="11"/>
        <v>20000</v>
      </c>
      <c r="K89" s="116">
        <v>0</v>
      </c>
      <c r="L89" s="221">
        <f t="shared" si="12"/>
        <v>20000</v>
      </c>
    </row>
    <row r="90" spans="1:12" s="33" customFormat="1" ht="24" customHeight="1">
      <c r="A90" s="37">
        <v>921</v>
      </c>
      <c r="B90" s="6"/>
      <c r="C90" s="26"/>
      <c r="D90" s="25" t="s">
        <v>154</v>
      </c>
      <c r="E90" s="20">
        <f>SUM(E91)</f>
        <v>4980</v>
      </c>
      <c r="F90" s="20">
        <f>SUM(F91)</f>
        <v>0</v>
      </c>
      <c r="G90" s="20">
        <f>SUM(G91)</f>
        <v>0</v>
      </c>
      <c r="H90" s="20">
        <f>SUM(H91)</f>
        <v>4980</v>
      </c>
      <c r="I90" s="20">
        <f>SUM(I91)</f>
        <v>0</v>
      </c>
      <c r="J90" s="50">
        <f t="shared" si="11"/>
        <v>4980</v>
      </c>
      <c r="K90" s="20">
        <f>SUM(K91)</f>
        <v>0</v>
      </c>
      <c r="L90" s="50">
        <f t="shared" si="12"/>
        <v>4980</v>
      </c>
    </row>
    <row r="91" spans="1:12" s="33" customFormat="1" ht="24" customHeight="1">
      <c r="A91" s="91"/>
      <c r="B91" s="92">
        <v>92109</v>
      </c>
      <c r="C91" s="100"/>
      <c r="D91" s="48" t="s">
        <v>175</v>
      </c>
      <c r="E91" s="106">
        <f aca="true" t="shared" si="13" ref="E91:G92">SUM(E92)</f>
        <v>4980</v>
      </c>
      <c r="F91" s="106">
        <f t="shared" si="13"/>
        <v>0</v>
      </c>
      <c r="G91" s="106">
        <f t="shared" si="13"/>
        <v>0</v>
      </c>
      <c r="H91" s="71">
        <f>E91+F91-G91</f>
        <v>4980</v>
      </c>
      <c r="I91" s="106">
        <f>SUM(I92)</f>
        <v>0</v>
      </c>
      <c r="J91" s="71">
        <f t="shared" si="11"/>
        <v>4980</v>
      </c>
      <c r="K91" s="106">
        <f>SUM(K92)</f>
        <v>0</v>
      </c>
      <c r="L91" s="71">
        <f t="shared" si="12"/>
        <v>4980</v>
      </c>
    </row>
    <row r="92" spans="1:12" s="33" customFormat="1" ht="24" customHeight="1">
      <c r="A92" s="91"/>
      <c r="B92" s="92"/>
      <c r="C92" s="93">
        <v>6060</v>
      </c>
      <c r="D92" s="15" t="s">
        <v>107</v>
      </c>
      <c r="E92" s="113">
        <f t="shared" si="13"/>
        <v>4980</v>
      </c>
      <c r="F92" s="113">
        <f t="shared" si="13"/>
        <v>0</v>
      </c>
      <c r="G92" s="113">
        <f t="shared" si="13"/>
        <v>0</v>
      </c>
      <c r="H92" s="71">
        <f>E92+F92-G92</f>
        <v>4980</v>
      </c>
      <c r="I92" s="113">
        <f>SUM(I93)</f>
        <v>0</v>
      </c>
      <c r="J92" s="71">
        <f t="shared" si="11"/>
        <v>4980</v>
      </c>
      <c r="K92" s="113">
        <f>SUM(K93)</f>
        <v>0</v>
      </c>
      <c r="L92" s="71">
        <f t="shared" si="12"/>
        <v>4980</v>
      </c>
    </row>
    <row r="93" spans="1:12" s="33" customFormat="1" ht="26.25" customHeight="1">
      <c r="A93" s="60"/>
      <c r="B93" s="120"/>
      <c r="C93" s="133"/>
      <c r="D93" s="65" t="s">
        <v>324</v>
      </c>
      <c r="E93" s="116">
        <v>4980</v>
      </c>
      <c r="F93" s="116"/>
      <c r="G93" s="116"/>
      <c r="H93" s="221">
        <f>E93+F93-G93</f>
        <v>4980</v>
      </c>
      <c r="I93" s="116"/>
      <c r="J93" s="221">
        <f t="shared" si="11"/>
        <v>4980</v>
      </c>
      <c r="K93" s="116"/>
      <c r="L93" s="221">
        <f t="shared" si="12"/>
        <v>4980</v>
      </c>
    </row>
    <row r="94" spans="1:12" s="33" customFormat="1" ht="21" customHeight="1">
      <c r="A94" s="37">
        <v>926</v>
      </c>
      <c r="B94" s="6"/>
      <c r="C94" s="26"/>
      <c r="D94" s="25" t="s">
        <v>76</v>
      </c>
      <c r="E94" s="20">
        <f>SUM(E95,E98)</f>
        <v>300000</v>
      </c>
      <c r="F94" s="20">
        <f>SUM(F95,F98)</f>
        <v>0</v>
      </c>
      <c r="G94" s="20">
        <f>SUM(G95,G98)</f>
        <v>200000</v>
      </c>
      <c r="H94" s="20">
        <f>SUM(H95,H98,)</f>
        <v>100000</v>
      </c>
      <c r="I94" s="20">
        <f>SUM(I95,I98)</f>
        <v>435000</v>
      </c>
      <c r="J94" s="50">
        <f t="shared" si="11"/>
        <v>535000</v>
      </c>
      <c r="K94" s="20">
        <f>SUM(K95,K98)</f>
        <v>11000</v>
      </c>
      <c r="L94" s="50">
        <f t="shared" si="12"/>
        <v>546000</v>
      </c>
    </row>
    <row r="95" spans="1:12" s="33" customFormat="1" ht="21" customHeight="1">
      <c r="A95" s="91"/>
      <c r="B95" s="92">
        <v>92601</v>
      </c>
      <c r="C95" s="100"/>
      <c r="D95" s="15" t="s">
        <v>300</v>
      </c>
      <c r="E95" s="106">
        <f>SUM(E96)</f>
        <v>100000</v>
      </c>
      <c r="F95" s="106">
        <f>SUM(F96)</f>
        <v>0</v>
      </c>
      <c r="G95" s="106">
        <f>SUM(G96)</f>
        <v>0</v>
      </c>
      <c r="H95" s="71">
        <f>E95+F95-G95</f>
        <v>100000</v>
      </c>
      <c r="I95" s="106">
        <f>SUM(I96)</f>
        <v>0</v>
      </c>
      <c r="J95" s="71">
        <f t="shared" si="11"/>
        <v>100000</v>
      </c>
      <c r="K95" s="106">
        <f>SUM(K96)</f>
        <v>0</v>
      </c>
      <c r="L95" s="71">
        <f t="shared" si="12"/>
        <v>100000</v>
      </c>
    </row>
    <row r="96" spans="1:12" s="33" customFormat="1" ht="24" customHeight="1">
      <c r="A96" s="91"/>
      <c r="B96" s="92"/>
      <c r="C96" s="93">
        <v>6050</v>
      </c>
      <c r="D96" s="15" t="s">
        <v>84</v>
      </c>
      <c r="E96" s="113">
        <f>SUM(E97:E97)</f>
        <v>100000</v>
      </c>
      <c r="F96" s="113">
        <f>SUM(F97:F97)</f>
        <v>0</v>
      </c>
      <c r="G96" s="113">
        <f>SUM(G97:G97)</f>
        <v>0</v>
      </c>
      <c r="H96" s="71">
        <f>E96+F96-G96</f>
        <v>100000</v>
      </c>
      <c r="I96" s="113">
        <f>SUM(I97:I97)</f>
        <v>0</v>
      </c>
      <c r="J96" s="71">
        <f t="shared" si="11"/>
        <v>100000</v>
      </c>
      <c r="K96" s="113">
        <f>SUM(K97:K97)</f>
        <v>0</v>
      </c>
      <c r="L96" s="71">
        <f t="shared" si="12"/>
        <v>100000</v>
      </c>
    </row>
    <row r="97" spans="1:12" s="172" customFormat="1" ht="21.75" customHeight="1">
      <c r="A97" s="60"/>
      <c r="B97" s="120"/>
      <c r="C97" s="133"/>
      <c r="D97" s="65" t="s">
        <v>325</v>
      </c>
      <c r="E97" s="63">
        <v>100000</v>
      </c>
      <c r="F97" s="63"/>
      <c r="G97" s="63"/>
      <c r="H97" s="221">
        <f>E97+F97-G97</f>
        <v>100000</v>
      </c>
      <c r="I97" s="63"/>
      <c r="J97" s="221">
        <f t="shared" si="11"/>
        <v>100000</v>
      </c>
      <c r="K97" s="63">
        <v>0</v>
      </c>
      <c r="L97" s="221">
        <f t="shared" si="12"/>
        <v>100000</v>
      </c>
    </row>
    <row r="98" spans="1:12" s="30" customFormat="1" ht="29.25" customHeight="1">
      <c r="A98" s="92"/>
      <c r="B98" s="92">
        <v>92605</v>
      </c>
      <c r="C98" s="92"/>
      <c r="D98" s="168" t="s">
        <v>77</v>
      </c>
      <c r="E98" s="169">
        <f>SUM(E99)</f>
        <v>200000</v>
      </c>
      <c r="F98" s="169">
        <f>SUM(F99)</f>
        <v>0</v>
      </c>
      <c r="G98" s="169">
        <f>SUM(G99)</f>
        <v>200000</v>
      </c>
      <c r="H98" s="169">
        <f>SUM(H99)</f>
        <v>0</v>
      </c>
      <c r="I98" s="169">
        <f>SUM(I99)</f>
        <v>435000</v>
      </c>
      <c r="J98" s="71">
        <f t="shared" si="11"/>
        <v>435000</v>
      </c>
      <c r="K98" s="169">
        <f>SUM(K99)</f>
        <v>11000</v>
      </c>
      <c r="L98" s="71">
        <f t="shared" si="12"/>
        <v>446000</v>
      </c>
    </row>
    <row r="99" spans="1:12" s="30" customFormat="1" ht="29.25" customHeight="1">
      <c r="A99" s="92"/>
      <c r="B99" s="92"/>
      <c r="C99" s="92">
        <v>6050</v>
      </c>
      <c r="D99" s="15" t="s">
        <v>84</v>
      </c>
      <c r="E99" s="169">
        <f>SUM(E100)</f>
        <v>200000</v>
      </c>
      <c r="F99" s="169">
        <f>SUM(F100)</f>
        <v>0</v>
      </c>
      <c r="G99" s="169">
        <f>SUM(G100)</f>
        <v>200000</v>
      </c>
      <c r="H99" s="169">
        <f>SUM(H100:H101)</f>
        <v>0</v>
      </c>
      <c r="I99" s="169">
        <f>SUM(I100:I101)</f>
        <v>435000</v>
      </c>
      <c r="J99" s="71">
        <f t="shared" si="11"/>
        <v>435000</v>
      </c>
      <c r="K99" s="169">
        <f>SUM(K100:K101)</f>
        <v>11000</v>
      </c>
      <c r="L99" s="71">
        <f t="shared" si="12"/>
        <v>446000</v>
      </c>
    </row>
    <row r="100" spans="1:12" s="33" customFormat="1" ht="27.75" customHeight="1">
      <c r="A100" s="120"/>
      <c r="B100" s="120"/>
      <c r="C100" s="120"/>
      <c r="D100" s="170" t="s">
        <v>462</v>
      </c>
      <c r="E100" s="171">
        <v>200000</v>
      </c>
      <c r="F100" s="171"/>
      <c r="G100" s="171">
        <v>200000</v>
      </c>
      <c r="H100" s="221">
        <f>E100+F100-G100</f>
        <v>0</v>
      </c>
      <c r="I100" s="171">
        <v>260000</v>
      </c>
      <c r="J100" s="221">
        <f t="shared" si="11"/>
        <v>260000</v>
      </c>
      <c r="K100" s="171">
        <v>0</v>
      </c>
      <c r="L100" s="221">
        <f t="shared" si="12"/>
        <v>260000</v>
      </c>
    </row>
    <row r="101" spans="1:12" s="33" customFormat="1" ht="29.25" customHeight="1">
      <c r="A101" s="120"/>
      <c r="B101" s="120"/>
      <c r="C101" s="120"/>
      <c r="D101" s="170" t="s">
        <v>461</v>
      </c>
      <c r="E101" s="171"/>
      <c r="F101" s="171"/>
      <c r="G101" s="171"/>
      <c r="H101" s="227">
        <v>0</v>
      </c>
      <c r="I101" s="171">
        <v>175000</v>
      </c>
      <c r="J101" s="221">
        <f t="shared" si="11"/>
        <v>175000</v>
      </c>
      <c r="K101" s="267">
        <v>11000</v>
      </c>
      <c r="L101" s="221">
        <f t="shared" si="12"/>
        <v>186000</v>
      </c>
    </row>
    <row r="102" spans="1:12" s="9" customFormat="1" ht="23.25" customHeight="1">
      <c r="A102" s="12"/>
      <c r="B102" s="12"/>
      <c r="C102" s="12"/>
      <c r="D102" s="143" t="s">
        <v>78</v>
      </c>
      <c r="E102" s="69">
        <f>SUM(E94,E90,E71,E67,E63,E59,E48,E44,E40,E33,E8,)</f>
        <v>3580240</v>
      </c>
      <c r="F102" s="69">
        <f>SUM(F94,F90,F71,F67,F63,F59,F48,F44,F40,F33,F8,)</f>
        <v>700000</v>
      </c>
      <c r="G102" s="69">
        <f>SUM(G94,G90,G71,G67,G63,G59,G48,G44,G40,G33,G8,)</f>
        <v>1470000</v>
      </c>
      <c r="H102" s="69">
        <f>SUM(H94,H90,H71,H67,H63,H59,H48,H44,H40,H33,H8,)</f>
        <v>2810240</v>
      </c>
      <c r="I102" s="69">
        <f>SUM(I94,I90,I71,I67,I63,I59,I48,I44,I40,I33,I8,)</f>
        <v>279000</v>
      </c>
      <c r="J102" s="50">
        <f t="shared" si="11"/>
        <v>3089240</v>
      </c>
      <c r="K102" s="69">
        <f>SUM(K94,K90,K71,K67,K63,K59,K48,K44,K40,K33,K8,)</f>
        <v>516115</v>
      </c>
      <c r="L102" s="50">
        <f t="shared" si="12"/>
        <v>3605355</v>
      </c>
    </row>
    <row r="105" spans="5:12" ht="12.75">
      <c r="E105" s="66"/>
      <c r="F105" s="66"/>
      <c r="G105" s="66"/>
      <c r="H105" s="66"/>
      <c r="I105" s="66"/>
      <c r="J105" s="66"/>
      <c r="K105" s="66"/>
      <c r="L105" s="66"/>
    </row>
    <row r="106" ht="12.75">
      <c r="G106" s="66">
        <f>SUM(F102-G102)</f>
        <v>-770000</v>
      </c>
    </row>
    <row r="107" ht="12.75">
      <c r="K107" s="66">
        <v>30000</v>
      </c>
    </row>
    <row r="108" ht="12.75">
      <c r="K108" s="66">
        <v>-30000</v>
      </c>
    </row>
    <row r="109" ht="12.75">
      <c r="K109" s="66">
        <v>115</v>
      </c>
    </row>
    <row r="110" ht="12.75">
      <c r="K110" s="66">
        <v>11000</v>
      </c>
    </row>
    <row r="111" ht="12.75">
      <c r="K111" s="66">
        <v>5000</v>
      </c>
    </row>
    <row r="112" ht="12.75">
      <c r="K112" s="66">
        <v>500000</v>
      </c>
    </row>
    <row r="113" ht="12.75">
      <c r="K113" s="268">
        <f>SUM(K107:K112)</f>
        <v>516115</v>
      </c>
    </row>
    <row r="115" spans="5:12" ht="12.75">
      <c r="E115" t="s">
        <v>260</v>
      </c>
      <c r="F115" t="s">
        <v>260</v>
      </c>
      <c r="G115" t="s">
        <v>260</v>
      </c>
      <c r="H115" t="s">
        <v>260</v>
      </c>
      <c r="I115" t="s">
        <v>260</v>
      </c>
      <c r="J115" t="s">
        <v>260</v>
      </c>
      <c r="K115" t="s">
        <v>260</v>
      </c>
      <c r="L115" t="s">
        <v>260</v>
      </c>
    </row>
    <row r="116" spans="5:12" ht="12.75">
      <c r="E116" t="s">
        <v>261</v>
      </c>
      <c r="F116" t="s">
        <v>261</v>
      </c>
      <c r="G116" t="s">
        <v>261</v>
      </c>
      <c r="H116" t="s">
        <v>261</v>
      </c>
      <c r="I116" t="s">
        <v>261</v>
      </c>
      <c r="J116" t="s">
        <v>261</v>
      </c>
      <c r="K116" t="s">
        <v>261</v>
      </c>
      <c r="L116" t="s">
        <v>261</v>
      </c>
    </row>
  </sheetData>
  <mergeCells count="1">
    <mergeCell ref="A5:J5"/>
  </mergeCells>
  <printOptions horizontalCentered="1"/>
  <pageMargins left="0.57" right="0.43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&amp;C&amp;8Wydatki majątkowe - str.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49">
      <selection activeCell="D60" sqref="D60"/>
    </sheetView>
  </sheetViews>
  <sheetFormatPr defaultColWidth="9.00390625" defaultRowHeight="12.75"/>
  <cols>
    <col min="1" max="1" width="5.375" style="9" customWidth="1"/>
    <col min="2" max="2" width="7.375" style="9" customWidth="1"/>
    <col min="3" max="3" width="5.00390625" style="9" customWidth="1"/>
    <col min="4" max="4" width="33.375" style="9" customWidth="1"/>
    <col min="5" max="5" width="13.875" style="0" hidden="1" customWidth="1"/>
    <col min="6" max="6" width="13.375" style="0" hidden="1" customWidth="1"/>
    <col min="7" max="7" width="13.625" style="0" customWidth="1"/>
    <col min="8" max="8" width="13.375" style="0" customWidth="1"/>
    <col min="9" max="9" width="13.625" style="0" customWidth="1"/>
  </cols>
  <sheetData>
    <row r="1" spans="5:9" ht="12.75">
      <c r="E1" s="130" t="s">
        <v>473</v>
      </c>
      <c r="F1" s="130"/>
      <c r="G1" s="130" t="s">
        <v>539</v>
      </c>
      <c r="H1" s="130"/>
      <c r="I1" s="74"/>
    </row>
    <row r="2" spans="5:9" ht="12.75">
      <c r="E2" s="130" t="s">
        <v>411</v>
      </c>
      <c r="F2" s="130"/>
      <c r="G2" s="130" t="s">
        <v>520</v>
      </c>
      <c r="H2" s="130"/>
      <c r="I2" s="74"/>
    </row>
    <row r="3" spans="5:9" ht="12.75">
      <c r="E3" s="130" t="s">
        <v>464</v>
      </c>
      <c r="F3" s="130"/>
      <c r="G3" s="130" t="s">
        <v>473</v>
      </c>
      <c r="H3" s="130"/>
      <c r="I3" s="74"/>
    </row>
    <row r="4" spans="5:9" ht="12.75">
      <c r="E4" s="130" t="s">
        <v>413</v>
      </c>
      <c r="F4" s="130"/>
      <c r="G4" s="130" t="s">
        <v>477</v>
      </c>
      <c r="H4" s="130"/>
      <c r="I4" s="74"/>
    </row>
    <row r="5" spans="1:4" ht="66.75" customHeight="1">
      <c r="A5" s="283" t="s">
        <v>443</v>
      </c>
      <c r="B5" s="283"/>
      <c r="C5" s="283"/>
      <c r="D5" s="283"/>
    </row>
    <row r="6" spans="1:4" ht="14.25" customHeight="1">
      <c r="A6" s="144"/>
      <c r="B6" s="144"/>
      <c r="C6" s="144"/>
      <c r="D6" s="144"/>
    </row>
    <row r="7" spans="1:4" ht="32.25" customHeight="1">
      <c r="A7" s="284" t="s">
        <v>278</v>
      </c>
      <c r="B7" s="284"/>
      <c r="C7" s="284"/>
      <c r="D7" s="284"/>
    </row>
    <row r="8" spans="1:9" s="145" customFormat="1" ht="24.75" customHeight="1">
      <c r="A8" s="2" t="s">
        <v>0</v>
      </c>
      <c r="B8" s="2" t="s">
        <v>1</v>
      </c>
      <c r="C8" s="2" t="s">
        <v>2</v>
      </c>
      <c r="D8" s="2" t="s">
        <v>3</v>
      </c>
      <c r="E8" s="131" t="s">
        <v>437</v>
      </c>
      <c r="F8" s="131" t="s">
        <v>237</v>
      </c>
      <c r="G8" s="131" t="s">
        <v>498</v>
      </c>
      <c r="H8" s="131" t="s">
        <v>237</v>
      </c>
      <c r="I8" s="131" t="s">
        <v>442</v>
      </c>
    </row>
    <row r="9" spans="1:9" s="31" customFormat="1" ht="36">
      <c r="A9" s="2">
        <v>756</v>
      </c>
      <c r="B9" s="2"/>
      <c r="C9" s="2"/>
      <c r="D9" s="54" t="s">
        <v>31</v>
      </c>
      <c r="E9" s="39">
        <f>SUM(E10)</f>
        <v>290000</v>
      </c>
      <c r="F9" s="39">
        <f>SUM(F10)</f>
        <v>0</v>
      </c>
      <c r="G9" s="39">
        <f>SUM(E9:F9)</f>
        <v>290000</v>
      </c>
      <c r="H9" s="39">
        <f>SUM(H10)</f>
        <v>0</v>
      </c>
      <c r="I9" s="39">
        <f>SUM(G9:H9)</f>
        <v>290000</v>
      </c>
    </row>
    <row r="10" spans="1:9" s="149" customFormat="1" ht="33.75">
      <c r="A10" s="70"/>
      <c r="B10" s="64">
        <v>75618</v>
      </c>
      <c r="C10" s="70"/>
      <c r="D10" s="55" t="s">
        <v>167</v>
      </c>
      <c r="E10" s="136">
        <f>SUM(E11)</f>
        <v>290000</v>
      </c>
      <c r="F10" s="136">
        <f>SUM(F11)</f>
        <v>0</v>
      </c>
      <c r="G10" s="136">
        <f>SUM(E10:F10)</f>
        <v>290000</v>
      </c>
      <c r="H10" s="136">
        <f>SUM(H11)</f>
        <v>0</v>
      </c>
      <c r="I10" s="136">
        <f>SUM(G10:H10)</f>
        <v>290000</v>
      </c>
    </row>
    <row r="11" spans="1:9" s="149" customFormat="1" ht="28.5" customHeight="1">
      <c r="A11" s="70"/>
      <c r="B11" s="70"/>
      <c r="C11" s="150" t="s">
        <v>207</v>
      </c>
      <c r="D11" s="55" t="s">
        <v>64</v>
      </c>
      <c r="E11" s="136">
        <v>290000</v>
      </c>
      <c r="F11" s="136">
        <v>0</v>
      </c>
      <c r="G11" s="136">
        <f>SUM(E11:F11)</f>
        <v>290000</v>
      </c>
      <c r="H11" s="136">
        <v>0</v>
      </c>
      <c r="I11" s="136">
        <f>SUM(G11:H11)</f>
        <v>290000</v>
      </c>
    </row>
    <row r="12" spans="1:9" s="1" customFormat="1" ht="21" customHeight="1">
      <c r="A12" s="53"/>
      <c r="B12" s="53"/>
      <c r="C12" s="53"/>
      <c r="D12" s="2" t="s">
        <v>78</v>
      </c>
      <c r="E12" s="39">
        <f>SUM(E9)</f>
        <v>290000</v>
      </c>
      <c r="F12" s="39">
        <f>SUM(F9)</f>
        <v>0</v>
      </c>
      <c r="G12" s="39">
        <f>SUM(E12:F12)</f>
        <v>290000</v>
      </c>
      <c r="H12" s="39">
        <f>SUM(H9)</f>
        <v>0</v>
      </c>
      <c r="I12" s="39">
        <f>SUM(G12:H12)</f>
        <v>290000</v>
      </c>
    </row>
    <row r="13" spans="1:9" s="1" customFormat="1" ht="22.5" customHeight="1">
      <c r="A13" s="146"/>
      <c r="B13" s="146"/>
      <c r="C13" s="146"/>
      <c r="D13" s="147"/>
      <c r="E13" s="148"/>
      <c r="F13" s="148"/>
      <c r="G13" s="148"/>
      <c r="H13" s="148"/>
      <c r="I13" s="148"/>
    </row>
    <row r="14" spans="1:4" ht="44.25" customHeight="1">
      <c r="A14" s="282" t="s">
        <v>279</v>
      </c>
      <c r="B14" s="282"/>
      <c r="C14" s="282"/>
      <c r="D14" s="282"/>
    </row>
    <row r="15" spans="1:9" s="152" customFormat="1" ht="23.25" customHeight="1">
      <c r="A15" s="2" t="s">
        <v>0</v>
      </c>
      <c r="B15" s="2" t="s">
        <v>1</v>
      </c>
      <c r="C15" s="2" t="s">
        <v>2</v>
      </c>
      <c r="D15" s="2" t="s">
        <v>3</v>
      </c>
      <c r="E15" s="131" t="s">
        <v>437</v>
      </c>
      <c r="F15" s="131" t="s">
        <v>436</v>
      </c>
      <c r="G15" s="131" t="s">
        <v>437</v>
      </c>
      <c r="H15" s="131" t="s">
        <v>436</v>
      </c>
      <c r="I15" s="131" t="s">
        <v>438</v>
      </c>
    </row>
    <row r="16" spans="1:9" s="156" customFormat="1" ht="23.25" customHeight="1">
      <c r="A16" s="2">
        <v>851</v>
      </c>
      <c r="B16" s="2"/>
      <c r="C16" s="2"/>
      <c r="D16" s="157" t="s">
        <v>275</v>
      </c>
      <c r="E16" s="158">
        <f>E19+E17</f>
        <v>118720</v>
      </c>
      <c r="F16" s="158">
        <f>F19+F17</f>
        <v>0</v>
      </c>
      <c r="G16" s="158">
        <f>SUM(E16:F16)</f>
        <v>118720</v>
      </c>
      <c r="H16" s="158">
        <f>H19+H17</f>
        <v>0</v>
      </c>
      <c r="I16" s="158">
        <f>SUM(G16:H16)</f>
        <v>118720</v>
      </c>
    </row>
    <row r="17" spans="1:9" s="156" customFormat="1" ht="23.25" customHeight="1">
      <c r="A17" s="2"/>
      <c r="B17" s="70">
        <v>85153</v>
      </c>
      <c r="C17" s="2"/>
      <c r="D17" s="67" t="s">
        <v>284</v>
      </c>
      <c r="E17" s="160">
        <f>SUM(E18:E18)</f>
        <v>20000</v>
      </c>
      <c r="F17" s="160">
        <f>SUM(F18:F18)</f>
        <v>0</v>
      </c>
      <c r="G17" s="226">
        <f aca="true" t="shared" si="0" ref="G17:G58">SUM(E17:F17)</f>
        <v>20000</v>
      </c>
      <c r="H17" s="160">
        <f>SUM(H18:H18)</f>
        <v>0</v>
      </c>
      <c r="I17" s="226">
        <f aca="true" t="shared" si="1" ref="I17:I58">SUM(G17:H17)</f>
        <v>20000</v>
      </c>
    </row>
    <row r="18" spans="1:9" s="156" customFormat="1" ht="23.25" customHeight="1">
      <c r="A18" s="2"/>
      <c r="B18" s="2"/>
      <c r="C18" s="64">
        <v>6060</v>
      </c>
      <c r="D18" s="48" t="s">
        <v>107</v>
      </c>
      <c r="E18" s="226">
        <v>20000</v>
      </c>
      <c r="F18" s="160">
        <v>0</v>
      </c>
      <c r="G18" s="226">
        <f t="shared" si="0"/>
        <v>20000</v>
      </c>
      <c r="H18" s="160">
        <v>0</v>
      </c>
      <c r="I18" s="226">
        <f t="shared" si="1"/>
        <v>20000</v>
      </c>
    </row>
    <row r="19" spans="1:9" s="30" customFormat="1" ht="21.75" customHeight="1">
      <c r="A19" s="92"/>
      <c r="B19" s="92" t="s">
        <v>132</v>
      </c>
      <c r="C19" s="64"/>
      <c r="D19" s="15" t="s">
        <v>63</v>
      </c>
      <c r="E19" s="106">
        <f>SUM(E20:E27)</f>
        <v>98720</v>
      </c>
      <c r="F19" s="106">
        <f>SUM(F20:F27)</f>
        <v>0</v>
      </c>
      <c r="G19" s="226">
        <f>SUM(G20:G30)</f>
        <v>98720</v>
      </c>
      <c r="H19" s="226">
        <f>SUM(H20:H30)</f>
        <v>0</v>
      </c>
      <c r="I19" s="226">
        <f>SUM(I20:I30)</f>
        <v>98720</v>
      </c>
    </row>
    <row r="20" spans="1:9" s="30" customFormat="1" ht="33.75">
      <c r="A20" s="92"/>
      <c r="B20" s="92"/>
      <c r="C20" s="64">
        <v>2630</v>
      </c>
      <c r="D20" s="15" t="s">
        <v>295</v>
      </c>
      <c r="E20" s="106">
        <f>10000+16000+40000</f>
        <v>66000</v>
      </c>
      <c r="F20" s="106">
        <v>-47100</v>
      </c>
      <c r="G20" s="226">
        <f t="shared" si="0"/>
        <v>18900</v>
      </c>
      <c r="H20" s="106">
        <v>-18900</v>
      </c>
      <c r="I20" s="226">
        <f t="shared" si="1"/>
        <v>0</v>
      </c>
    </row>
    <row r="21" spans="1:9" s="30" customFormat="1" ht="45">
      <c r="A21" s="92"/>
      <c r="B21" s="92"/>
      <c r="C21" s="64">
        <v>2710</v>
      </c>
      <c r="D21" s="48" t="s">
        <v>499</v>
      </c>
      <c r="E21" s="106"/>
      <c r="F21" s="106"/>
      <c r="G21" s="226">
        <v>0</v>
      </c>
      <c r="H21" s="106">
        <v>11551</v>
      </c>
      <c r="I21" s="226">
        <f t="shared" si="1"/>
        <v>11551</v>
      </c>
    </row>
    <row r="22" spans="1:10" s="30" customFormat="1" ht="33.75">
      <c r="A22" s="92"/>
      <c r="B22" s="92"/>
      <c r="C22" s="107">
        <v>2820</v>
      </c>
      <c r="D22" s="48" t="s">
        <v>433</v>
      </c>
      <c r="E22" s="106">
        <v>0</v>
      </c>
      <c r="F22" s="106">
        <v>7953</v>
      </c>
      <c r="G22" s="226">
        <f t="shared" si="0"/>
        <v>7953</v>
      </c>
      <c r="H22" s="106">
        <v>0</v>
      </c>
      <c r="I22" s="226">
        <f t="shared" si="1"/>
        <v>7953</v>
      </c>
      <c r="J22" s="242"/>
    </row>
    <row r="23" spans="1:9" s="30" customFormat="1" ht="56.25">
      <c r="A23" s="92"/>
      <c r="B23" s="92"/>
      <c r="C23" s="107">
        <v>2830</v>
      </c>
      <c r="D23" s="48" t="s">
        <v>432</v>
      </c>
      <c r="E23" s="106">
        <v>0</v>
      </c>
      <c r="F23" s="106">
        <f>31147+8000</f>
        <v>39147</v>
      </c>
      <c r="G23" s="226">
        <f t="shared" si="0"/>
        <v>39147</v>
      </c>
      <c r="H23" s="106">
        <v>0</v>
      </c>
      <c r="I23" s="226">
        <f t="shared" si="1"/>
        <v>39147</v>
      </c>
    </row>
    <row r="24" spans="1:9" s="30" customFormat="1" ht="21.75" customHeight="1">
      <c r="A24" s="92"/>
      <c r="B24" s="92"/>
      <c r="C24" s="107">
        <v>4110</v>
      </c>
      <c r="D24" s="48" t="s">
        <v>97</v>
      </c>
      <c r="E24" s="106"/>
      <c r="F24" s="106"/>
      <c r="G24" s="226">
        <v>0</v>
      </c>
      <c r="H24" s="106">
        <v>338</v>
      </c>
      <c r="I24" s="226">
        <f t="shared" si="1"/>
        <v>338</v>
      </c>
    </row>
    <row r="25" spans="1:9" s="30" customFormat="1" ht="21.75" customHeight="1">
      <c r="A25" s="92"/>
      <c r="B25" s="64"/>
      <c r="C25" s="64">
        <v>4170</v>
      </c>
      <c r="D25" s="15" t="s">
        <v>225</v>
      </c>
      <c r="E25" s="113">
        <v>16000</v>
      </c>
      <c r="F25" s="113">
        <v>0</v>
      </c>
      <c r="G25" s="226">
        <f t="shared" si="0"/>
        <v>16000</v>
      </c>
      <c r="H25" s="113">
        <v>5616</v>
      </c>
      <c r="I25" s="226">
        <f t="shared" si="1"/>
        <v>21616</v>
      </c>
    </row>
    <row r="26" spans="1:9" s="30" customFormat="1" ht="21.75" customHeight="1">
      <c r="A26" s="92"/>
      <c r="B26" s="64"/>
      <c r="C26" s="64">
        <v>4210</v>
      </c>
      <c r="D26" s="15" t="s">
        <v>103</v>
      </c>
      <c r="E26" s="113"/>
      <c r="F26" s="113"/>
      <c r="G26" s="226">
        <v>0</v>
      </c>
      <c r="H26" s="113">
        <f>1050+943+1300</f>
        <v>3293</v>
      </c>
      <c r="I26" s="226">
        <f t="shared" si="1"/>
        <v>3293</v>
      </c>
    </row>
    <row r="27" spans="1:9" s="30" customFormat="1" ht="20.25" customHeight="1">
      <c r="A27" s="92"/>
      <c r="B27" s="64"/>
      <c r="C27" s="64">
        <v>4300</v>
      </c>
      <c r="D27" s="15" t="s">
        <v>90</v>
      </c>
      <c r="E27" s="113">
        <f>10000+11000+4000+16000+860+40000+860-10000-16000-40000</f>
        <v>16720</v>
      </c>
      <c r="F27" s="113">
        <v>0</v>
      </c>
      <c r="G27" s="226">
        <f t="shared" si="0"/>
        <v>16720</v>
      </c>
      <c r="H27" s="113">
        <f>-11000+6360+170</f>
        <v>-4470</v>
      </c>
      <c r="I27" s="226">
        <f t="shared" si="1"/>
        <v>12250</v>
      </c>
    </row>
    <row r="28" spans="1:9" s="30" customFormat="1" ht="22.5" hidden="1">
      <c r="A28" s="92"/>
      <c r="B28" s="64"/>
      <c r="C28" s="64">
        <v>6060</v>
      </c>
      <c r="D28" s="48" t="s">
        <v>107</v>
      </c>
      <c r="E28" s="113">
        <v>23109</v>
      </c>
      <c r="F28" s="113">
        <v>23109</v>
      </c>
      <c r="G28" s="226"/>
      <c r="H28" s="113"/>
      <c r="I28" s="226"/>
    </row>
    <row r="29" spans="1:9" s="30" customFormat="1" ht="18" customHeight="1">
      <c r="A29" s="92"/>
      <c r="B29" s="64"/>
      <c r="C29" s="64">
        <v>4350</v>
      </c>
      <c r="D29" s="15" t="s">
        <v>255</v>
      </c>
      <c r="E29" s="113"/>
      <c r="F29" s="113"/>
      <c r="G29" s="226">
        <v>0</v>
      </c>
      <c r="H29" s="113">
        <v>672</v>
      </c>
      <c r="I29" s="226">
        <f t="shared" si="1"/>
        <v>672</v>
      </c>
    </row>
    <row r="30" spans="1:9" s="30" customFormat="1" ht="18" customHeight="1">
      <c r="A30" s="92"/>
      <c r="B30" s="64"/>
      <c r="C30" s="64">
        <v>4410</v>
      </c>
      <c r="D30" s="15" t="s">
        <v>101</v>
      </c>
      <c r="E30" s="113"/>
      <c r="F30" s="113"/>
      <c r="G30" s="226">
        <v>0</v>
      </c>
      <c r="H30" s="113">
        <v>1900</v>
      </c>
      <c r="I30" s="226">
        <f t="shared" si="1"/>
        <v>1900</v>
      </c>
    </row>
    <row r="31" spans="1:9" s="9" customFormat="1" ht="21.75" customHeight="1">
      <c r="A31" s="40">
        <v>852</v>
      </c>
      <c r="B31" s="6"/>
      <c r="C31" s="6"/>
      <c r="D31" s="25" t="s">
        <v>221</v>
      </c>
      <c r="E31" s="20">
        <f>SUM(E34,E32)</f>
        <v>104280</v>
      </c>
      <c r="F31" s="20">
        <f>SUM(F34,F32)</f>
        <v>0</v>
      </c>
      <c r="G31" s="158">
        <f t="shared" si="0"/>
        <v>104280</v>
      </c>
      <c r="H31" s="20">
        <f>SUM(H34,H32)</f>
        <v>0</v>
      </c>
      <c r="I31" s="158">
        <f t="shared" si="1"/>
        <v>104280</v>
      </c>
    </row>
    <row r="32" spans="1:9" s="30" customFormat="1" ht="22.5">
      <c r="A32" s="92"/>
      <c r="B32" s="92">
        <v>85214</v>
      </c>
      <c r="C32" s="64"/>
      <c r="D32" s="15" t="s">
        <v>256</v>
      </c>
      <c r="E32" s="113">
        <f>SUM(E33)</f>
        <v>3000</v>
      </c>
      <c r="F32" s="113">
        <f>SUM(F33)</f>
        <v>0</v>
      </c>
      <c r="G32" s="226">
        <f t="shared" si="0"/>
        <v>3000</v>
      </c>
      <c r="H32" s="113">
        <f>SUM(H33)</f>
        <v>0</v>
      </c>
      <c r="I32" s="226">
        <f t="shared" si="1"/>
        <v>3000</v>
      </c>
    </row>
    <row r="33" spans="1:9" s="30" customFormat="1" ht="21.75" customHeight="1">
      <c r="A33" s="92"/>
      <c r="B33" s="92"/>
      <c r="C33" s="64">
        <v>3110</v>
      </c>
      <c r="D33" s="15" t="s">
        <v>125</v>
      </c>
      <c r="E33" s="113">
        <v>3000</v>
      </c>
      <c r="F33" s="113">
        <v>0</v>
      </c>
      <c r="G33" s="226">
        <f t="shared" si="0"/>
        <v>3000</v>
      </c>
      <c r="H33" s="113">
        <v>0</v>
      </c>
      <c r="I33" s="226">
        <f t="shared" si="1"/>
        <v>3000</v>
      </c>
    </row>
    <row r="34" spans="1:9" s="30" customFormat="1" ht="21.75" customHeight="1">
      <c r="A34" s="92"/>
      <c r="B34" s="92">
        <v>85219</v>
      </c>
      <c r="C34" s="64"/>
      <c r="D34" s="48" t="s">
        <v>68</v>
      </c>
      <c r="E34" s="106">
        <f>SUM(E35:E48)</f>
        <v>101280</v>
      </c>
      <c r="F34" s="106">
        <f>SUM(F35:F48)</f>
        <v>0</v>
      </c>
      <c r="G34" s="226">
        <f t="shared" si="0"/>
        <v>101280</v>
      </c>
      <c r="H34" s="106">
        <f>SUM(H35:H48)</f>
        <v>0</v>
      </c>
      <c r="I34" s="226">
        <f t="shared" si="1"/>
        <v>101280</v>
      </c>
    </row>
    <row r="35" spans="1:9" s="30" customFormat="1" ht="21.75" customHeight="1">
      <c r="A35" s="92"/>
      <c r="B35" s="92"/>
      <c r="C35" s="107">
        <v>4010</v>
      </c>
      <c r="D35" s="48" t="s">
        <v>95</v>
      </c>
      <c r="E35" s="113">
        <v>19769</v>
      </c>
      <c r="F35" s="113">
        <v>0</v>
      </c>
      <c r="G35" s="226">
        <f t="shared" si="0"/>
        <v>19769</v>
      </c>
      <c r="H35" s="113">
        <v>1661</v>
      </c>
      <c r="I35" s="226">
        <f t="shared" si="1"/>
        <v>21430</v>
      </c>
    </row>
    <row r="36" spans="1:9" s="30" customFormat="1" ht="21.75" customHeight="1">
      <c r="A36" s="92"/>
      <c r="B36" s="92"/>
      <c r="C36" s="107">
        <v>4040</v>
      </c>
      <c r="D36" s="48" t="s">
        <v>96</v>
      </c>
      <c r="E36" s="113">
        <v>1500</v>
      </c>
      <c r="F36" s="113">
        <v>0</v>
      </c>
      <c r="G36" s="226">
        <f t="shared" si="0"/>
        <v>1500</v>
      </c>
      <c r="H36" s="113">
        <v>0</v>
      </c>
      <c r="I36" s="226">
        <f t="shared" si="1"/>
        <v>1500</v>
      </c>
    </row>
    <row r="37" spans="1:9" s="30" customFormat="1" ht="21.75" customHeight="1">
      <c r="A37" s="92"/>
      <c r="B37" s="92"/>
      <c r="C37" s="107">
        <v>4110</v>
      </c>
      <c r="D37" s="48" t="s">
        <v>97</v>
      </c>
      <c r="E37" s="113">
        <v>3771</v>
      </c>
      <c r="F37" s="113">
        <v>0</v>
      </c>
      <c r="G37" s="226">
        <f t="shared" si="0"/>
        <v>3771</v>
      </c>
      <c r="H37" s="113">
        <v>279</v>
      </c>
      <c r="I37" s="226">
        <f t="shared" si="1"/>
        <v>4050</v>
      </c>
    </row>
    <row r="38" spans="1:9" s="30" customFormat="1" ht="21.75" customHeight="1">
      <c r="A38" s="92"/>
      <c r="B38" s="92"/>
      <c r="C38" s="107">
        <v>4120</v>
      </c>
      <c r="D38" s="48" t="s">
        <v>98</v>
      </c>
      <c r="E38" s="113">
        <v>522</v>
      </c>
      <c r="F38" s="113">
        <v>0</v>
      </c>
      <c r="G38" s="226">
        <f t="shared" si="0"/>
        <v>522</v>
      </c>
      <c r="H38" s="113">
        <v>38</v>
      </c>
      <c r="I38" s="226">
        <f t="shared" si="1"/>
        <v>560</v>
      </c>
    </row>
    <row r="39" spans="1:9" s="30" customFormat="1" ht="21.75" customHeight="1">
      <c r="A39" s="92"/>
      <c r="B39" s="92"/>
      <c r="C39" s="107">
        <v>4170</v>
      </c>
      <c r="D39" s="48" t="s">
        <v>225</v>
      </c>
      <c r="E39" s="113">
        <v>13200</v>
      </c>
      <c r="F39" s="113">
        <v>0</v>
      </c>
      <c r="G39" s="226">
        <f t="shared" si="0"/>
        <v>13200</v>
      </c>
      <c r="H39" s="113">
        <v>0</v>
      </c>
      <c r="I39" s="226">
        <f t="shared" si="1"/>
        <v>13200</v>
      </c>
    </row>
    <row r="40" spans="1:9" s="30" customFormat="1" ht="21.75" customHeight="1">
      <c r="A40" s="92"/>
      <c r="B40" s="92"/>
      <c r="C40" s="107">
        <v>4210</v>
      </c>
      <c r="D40" s="15" t="s">
        <v>103</v>
      </c>
      <c r="E40" s="113">
        <v>9300</v>
      </c>
      <c r="F40" s="113">
        <v>0</v>
      </c>
      <c r="G40" s="226">
        <f t="shared" si="0"/>
        <v>9300</v>
      </c>
      <c r="H40" s="113">
        <v>0</v>
      </c>
      <c r="I40" s="226">
        <f t="shared" si="1"/>
        <v>9300</v>
      </c>
    </row>
    <row r="41" spans="1:9" s="30" customFormat="1" ht="21.75" customHeight="1">
      <c r="A41" s="92"/>
      <c r="B41" s="92"/>
      <c r="C41" s="107">
        <v>4280</v>
      </c>
      <c r="D41" s="15" t="s">
        <v>239</v>
      </c>
      <c r="E41" s="113">
        <v>150</v>
      </c>
      <c r="F41" s="113">
        <v>0</v>
      </c>
      <c r="G41" s="226">
        <f t="shared" si="0"/>
        <v>150</v>
      </c>
      <c r="H41" s="113">
        <v>0</v>
      </c>
      <c r="I41" s="226">
        <f t="shared" si="1"/>
        <v>150</v>
      </c>
    </row>
    <row r="42" spans="1:9" s="30" customFormat="1" ht="21.75" customHeight="1">
      <c r="A42" s="92"/>
      <c r="B42" s="92"/>
      <c r="C42" s="107">
        <v>4300</v>
      </c>
      <c r="D42" s="15" t="s">
        <v>90</v>
      </c>
      <c r="E42" s="113">
        <v>46605</v>
      </c>
      <c r="F42" s="113">
        <v>0</v>
      </c>
      <c r="G42" s="226">
        <f t="shared" si="0"/>
        <v>46605</v>
      </c>
      <c r="H42" s="113">
        <f>-4978-300+3000</f>
        <v>-2278</v>
      </c>
      <c r="I42" s="226">
        <f t="shared" si="1"/>
        <v>44327</v>
      </c>
    </row>
    <row r="43" spans="1:9" s="30" customFormat="1" ht="21.75" customHeight="1">
      <c r="A43" s="92"/>
      <c r="B43" s="92"/>
      <c r="C43" s="107">
        <v>4350</v>
      </c>
      <c r="D43" s="15" t="s">
        <v>255</v>
      </c>
      <c r="E43" s="113">
        <v>665</v>
      </c>
      <c r="F43" s="113">
        <v>0</v>
      </c>
      <c r="G43" s="226">
        <f t="shared" si="0"/>
        <v>665</v>
      </c>
      <c r="H43" s="113">
        <v>-144</v>
      </c>
      <c r="I43" s="226">
        <f t="shared" si="1"/>
        <v>521</v>
      </c>
    </row>
    <row r="44" spans="1:9" s="30" customFormat="1" ht="21.75" customHeight="1">
      <c r="A44" s="92"/>
      <c r="B44" s="92"/>
      <c r="C44" s="107">
        <v>4370</v>
      </c>
      <c r="D44" s="48" t="s">
        <v>288</v>
      </c>
      <c r="E44" s="113">
        <v>2400</v>
      </c>
      <c r="F44" s="113">
        <v>0</v>
      </c>
      <c r="G44" s="226">
        <f t="shared" si="0"/>
        <v>2400</v>
      </c>
      <c r="H44" s="113">
        <v>444</v>
      </c>
      <c r="I44" s="226">
        <f t="shared" si="1"/>
        <v>2844</v>
      </c>
    </row>
    <row r="45" spans="1:9" s="30" customFormat="1" ht="21.75" customHeight="1">
      <c r="A45" s="92"/>
      <c r="B45" s="92"/>
      <c r="C45" s="107">
        <v>4400</v>
      </c>
      <c r="D45" s="48" t="s">
        <v>289</v>
      </c>
      <c r="E45" s="113">
        <v>1922</v>
      </c>
      <c r="F45" s="113">
        <v>0</v>
      </c>
      <c r="G45" s="226">
        <f t="shared" si="0"/>
        <v>1922</v>
      </c>
      <c r="H45" s="113">
        <v>0</v>
      </c>
      <c r="I45" s="226">
        <f t="shared" si="1"/>
        <v>1922</v>
      </c>
    </row>
    <row r="46" spans="1:9" s="30" customFormat="1" ht="21.75" customHeight="1">
      <c r="A46" s="92"/>
      <c r="B46" s="92"/>
      <c r="C46" s="107">
        <v>4410</v>
      </c>
      <c r="D46" s="48" t="s">
        <v>101</v>
      </c>
      <c r="E46" s="113">
        <v>500</v>
      </c>
      <c r="F46" s="113">
        <v>0</v>
      </c>
      <c r="G46" s="226">
        <f t="shared" si="0"/>
        <v>500</v>
      </c>
      <c r="H46" s="113">
        <v>0</v>
      </c>
      <c r="I46" s="226">
        <f t="shared" si="1"/>
        <v>500</v>
      </c>
    </row>
    <row r="47" spans="1:9" s="30" customFormat="1" ht="26.25" customHeight="1">
      <c r="A47" s="92"/>
      <c r="B47" s="92"/>
      <c r="C47" s="107">
        <v>4440</v>
      </c>
      <c r="D47" s="48" t="s">
        <v>99</v>
      </c>
      <c r="E47" s="113">
        <v>776</v>
      </c>
      <c r="F47" s="113">
        <v>0</v>
      </c>
      <c r="G47" s="226">
        <f t="shared" si="0"/>
        <v>776</v>
      </c>
      <c r="H47" s="113">
        <v>0</v>
      </c>
      <c r="I47" s="226">
        <f t="shared" si="1"/>
        <v>776</v>
      </c>
    </row>
    <row r="48" spans="1:9" s="30" customFormat="1" ht="26.25" customHeight="1">
      <c r="A48" s="92"/>
      <c r="B48" s="92"/>
      <c r="C48" s="107">
        <v>4740</v>
      </c>
      <c r="D48" s="48" t="s">
        <v>290</v>
      </c>
      <c r="E48" s="113">
        <v>200</v>
      </c>
      <c r="F48" s="113">
        <v>0</v>
      </c>
      <c r="G48" s="226">
        <f t="shared" si="0"/>
        <v>200</v>
      </c>
      <c r="H48" s="113">
        <v>0</v>
      </c>
      <c r="I48" s="226">
        <f t="shared" si="1"/>
        <v>200</v>
      </c>
    </row>
    <row r="49" spans="1:9" s="9" customFormat="1" ht="24.75" customHeight="1">
      <c r="A49" s="40" t="s">
        <v>135</v>
      </c>
      <c r="B49" s="6"/>
      <c r="C49" s="6"/>
      <c r="D49" s="25" t="s">
        <v>69</v>
      </c>
      <c r="E49" s="20">
        <f>SUM(E50)</f>
        <v>47000</v>
      </c>
      <c r="F49" s="20">
        <f>SUM(F50)</f>
        <v>0</v>
      </c>
      <c r="G49" s="158">
        <f t="shared" si="0"/>
        <v>47000</v>
      </c>
      <c r="H49" s="20">
        <f>SUM(H50)</f>
        <v>0</v>
      </c>
      <c r="I49" s="158">
        <f t="shared" si="1"/>
        <v>47000</v>
      </c>
    </row>
    <row r="50" spans="1:9" s="30" customFormat="1" ht="22.5">
      <c r="A50" s="92"/>
      <c r="B50" s="92" t="s">
        <v>139</v>
      </c>
      <c r="C50" s="64"/>
      <c r="D50" s="15" t="s">
        <v>140</v>
      </c>
      <c r="E50" s="106">
        <f>SUM(E51:E53)</f>
        <v>47000</v>
      </c>
      <c r="F50" s="106">
        <f>SUM(F51:F53)</f>
        <v>0</v>
      </c>
      <c r="G50" s="226">
        <f t="shared" si="0"/>
        <v>47000</v>
      </c>
      <c r="H50" s="106">
        <f>SUM(H51:H53)</f>
        <v>0</v>
      </c>
      <c r="I50" s="226">
        <f t="shared" si="1"/>
        <v>47000</v>
      </c>
    </row>
    <row r="51" spans="1:9" s="30" customFormat="1" ht="33.75">
      <c r="A51" s="92"/>
      <c r="B51" s="92"/>
      <c r="C51" s="64">
        <v>2630</v>
      </c>
      <c r="D51" s="15" t="s">
        <v>295</v>
      </c>
      <c r="E51" s="106">
        <v>36000</v>
      </c>
      <c r="F51" s="106">
        <v>0</v>
      </c>
      <c r="G51" s="226">
        <f t="shared" si="0"/>
        <v>36000</v>
      </c>
      <c r="H51" s="106">
        <v>0</v>
      </c>
      <c r="I51" s="226">
        <f t="shared" si="1"/>
        <v>36000</v>
      </c>
    </row>
    <row r="52" spans="1:9" s="30" customFormat="1" ht="21" customHeight="1">
      <c r="A52" s="92"/>
      <c r="B52" s="92"/>
      <c r="C52" s="64">
        <v>4210</v>
      </c>
      <c r="D52" s="15" t="s">
        <v>103</v>
      </c>
      <c r="E52" s="113">
        <v>5500</v>
      </c>
      <c r="F52" s="113">
        <v>0</v>
      </c>
      <c r="G52" s="226">
        <f t="shared" si="0"/>
        <v>5500</v>
      </c>
      <c r="H52" s="113">
        <v>0</v>
      </c>
      <c r="I52" s="226">
        <f t="shared" si="1"/>
        <v>5500</v>
      </c>
    </row>
    <row r="53" spans="1:9" s="30" customFormat="1" ht="21.75" customHeight="1">
      <c r="A53" s="64"/>
      <c r="B53" s="64"/>
      <c r="C53" s="64">
        <v>4300</v>
      </c>
      <c r="D53" s="15" t="s">
        <v>90</v>
      </c>
      <c r="E53" s="113">
        <f>5500</f>
        <v>5500</v>
      </c>
      <c r="F53" s="113">
        <v>0</v>
      </c>
      <c r="G53" s="226">
        <f t="shared" si="0"/>
        <v>5500</v>
      </c>
      <c r="H53" s="113">
        <v>0</v>
      </c>
      <c r="I53" s="226">
        <f t="shared" si="1"/>
        <v>5500</v>
      </c>
    </row>
    <row r="54" spans="1:9" s="9" customFormat="1" ht="21.75" customHeight="1">
      <c r="A54" s="40" t="s">
        <v>158</v>
      </c>
      <c r="B54" s="6"/>
      <c r="C54" s="6"/>
      <c r="D54" s="25" t="s">
        <v>76</v>
      </c>
      <c r="E54" s="20">
        <f>SUM(E55)</f>
        <v>20000</v>
      </c>
      <c r="F54" s="20">
        <f>SUM(F55)</f>
        <v>0</v>
      </c>
      <c r="G54" s="158">
        <f t="shared" si="0"/>
        <v>20000</v>
      </c>
      <c r="H54" s="20">
        <f>SUM(H55)</f>
        <v>0</v>
      </c>
      <c r="I54" s="158">
        <f t="shared" si="1"/>
        <v>20000</v>
      </c>
    </row>
    <row r="55" spans="1:9" s="30" customFormat="1" ht="24" customHeight="1">
      <c r="A55" s="64"/>
      <c r="B55" s="102">
        <v>92605</v>
      </c>
      <c r="C55" s="64"/>
      <c r="D55" s="15" t="s">
        <v>77</v>
      </c>
      <c r="E55" s="113">
        <f>SUM(E56)</f>
        <v>20000</v>
      </c>
      <c r="F55" s="113">
        <f>SUM(F56)</f>
        <v>0</v>
      </c>
      <c r="G55" s="226">
        <f t="shared" si="0"/>
        <v>20000</v>
      </c>
      <c r="H55" s="113">
        <f>SUM(H56)</f>
        <v>0</v>
      </c>
      <c r="I55" s="226">
        <f t="shared" si="1"/>
        <v>20000</v>
      </c>
    </row>
    <row r="56" spans="1:9" s="30" customFormat="1" ht="23.25" customHeight="1">
      <c r="A56" s="64"/>
      <c r="B56" s="102"/>
      <c r="C56" s="64">
        <v>4170</v>
      </c>
      <c r="D56" s="15" t="s">
        <v>225</v>
      </c>
      <c r="E56" s="113">
        <v>20000</v>
      </c>
      <c r="F56" s="113">
        <v>0</v>
      </c>
      <c r="G56" s="226">
        <f t="shared" si="0"/>
        <v>20000</v>
      </c>
      <c r="H56" s="113">
        <v>0</v>
      </c>
      <c r="I56" s="226">
        <f t="shared" si="1"/>
        <v>20000</v>
      </c>
    </row>
    <row r="57" spans="1:9" s="30" customFormat="1" ht="21.75" customHeight="1" hidden="1">
      <c r="A57" s="64"/>
      <c r="B57" s="102"/>
      <c r="C57" s="64">
        <v>4300</v>
      </c>
      <c r="D57" s="15" t="s">
        <v>90</v>
      </c>
      <c r="E57" s="113">
        <v>10000</v>
      </c>
      <c r="F57" s="113">
        <v>10000</v>
      </c>
      <c r="G57" s="226">
        <f t="shared" si="0"/>
        <v>20000</v>
      </c>
      <c r="H57" s="113">
        <v>10000</v>
      </c>
      <c r="I57" s="226">
        <f t="shared" si="1"/>
        <v>30000</v>
      </c>
    </row>
    <row r="58" spans="1:9" s="51" customFormat="1" ht="22.5" customHeight="1">
      <c r="A58" s="151"/>
      <c r="B58" s="151"/>
      <c r="C58" s="151"/>
      <c r="D58" s="7" t="s">
        <v>78</v>
      </c>
      <c r="E58" s="20">
        <f>E31+E16+E49+E54</f>
        <v>290000</v>
      </c>
      <c r="F58" s="20">
        <f>F31+F16+F49+F54</f>
        <v>0</v>
      </c>
      <c r="G58" s="158">
        <f t="shared" si="0"/>
        <v>290000</v>
      </c>
      <c r="H58" s="20">
        <f>H31+H16+H49+H54</f>
        <v>0</v>
      </c>
      <c r="I58" s="158">
        <f t="shared" si="1"/>
        <v>290000</v>
      </c>
    </row>
  </sheetData>
  <mergeCells count="3">
    <mergeCell ref="A5:D5"/>
    <mergeCell ref="A7:D7"/>
    <mergeCell ref="A14:D14"/>
  </mergeCells>
  <printOptions horizontalCentered="1"/>
  <pageMargins left="0.5118110236220472" right="0.5118110236220472" top="0.7874015748031497" bottom="0.7874015748031497" header="0.5118110236220472" footer="0.31496062992125984"/>
  <pageSetup horizontalDpi="600" verticalDpi="600" orientation="portrait" paperSize="9" r:id="rId1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A11">
      <selection activeCell="A1" sqref="A1:X16"/>
    </sheetView>
  </sheetViews>
  <sheetFormatPr defaultColWidth="9.00390625" defaultRowHeight="12.75"/>
  <cols>
    <col min="1" max="1" width="5.125" style="30" customWidth="1"/>
    <col min="2" max="2" width="27.75390625" style="30" customWidth="1"/>
    <col min="3" max="4" width="10.00390625" style="30" hidden="1" customWidth="1"/>
    <col min="5" max="5" width="9.75390625" style="30" hidden="1" customWidth="1"/>
    <col min="6" max="6" width="9.25390625" style="30" hidden="1" customWidth="1"/>
    <col min="7" max="8" width="11.25390625" style="30" hidden="1" customWidth="1"/>
    <col min="9" max="9" width="17.125" style="30" hidden="1" customWidth="1"/>
    <col min="10" max="10" width="9.125" style="30" hidden="1" customWidth="1"/>
    <col min="11" max="12" width="11.25390625" style="30" hidden="1" customWidth="1"/>
    <col min="13" max="13" width="13.625" style="30" hidden="1" customWidth="1"/>
    <col min="14" max="14" width="12.875" style="30" hidden="1" customWidth="1"/>
    <col min="15" max="15" width="12.375" style="30" hidden="1" customWidth="1"/>
    <col min="16" max="16" width="0.12890625" style="30" hidden="1" customWidth="1"/>
    <col min="17" max="17" width="10.125" style="30" hidden="1" customWidth="1"/>
    <col min="18" max="18" width="10.75390625" style="30" hidden="1" customWidth="1"/>
    <col min="19" max="20" width="11.25390625" style="30" bestFit="1" customWidth="1"/>
    <col min="21" max="21" width="10.125" style="30" customWidth="1"/>
    <col min="22" max="22" width="10.75390625" style="30" customWidth="1"/>
    <col min="23" max="24" width="11.25390625" style="30" customWidth="1"/>
  </cols>
  <sheetData>
    <row r="1" spans="3:24" ht="12.75">
      <c r="C1" s="74"/>
      <c r="G1" s="130" t="s">
        <v>251</v>
      </c>
      <c r="H1" s="74"/>
      <c r="I1" s="74" t="s">
        <v>280</v>
      </c>
      <c r="J1" s="130"/>
      <c r="K1" s="130"/>
      <c r="L1" s="74"/>
      <c r="M1" s="74"/>
      <c r="N1" s="130"/>
      <c r="O1" s="130"/>
      <c r="P1" s="130"/>
      <c r="Q1" s="74"/>
      <c r="R1" s="130" t="s">
        <v>474</v>
      </c>
      <c r="S1" s="130"/>
      <c r="T1" s="74"/>
      <c r="U1" s="74"/>
      <c r="V1" s="130" t="s">
        <v>544</v>
      </c>
      <c r="W1" s="130"/>
      <c r="X1" s="74"/>
    </row>
    <row r="2" spans="3:24" ht="12.75">
      <c r="C2" s="74"/>
      <c r="G2" s="130" t="s">
        <v>250</v>
      </c>
      <c r="H2" s="74"/>
      <c r="I2" s="74" t="s">
        <v>406</v>
      </c>
      <c r="J2" s="130"/>
      <c r="K2" s="130"/>
      <c r="L2" s="74"/>
      <c r="M2" s="74"/>
      <c r="N2" s="130"/>
      <c r="O2" s="130"/>
      <c r="P2" s="130"/>
      <c r="Q2" s="74"/>
      <c r="R2" s="130" t="s">
        <v>411</v>
      </c>
      <c r="S2" s="130"/>
      <c r="T2" s="74"/>
      <c r="U2" s="74"/>
      <c r="V2" s="130" t="s">
        <v>520</v>
      </c>
      <c r="W2" s="130"/>
      <c r="X2" s="74"/>
    </row>
    <row r="3" spans="3:24" ht="12.75">
      <c r="C3" s="74"/>
      <c r="G3" s="130" t="s">
        <v>244</v>
      </c>
      <c r="H3" s="74"/>
      <c r="I3" s="74" t="s">
        <v>169</v>
      </c>
      <c r="J3" s="130"/>
      <c r="K3" s="130"/>
      <c r="L3" s="74"/>
      <c r="M3" s="74"/>
      <c r="N3" s="130"/>
      <c r="O3" s="130"/>
      <c r="P3" s="130"/>
      <c r="Q3" s="74"/>
      <c r="R3" s="130" t="s">
        <v>466</v>
      </c>
      <c r="S3" s="130"/>
      <c r="T3" s="74"/>
      <c r="U3" s="74"/>
      <c r="V3" s="130" t="s">
        <v>474</v>
      </c>
      <c r="W3" s="130"/>
      <c r="X3" s="74"/>
    </row>
    <row r="4" spans="3:24" ht="12.75">
      <c r="C4" s="74"/>
      <c r="G4" s="130" t="s">
        <v>245</v>
      </c>
      <c r="H4" s="74"/>
      <c r="I4" s="74" t="s">
        <v>400</v>
      </c>
      <c r="J4" s="130"/>
      <c r="K4" s="130"/>
      <c r="L4" s="74"/>
      <c r="M4" s="74"/>
      <c r="N4" s="130"/>
      <c r="O4" s="130"/>
      <c r="P4" s="130"/>
      <c r="Q4" s="74"/>
      <c r="R4" s="130" t="s">
        <v>413</v>
      </c>
      <c r="S4" s="130"/>
      <c r="T4" s="74"/>
      <c r="U4" s="74"/>
      <c r="V4" s="130" t="s">
        <v>477</v>
      </c>
      <c r="W4" s="130"/>
      <c r="X4" s="74"/>
    </row>
    <row r="5" spans="3:24" ht="12.75">
      <c r="C5" s="74"/>
      <c r="G5" s="130"/>
      <c r="H5" s="74"/>
      <c r="I5" s="74"/>
      <c r="J5" s="130"/>
      <c r="K5" s="130"/>
      <c r="L5" s="74"/>
      <c r="M5" s="74"/>
      <c r="N5" s="130"/>
      <c r="O5" s="130"/>
      <c r="P5" s="130"/>
      <c r="Q5" s="74"/>
      <c r="R5" s="130"/>
      <c r="S5" s="130"/>
      <c r="T5" s="74"/>
      <c r="U5" s="74"/>
      <c r="V5" s="130"/>
      <c r="W5" s="130"/>
      <c r="X5" s="74"/>
    </row>
    <row r="6" spans="1:21" s="36" customFormat="1" ht="21.75" customHeight="1">
      <c r="A6" s="285" t="s">
        <v>434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</row>
    <row r="7" spans="1:21" s="36" customFormat="1" ht="12" customHeight="1">
      <c r="A7" s="252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U7" s="252"/>
    </row>
    <row r="8" spans="1:24" s="9" customFormat="1" ht="20.25" customHeight="1">
      <c r="A8" s="286" t="s">
        <v>2</v>
      </c>
      <c r="B8" s="286" t="s">
        <v>3</v>
      </c>
      <c r="C8" s="287" t="s">
        <v>160</v>
      </c>
      <c r="D8" s="287"/>
      <c r="E8" s="287" t="s">
        <v>237</v>
      </c>
      <c r="F8" s="287"/>
      <c r="G8" s="287" t="s">
        <v>159</v>
      </c>
      <c r="H8" s="287"/>
      <c r="I8" s="287" t="s">
        <v>237</v>
      </c>
      <c r="J8" s="287"/>
      <c r="K8" s="286" t="s">
        <v>437</v>
      </c>
      <c r="L8" s="286"/>
      <c r="M8" s="287" t="s">
        <v>237</v>
      </c>
      <c r="N8" s="287"/>
      <c r="O8" s="287" t="s">
        <v>243</v>
      </c>
      <c r="P8" s="287"/>
      <c r="Q8" s="287" t="s">
        <v>237</v>
      </c>
      <c r="R8" s="287"/>
      <c r="S8" s="286" t="s">
        <v>437</v>
      </c>
      <c r="T8" s="286"/>
      <c r="U8" s="287" t="s">
        <v>237</v>
      </c>
      <c r="V8" s="287"/>
      <c r="W8" s="286" t="s">
        <v>243</v>
      </c>
      <c r="X8" s="286"/>
    </row>
    <row r="9" spans="1:24" s="9" customFormat="1" ht="21" customHeight="1">
      <c r="A9" s="286"/>
      <c r="B9" s="286"/>
      <c r="C9" s="134" t="s">
        <v>161</v>
      </c>
      <c r="D9" s="134" t="s">
        <v>162</v>
      </c>
      <c r="E9" s="134" t="s">
        <v>161</v>
      </c>
      <c r="F9" s="134" t="s">
        <v>162</v>
      </c>
      <c r="G9" s="134" t="s">
        <v>161</v>
      </c>
      <c r="H9" s="134" t="s">
        <v>162</v>
      </c>
      <c r="I9" s="134" t="s">
        <v>161</v>
      </c>
      <c r="J9" s="134" t="s">
        <v>162</v>
      </c>
      <c r="K9" s="134" t="s">
        <v>161</v>
      </c>
      <c r="L9" s="134" t="s">
        <v>162</v>
      </c>
      <c r="M9" s="134" t="s">
        <v>161</v>
      </c>
      <c r="N9" s="134" t="s">
        <v>162</v>
      </c>
      <c r="O9" s="134" t="s">
        <v>161</v>
      </c>
      <c r="P9" s="134" t="s">
        <v>162</v>
      </c>
      <c r="Q9" s="134" t="s">
        <v>161</v>
      </c>
      <c r="R9" s="134" t="s">
        <v>162</v>
      </c>
      <c r="S9" s="134" t="s">
        <v>161</v>
      </c>
      <c r="T9" s="134" t="s">
        <v>162</v>
      </c>
      <c r="U9" s="134" t="s">
        <v>161</v>
      </c>
      <c r="V9" s="134" t="s">
        <v>162</v>
      </c>
      <c r="W9" s="134" t="s">
        <v>161</v>
      </c>
      <c r="X9" s="134" t="s">
        <v>162</v>
      </c>
    </row>
    <row r="10" spans="1:24" s="9" customFormat="1" ht="49.5" customHeight="1" hidden="1">
      <c r="A10" s="2">
        <v>903</v>
      </c>
      <c r="B10" s="54" t="s">
        <v>257</v>
      </c>
      <c r="C10" s="134"/>
      <c r="D10" s="134"/>
      <c r="E10" s="134"/>
      <c r="F10" s="134"/>
      <c r="G10" s="134"/>
      <c r="H10" s="134"/>
      <c r="I10" s="134"/>
      <c r="J10" s="134"/>
      <c r="K10" s="24"/>
      <c r="L10" s="24"/>
      <c r="M10" s="24"/>
      <c r="N10" s="24"/>
      <c r="O10" s="11"/>
      <c r="P10" s="11"/>
      <c r="Q10" s="134"/>
      <c r="R10" s="134"/>
      <c r="S10" s="24"/>
      <c r="T10" s="24"/>
      <c r="U10" s="134"/>
      <c r="V10" s="134"/>
      <c r="W10" s="24"/>
      <c r="X10" s="24"/>
    </row>
    <row r="11" spans="1:24" s="9" customFormat="1" ht="49.5" customHeight="1">
      <c r="A11" s="2">
        <v>952</v>
      </c>
      <c r="B11" s="54" t="s">
        <v>170</v>
      </c>
      <c r="C11" s="11">
        <v>5000000</v>
      </c>
      <c r="D11" s="11">
        <v>0</v>
      </c>
      <c r="E11" s="135">
        <f>452400+50000</f>
        <v>502400</v>
      </c>
      <c r="F11" s="135">
        <v>0</v>
      </c>
      <c r="G11" s="11">
        <f aca="true" t="shared" si="0" ref="G11:H14">SUM(C11+E11)</f>
        <v>5502400</v>
      </c>
      <c r="H11" s="11">
        <f t="shared" si="0"/>
        <v>0</v>
      </c>
      <c r="I11" s="11">
        <v>-53720</v>
      </c>
      <c r="J11" s="11">
        <f>SUM(F11+H11)</f>
        <v>0</v>
      </c>
      <c r="K11" s="11">
        <v>4930496</v>
      </c>
      <c r="L11" s="11">
        <v>0</v>
      </c>
      <c r="M11" s="11"/>
      <c r="N11" s="11"/>
      <c r="O11" s="11"/>
      <c r="P11" s="11"/>
      <c r="Q11" s="11">
        <v>0</v>
      </c>
      <c r="R11" s="11">
        <f>SUM(N11+P11)</f>
        <v>0</v>
      </c>
      <c r="S11" s="11">
        <f aca="true" t="shared" si="1" ref="S11:T15">SUM(K11,Q11)</f>
        <v>4930496</v>
      </c>
      <c r="T11" s="11">
        <f t="shared" si="1"/>
        <v>0</v>
      </c>
      <c r="U11" s="11">
        <v>0</v>
      </c>
      <c r="V11" s="11">
        <f>SUM(R11+T11)</f>
        <v>0</v>
      </c>
      <c r="W11" s="11">
        <f aca="true" t="shared" si="2" ref="W11:X15">SUM(S11,U11,)</f>
        <v>4930496</v>
      </c>
      <c r="X11" s="11">
        <f t="shared" si="2"/>
        <v>0</v>
      </c>
    </row>
    <row r="12" spans="1:24" s="9" customFormat="1" ht="49.5" customHeight="1">
      <c r="A12" s="2">
        <v>957</v>
      </c>
      <c r="B12" s="54" t="s">
        <v>435</v>
      </c>
      <c r="C12" s="11"/>
      <c r="D12" s="11"/>
      <c r="E12" s="135"/>
      <c r="F12" s="135"/>
      <c r="G12" s="11"/>
      <c r="H12" s="11"/>
      <c r="I12" s="11"/>
      <c r="J12" s="11"/>
      <c r="K12" s="11">
        <v>0</v>
      </c>
      <c r="L12" s="11">
        <v>0</v>
      </c>
      <c r="M12" s="11"/>
      <c r="N12" s="11"/>
      <c r="O12" s="11"/>
      <c r="P12" s="11"/>
      <c r="Q12" s="11">
        <v>970066</v>
      </c>
      <c r="R12" s="11">
        <v>0</v>
      </c>
      <c r="S12" s="11">
        <f t="shared" si="1"/>
        <v>970066</v>
      </c>
      <c r="T12" s="11">
        <f t="shared" si="1"/>
        <v>0</v>
      </c>
      <c r="U12" s="225">
        <f>153566+11000+500000</f>
        <v>664566</v>
      </c>
      <c r="V12" s="11">
        <v>0</v>
      </c>
      <c r="W12" s="11">
        <f t="shared" si="2"/>
        <v>1634632</v>
      </c>
      <c r="X12" s="11">
        <f t="shared" si="2"/>
        <v>0</v>
      </c>
    </row>
    <row r="13" spans="1:24" s="9" customFormat="1" ht="49.5" customHeight="1">
      <c r="A13" s="2">
        <v>982</v>
      </c>
      <c r="B13" s="54" t="s">
        <v>238</v>
      </c>
      <c r="C13" s="11"/>
      <c r="D13" s="11"/>
      <c r="E13" s="11"/>
      <c r="F13" s="11">
        <v>800000</v>
      </c>
      <c r="G13" s="11">
        <f t="shared" si="0"/>
        <v>0</v>
      </c>
      <c r="H13" s="11">
        <f t="shared" si="0"/>
        <v>800000</v>
      </c>
      <c r="I13" s="11">
        <f>SUM(E13+G13)</f>
        <v>0</v>
      </c>
      <c r="J13" s="11">
        <v>0</v>
      </c>
      <c r="K13" s="11">
        <v>0</v>
      </c>
      <c r="L13" s="11">
        <v>1950000</v>
      </c>
      <c r="M13" s="11"/>
      <c r="N13" s="11"/>
      <c r="O13" s="11"/>
      <c r="P13" s="11"/>
      <c r="Q13" s="11">
        <f>SUM(M13+O13)</f>
        <v>0</v>
      </c>
      <c r="R13" s="11">
        <v>0</v>
      </c>
      <c r="S13" s="11">
        <f t="shared" si="1"/>
        <v>0</v>
      </c>
      <c r="T13" s="11">
        <f t="shared" si="1"/>
        <v>1950000</v>
      </c>
      <c r="U13" s="11">
        <f>SUM(Q13+S13)</f>
        <v>0</v>
      </c>
      <c r="V13" s="11">
        <v>0</v>
      </c>
      <c r="W13" s="11">
        <f t="shared" si="2"/>
        <v>0</v>
      </c>
      <c r="X13" s="11">
        <f t="shared" si="2"/>
        <v>1950000</v>
      </c>
    </row>
    <row r="14" spans="1:24" s="9" customFormat="1" ht="49.5" customHeight="1">
      <c r="A14" s="2">
        <v>992</v>
      </c>
      <c r="B14" s="54" t="s">
        <v>164</v>
      </c>
      <c r="C14" s="11">
        <v>0</v>
      </c>
      <c r="D14" s="11">
        <v>3938785</v>
      </c>
      <c r="E14" s="11">
        <v>0</v>
      </c>
      <c r="F14" s="11">
        <v>-800000</v>
      </c>
      <c r="G14" s="11">
        <f t="shared" si="0"/>
        <v>0</v>
      </c>
      <c r="H14" s="11">
        <f t="shared" si="0"/>
        <v>3138785</v>
      </c>
      <c r="I14" s="11">
        <f>SUM(E14+G14)</f>
        <v>0</v>
      </c>
      <c r="J14" s="11">
        <v>0</v>
      </c>
      <c r="K14" s="11">
        <v>0</v>
      </c>
      <c r="L14" s="11">
        <v>2722636</v>
      </c>
      <c r="M14" s="11"/>
      <c r="N14" s="11"/>
      <c r="O14" s="11"/>
      <c r="P14" s="11"/>
      <c r="Q14" s="11">
        <f>SUM(M14+O14)</f>
        <v>0</v>
      </c>
      <c r="R14" s="11">
        <v>171700</v>
      </c>
      <c r="S14" s="11">
        <f t="shared" si="1"/>
        <v>0</v>
      </c>
      <c r="T14" s="11">
        <f t="shared" si="1"/>
        <v>2894336</v>
      </c>
      <c r="U14" s="11">
        <f>SUM(Q14+S14)</f>
        <v>0</v>
      </c>
      <c r="V14" s="11"/>
      <c r="W14" s="11">
        <f t="shared" si="2"/>
        <v>0</v>
      </c>
      <c r="X14" s="11">
        <f t="shared" si="2"/>
        <v>2894336</v>
      </c>
    </row>
    <row r="15" spans="2:24" s="9" customFormat="1" ht="30" customHeight="1">
      <c r="B15" s="2" t="s">
        <v>78</v>
      </c>
      <c r="C15" s="288">
        <f>SUM(C11:C14)-SUM(D11:D14)</f>
        <v>1061215</v>
      </c>
      <c r="D15" s="288"/>
      <c r="E15" s="288">
        <f>SUM(E11:E14)-SUM(F11:F14)</f>
        <v>502400</v>
      </c>
      <c r="F15" s="288"/>
      <c r="G15" s="288">
        <f>SUM(G11:G14)-SUM(H11:H14)</f>
        <v>1563615</v>
      </c>
      <c r="H15" s="288"/>
      <c r="I15" s="288">
        <f>SUM(I11:I14)-SUM(J11:J14)</f>
        <v>-53720</v>
      </c>
      <c r="J15" s="288"/>
      <c r="K15" s="23">
        <f>K10+K11+K13+K14</f>
        <v>4930496</v>
      </c>
      <c r="L15" s="23">
        <f>L10+L11+L13+L14</f>
        <v>4672636</v>
      </c>
      <c r="M15" s="288"/>
      <c r="N15" s="288"/>
      <c r="O15" s="288"/>
      <c r="P15" s="288"/>
      <c r="Q15" s="23">
        <f>SUM(Q11:Q14)</f>
        <v>970066</v>
      </c>
      <c r="R15" s="23">
        <f>SUM(R11:R14)</f>
        <v>171700</v>
      </c>
      <c r="S15" s="39">
        <f t="shared" si="1"/>
        <v>5900562</v>
      </c>
      <c r="T15" s="39">
        <f t="shared" si="1"/>
        <v>4844336</v>
      </c>
      <c r="U15" s="23">
        <f>SUM(U11:U14)</f>
        <v>664566</v>
      </c>
      <c r="V15" s="23">
        <f>SUM(V11:V14)</f>
        <v>0</v>
      </c>
      <c r="W15" s="39">
        <f t="shared" si="2"/>
        <v>6565128</v>
      </c>
      <c r="X15" s="39">
        <f t="shared" si="2"/>
        <v>4844336</v>
      </c>
    </row>
    <row r="16" spans="2:24" ht="30" customHeight="1">
      <c r="B16" s="2" t="s">
        <v>163</v>
      </c>
      <c r="C16" s="70"/>
      <c r="D16" s="70"/>
      <c r="E16" s="70"/>
      <c r="F16" s="70"/>
      <c r="G16" s="70"/>
      <c r="H16" s="70"/>
      <c r="I16" s="70"/>
      <c r="J16" s="70"/>
      <c r="K16" s="289">
        <f>K15-L15</f>
        <v>257860</v>
      </c>
      <c r="L16" s="275"/>
      <c r="Q16" s="289">
        <f>SUM(Q15-R15)</f>
        <v>798366</v>
      </c>
      <c r="R16" s="275"/>
      <c r="S16" s="289">
        <f>S15-T15</f>
        <v>1056226</v>
      </c>
      <c r="T16" s="275"/>
      <c r="U16" s="289">
        <f>SUM(U11:U14)-SUM(V11:V14)</f>
        <v>664566</v>
      </c>
      <c r="V16" s="275"/>
      <c r="W16" s="289">
        <f>W15-X15</f>
        <v>1720792</v>
      </c>
      <c r="X16" s="275"/>
    </row>
    <row r="19" spans="11:24" ht="12.75">
      <c r="K19" s="155"/>
      <c r="L19" s="155" t="s">
        <v>277</v>
      </c>
      <c r="S19" s="155"/>
      <c r="T19" s="155" t="s">
        <v>277</v>
      </c>
      <c r="W19" s="155"/>
      <c r="X19" s="155" t="s">
        <v>277</v>
      </c>
    </row>
    <row r="20" spans="11:23" ht="12.75">
      <c r="K20" s="155"/>
      <c r="S20" s="155"/>
      <c r="W20" s="155"/>
    </row>
    <row r="21" spans="11:23" ht="12.75">
      <c r="K21" s="155"/>
      <c r="S21" s="155"/>
      <c r="W21" s="155"/>
    </row>
    <row r="22" spans="11:23" ht="12.75">
      <c r="K22" s="155"/>
      <c r="S22" s="155"/>
      <c r="W22" s="155"/>
    </row>
    <row r="23" spans="11:23" ht="12.75">
      <c r="K23" s="155"/>
      <c r="S23" s="155"/>
      <c r="W23" s="155"/>
    </row>
    <row r="24" spans="11:24" ht="12.75">
      <c r="K24" s="155"/>
      <c r="L24" s="155"/>
      <c r="S24" s="155"/>
      <c r="T24" s="155"/>
      <c r="W24" s="155"/>
      <c r="X24" s="155"/>
    </row>
    <row r="25" spans="11:24" ht="12.75">
      <c r="K25" s="155"/>
      <c r="L25" s="155"/>
      <c r="S25" s="155"/>
      <c r="T25" s="155"/>
      <c r="W25" s="155"/>
      <c r="X25" s="155"/>
    </row>
    <row r="26" spans="11:24" ht="12.75">
      <c r="K26" s="155"/>
      <c r="L26" s="155"/>
      <c r="S26" s="155"/>
      <c r="T26" s="155"/>
      <c r="W26" s="155"/>
      <c r="X26" s="155"/>
    </row>
    <row r="27" spans="11:24" ht="12.75">
      <c r="K27" s="155"/>
      <c r="L27" s="155"/>
      <c r="S27" s="155"/>
      <c r="T27" s="155"/>
      <c r="W27" s="155"/>
      <c r="X27" s="155"/>
    </row>
    <row r="28" spans="11:24" ht="12.75">
      <c r="K28" s="155"/>
      <c r="L28" s="155"/>
      <c r="S28" s="155"/>
      <c r="T28" s="155"/>
      <c r="W28" s="155"/>
      <c r="X28" s="155"/>
    </row>
    <row r="29" spans="11:24" ht="12.75">
      <c r="K29" s="155"/>
      <c r="L29" s="155"/>
      <c r="S29" s="155"/>
      <c r="T29" s="155"/>
      <c r="W29" s="155"/>
      <c r="X29" s="155"/>
    </row>
    <row r="30" spans="11:24" ht="12.75">
      <c r="K30" s="155"/>
      <c r="L30" s="155"/>
      <c r="S30" s="155"/>
      <c r="T30" s="155"/>
      <c r="W30" s="155"/>
      <c r="X30" s="155"/>
    </row>
    <row r="31" spans="11:24" ht="12.75">
      <c r="K31" s="155"/>
      <c r="L31" s="155"/>
      <c r="S31" s="155"/>
      <c r="T31" s="155"/>
      <c r="W31" s="155"/>
      <c r="X31" s="155"/>
    </row>
    <row r="32" spans="11:24" ht="12.75">
      <c r="K32" s="155"/>
      <c r="L32" s="155"/>
      <c r="S32" s="155"/>
      <c r="T32" s="155"/>
      <c r="W32" s="155"/>
      <c r="X32" s="155"/>
    </row>
    <row r="33" spans="11:24" ht="12.75">
      <c r="K33" s="155"/>
      <c r="L33" s="155"/>
      <c r="S33" s="155"/>
      <c r="T33" s="155"/>
      <c r="W33" s="155"/>
      <c r="X33" s="155"/>
    </row>
    <row r="34" spans="11:24" ht="12.75">
      <c r="K34" s="155"/>
      <c r="L34" s="155"/>
      <c r="S34" s="155"/>
      <c r="T34" s="155"/>
      <c r="W34" s="155"/>
      <c r="X34" s="155"/>
    </row>
    <row r="35" spans="11:24" ht="12.75">
      <c r="K35" s="155"/>
      <c r="L35" s="155"/>
      <c r="S35" s="155"/>
      <c r="T35" s="155"/>
      <c r="W35" s="155"/>
      <c r="X35" s="155"/>
    </row>
    <row r="36" spans="11:24" ht="12.75">
      <c r="K36" s="155"/>
      <c r="L36" s="155"/>
      <c r="S36" s="155"/>
      <c r="T36" s="155"/>
      <c r="W36" s="155"/>
      <c r="X36" s="155"/>
    </row>
    <row r="37" spans="11:24" ht="12.75">
      <c r="K37" s="155"/>
      <c r="L37" s="155"/>
      <c r="S37" s="155"/>
      <c r="T37" s="155"/>
      <c r="W37" s="155"/>
      <c r="X37" s="155"/>
    </row>
    <row r="38" spans="11:24" ht="12.75">
      <c r="K38" s="155"/>
      <c r="L38" s="155"/>
      <c r="S38" s="155"/>
      <c r="T38" s="155"/>
      <c r="W38" s="155"/>
      <c r="X38" s="155"/>
    </row>
    <row r="39" spans="11:24" ht="12.75">
      <c r="K39" s="155"/>
      <c r="L39" s="155"/>
      <c r="S39" s="155"/>
      <c r="T39" s="155"/>
      <c r="W39" s="155"/>
      <c r="X39" s="155"/>
    </row>
    <row r="40" spans="11:24" ht="12.75">
      <c r="K40" s="155"/>
      <c r="L40" s="155"/>
      <c r="S40" s="155"/>
      <c r="T40" s="155"/>
      <c r="W40" s="155"/>
      <c r="X40" s="155"/>
    </row>
    <row r="41" spans="12:24" ht="12.75">
      <c r="L41" s="155"/>
      <c r="T41" s="155"/>
      <c r="X41" s="155"/>
    </row>
  </sheetData>
  <mergeCells count="25">
    <mergeCell ref="W8:X8"/>
    <mergeCell ref="U16:V16"/>
    <mergeCell ref="W16:X16"/>
    <mergeCell ref="S16:T16"/>
    <mergeCell ref="Q16:R16"/>
    <mergeCell ref="K16:L16"/>
    <mergeCell ref="M8:N8"/>
    <mergeCell ref="O8:P8"/>
    <mergeCell ref="M15:N15"/>
    <mergeCell ref="O15:P15"/>
    <mergeCell ref="Q8:R8"/>
    <mergeCell ref="I15:J15"/>
    <mergeCell ref="K8:L8"/>
    <mergeCell ref="C15:D15"/>
    <mergeCell ref="E8:F8"/>
    <mergeCell ref="E15:F15"/>
    <mergeCell ref="G8:H8"/>
    <mergeCell ref="G15:H15"/>
    <mergeCell ref="A6:U6"/>
    <mergeCell ref="A8:A9"/>
    <mergeCell ref="B8:B9"/>
    <mergeCell ref="C8:D8"/>
    <mergeCell ref="I8:J8"/>
    <mergeCell ref="S8:T8"/>
    <mergeCell ref="U8:V8"/>
  </mergeCell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J33" sqref="J33"/>
    </sheetView>
  </sheetViews>
  <sheetFormatPr defaultColWidth="9.00390625" defaultRowHeight="12.75"/>
  <cols>
    <col min="1" max="2" width="4.625" style="0" customWidth="1"/>
    <col min="3" max="3" width="33.625" style="0" customWidth="1"/>
    <col min="4" max="4" width="12.75390625" style="0" customWidth="1"/>
    <col min="5" max="5" width="10.75390625" style="0" customWidth="1"/>
    <col min="6" max="6" width="12.75390625" style="0" customWidth="1"/>
    <col min="7" max="8" width="10.75390625" style="0" customWidth="1"/>
    <col min="9" max="9" width="12.00390625" style="0" customWidth="1"/>
  </cols>
  <sheetData>
    <row r="1" spans="7:8" ht="12.75">
      <c r="G1" s="130" t="s">
        <v>538</v>
      </c>
      <c r="H1" s="130"/>
    </row>
    <row r="2" spans="7:8" ht="12.75">
      <c r="G2" s="130" t="s">
        <v>520</v>
      </c>
      <c r="H2" s="130"/>
    </row>
    <row r="3" spans="7:8" ht="12.75">
      <c r="G3" s="130" t="s">
        <v>532</v>
      </c>
      <c r="H3" s="130"/>
    </row>
    <row r="4" spans="7:8" ht="12.75">
      <c r="G4" s="130" t="s">
        <v>418</v>
      </c>
      <c r="H4" s="130"/>
    </row>
    <row r="7" spans="1:2" ht="15">
      <c r="A7" s="181" t="s">
        <v>533</v>
      </c>
      <c r="B7" s="181"/>
    </row>
    <row r="9" spans="1:9" s="183" customFormat="1" ht="22.5" customHeight="1">
      <c r="A9" s="306" t="s">
        <v>331</v>
      </c>
      <c r="B9" s="294" t="s">
        <v>332</v>
      </c>
      <c r="C9" s="295"/>
      <c r="D9" s="306" t="s">
        <v>333</v>
      </c>
      <c r="E9" s="306"/>
      <c r="F9" s="292" t="s">
        <v>328</v>
      </c>
      <c r="G9" s="300"/>
      <c r="H9" s="300"/>
      <c r="I9" s="293"/>
    </row>
    <row r="10" spans="1:9" s="183" customFormat="1" ht="36">
      <c r="A10" s="306"/>
      <c r="B10" s="296"/>
      <c r="C10" s="297"/>
      <c r="D10" s="182" t="s">
        <v>334</v>
      </c>
      <c r="E10" s="131" t="s">
        <v>335</v>
      </c>
      <c r="F10" s="182" t="s">
        <v>334</v>
      </c>
      <c r="G10" s="131" t="s">
        <v>336</v>
      </c>
      <c r="H10" s="131" t="s">
        <v>337</v>
      </c>
      <c r="I10" s="131" t="s">
        <v>338</v>
      </c>
    </row>
    <row r="11" spans="1:9" s="185" customFormat="1" ht="14.25" customHeight="1">
      <c r="A11" s="184">
        <v>1</v>
      </c>
      <c r="B11" s="298">
        <v>2</v>
      </c>
      <c r="C11" s="299"/>
      <c r="D11" s="184">
        <v>3</v>
      </c>
      <c r="E11" s="184">
        <v>4</v>
      </c>
      <c r="F11" s="184">
        <v>5</v>
      </c>
      <c r="G11" s="184">
        <v>6</v>
      </c>
      <c r="H11" s="184">
        <v>7</v>
      </c>
      <c r="I11" s="184">
        <v>8</v>
      </c>
    </row>
    <row r="12" spans="1:10" s="13" customFormat="1" ht="28.5" customHeight="1">
      <c r="A12" s="186" t="s">
        <v>339</v>
      </c>
      <c r="B12" s="292" t="s">
        <v>537</v>
      </c>
      <c r="C12" s="293"/>
      <c r="D12" s="187">
        <f aca="true" t="shared" si="0" ref="D12:I12">SUM(D22,D23,)</f>
        <v>3250311</v>
      </c>
      <c r="E12" s="187">
        <f t="shared" si="0"/>
        <v>2634297</v>
      </c>
      <c r="F12" s="187">
        <f t="shared" si="0"/>
        <v>3250311</v>
      </c>
      <c r="G12" s="187">
        <f t="shared" si="0"/>
        <v>2317971</v>
      </c>
      <c r="H12" s="187">
        <f t="shared" si="0"/>
        <v>899940</v>
      </c>
      <c r="I12" s="187">
        <f t="shared" si="0"/>
        <v>32400</v>
      </c>
      <c r="J12" s="189"/>
    </row>
    <row r="13" spans="1:10" s="9" customFormat="1" ht="19.5" customHeight="1">
      <c r="A13" s="301" t="s">
        <v>329</v>
      </c>
      <c r="B13" s="2" t="s">
        <v>534</v>
      </c>
      <c r="C13" s="2" t="s">
        <v>397</v>
      </c>
      <c r="D13" s="246">
        <f aca="true" t="shared" si="1" ref="D13:I13">SUM(D14:D20)</f>
        <v>3240522</v>
      </c>
      <c r="E13" s="246">
        <f t="shared" si="1"/>
        <v>2624508</v>
      </c>
      <c r="F13" s="246">
        <f t="shared" si="1"/>
        <v>3240522</v>
      </c>
      <c r="G13" s="246">
        <f t="shared" si="1"/>
        <v>2317971</v>
      </c>
      <c r="H13" s="246">
        <f t="shared" si="1"/>
        <v>890151</v>
      </c>
      <c r="I13" s="246">
        <f t="shared" si="1"/>
        <v>32400</v>
      </c>
      <c r="J13" s="247"/>
    </row>
    <row r="14" spans="1:10" ht="12.75" customHeight="1" hidden="1">
      <c r="A14" s="302"/>
      <c r="B14" s="2"/>
      <c r="C14" s="260" t="s">
        <v>340</v>
      </c>
      <c r="D14" s="193">
        <v>963233</v>
      </c>
      <c r="E14" s="193">
        <v>773819</v>
      </c>
      <c r="F14" s="193">
        <f aca="true" t="shared" si="2" ref="F14:F20">SUM(G14:I14)</f>
        <v>963233</v>
      </c>
      <c r="G14" s="193">
        <v>711241</v>
      </c>
      <c r="H14" s="193">
        <f>251992-8800</f>
        <v>243192</v>
      </c>
      <c r="I14" s="193">
        <v>8800</v>
      </c>
      <c r="J14" s="194"/>
    </row>
    <row r="15" spans="1:10" ht="12.75" customHeight="1" hidden="1">
      <c r="A15" s="302"/>
      <c r="B15" s="2"/>
      <c r="C15" s="260" t="s">
        <v>341</v>
      </c>
      <c r="D15" s="193">
        <v>551035</v>
      </c>
      <c r="E15" s="193">
        <v>429051</v>
      </c>
      <c r="F15" s="193">
        <f t="shared" si="2"/>
        <v>551035</v>
      </c>
      <c r="G15" s="193">
        <v>408278</v>
      </c>
      <c r="H15" s="193">
        <v>142757</v>
      </c>
      <c r="I15" s="193">
        <v>0</v>
      </c>
      <c r="J15" s="194"/>
    </row>
    <row r="16" spans="1:10" ht="12.75" customHeight="1" hidden="1">
      <c r="A16" s="302"/>
      <c r="B16" s="2"/>
      <c r="C16" s="260" t="s">
        <v>342</v>
      </c>
      <c r="D16" s="193">
        <v>671315</v>
      </c>
      <c r="E16" s="193">
        <v>546911</v>
      </c>
      <c r="F16" s="193">
        <f t="shared" si="2"/>
        <v>671315</v>
      </c>
      <c r="G16" s="193">
        <v>484435</v>
      </c>
      <c r="H16" s="193">
        <f>186880-3000</f>
        <v>183880</v>
      </c>
      <c r="I16" s="193">
        <v>3000</v>
      </c>
      <c r="J16" s="194"/>
    </row>
    <row r="17" spans="1:10" ht="12.75" customHeight="1" hidden="1">
      <c r="A17" s="302"/>
      <c r="B17" s="2"/>
      <c r="C17" s="260" t="s">
        <v>343</v>
      </c>
      <c r="D17" s="193">
        <v>560345</v>
      </c>
      <c r="E17" s="193">
        <v>433631</v>
      </c>
      <c r="F17" s="193">
        <f t="shared" si="2"/>
        <v>560345</v>
      </c>
      <c r="G17" s="193">
        <v>373885</v>
      </c>
      <c r="H17" s="193">
        <f>186460-12600</f>
        <v>173860</v>
      </c>
      <c r="I17" s="193">
        <v>12600</v>
      </c>
      <c r="J17" s="194"/>
    </row>
    <row r="18" spans="1:10" ht="12.75" customHeight="1" hidden="1">
      <c r="A18" s="302"/>
      <c r="B18" s="2"/>
      <c r="C18" s="260" t="s">
        <v>344</v>
      </c>
      <c r="D18" s="193">
        <v>211714</v>
      </c>
      <c r="E18" s="193">
        <v>180656</v>
      </c>
      <c r="F18" s="193">
        <f t="shared" si="2"/>
        <v>211714</v>
      </c>
      <c r="G18" s="193">
        <v>163161</v>
      </c>
      <c r="H18" s="193">
        <v>48553</v>
      </c>
      <c r="I18" s="193">
        <v>0</v>
      </c>
      <c r="J18" s="194"/>
    </row>
    <row r="19" spans="1:10" ht="12.75" customHeight="1" hidden="1">
      <c r="A19" s="302"/>
      <c r="B19" s="2"/>
      <c r="C19" s="260" t="s">
        <v>345</v>
      </c>
      <c r="D19" s="193">
        <v>228033</v>
      </c>
      <c r="E19" s="193">
        <v>205593</v>
      </c>
      <c r="F19" s="193">
        <f t="shared" si="2"/>
        <v>228033</v>
      </c>
      <c r="G19" s="193">
        <v>141256</v>
      </c>
      <c r="H19" s="193">
        <f>86777-8000</f>
        <v>78777</v>
      </c>
      <c r="I19" s="193">
        <v>8000</v>
      </c>
      <c r="J19" s="194"/>
    </row>
    <row r="20" spans="1:10" ht="12.75" customHeight="1" hidden="1">
      <c r="A20" s="302"/>
      <c r="B20" s="2"/>
      <c r="C20" s="260" t="s">
        <v>346</v>
      </c>
      <c r="D20" s="193">
        <v>54847</v>
      </c>
      <c r="E20" s="193">
        <v>54847</v>
      </c>
      <c r="F20" s="193">
        <f t="shared" si="2"/>
        <v>54847</v>
      </c>
      <c r="G20" s="193">
        <v>35715</v>
      </c>
      <c r="H20" s="193">
        <v>19132</v>
      </c>
      <c r="I20" s="193">
        <v>0</v>
      </c>
      <c r="J20" s="194"/>
    </row>
    <row r="21" spans="1:10" ht="12.75">
      <c r="A21" s="302"/>
      <c r="B21" s="261" t="s">
        <v>535</v>
      </c>
      <c r="C21" s="261" t="s">
        <v>529</v>
      </c>
      <c r="D21" s="193">
        <v>500</v>
      </c>
      <c r="E21" s="193">
        <v>500</v>
      </c>
      <c r="F21" s="193">
        <f>SUM(G21:I21)</f>
        <v>500</v>
      </c>
      <c r="G21" s="193">
        <v>0</v>
      </c>
      <c r="H21" s="193">
        <v>500</v>
      </c>
      <c r="I21" s="193">
        <v>0</v>
      </c>
      <c r="J21" s="194"/>
    </row>
    <row r="22" spans="1:10" ht="17.25" customHeight="1">
      <c r="A22" s="303"/>
      <c r="B22" s="2" t="s">
        <v>536</v>
      </c>
      <c r="C22" s="2" t="s">
        <v>530</v>
      </c>
      <c r="D22" s="188">
        <f aca="true" t="shared" si="3" ref="D22:I22">SUM(D13,D21,)</f>
        <v>3241022</v>
      </c>
      <c r="E22" s="188">
        <f t="shared" si="3"/>
        <v>2625008</v>
      </c>
      <c r="F22" s="188">
        <f t="shared" si="3"/>
        <v>3241022</v>
      </c>
      <c r="G22" s="188">
        <f t="shared" si="3"/>
        <v>2317971</v>
      </c>
      <c r="H22" s="188">
        <f t="shared" si="3"/>
        <v>890651</v>
      </c>
      <c r="I22" s="188">
        <f t="shared" si="3"/>
        <v>32400</v>
      </c>
      <c r="J22" s="194"/>
    </row>
    <row r="23" spans="1:10" s="13" customFormat="1" ht="30.75" customHeight="1">
      <c r="A23" s="2" t="s">
        <v>330</v>
      </c>
      <c r="B23" s="304" t="s">
        <v>398</v>
      </c>
      <c r="C23" s="305"/>
      <c r="D23" s="188">
        <v>9289</v>
      </c>
      <c r="E23" s="188">
        <v>9289</v>
      </c>
      <c r="F23" s="188">
        <f>SUM(G23:H23)</f>
        <v>9289</v>
      </c>
      <c r="G23" s="188">
        <v>0</v>
      </c>
      <c r="H23" s="188">
        <v>9289</v>
      </c>
      <c r="I23" s="188">
        <f>SUM(I24:I30)</f>
        <v>0</v>
      </c>
      <c r="J23" s="189"/>
    </row>
    <row r="24" spans="1:10" s="13" customFormat="1" ht="30" customHeight="1">
      <c r="A24" s="186" t="s">
        <v>347</v>
      </c>
      <c r="B24" s="290" t="s">
        <v>531</v>
      </c>
      <c r="C24" s="291"/>
      <c r="D24" s="264">
        <f>SUM(D25:D31)</f>
        <v>108020</v>
      </c>
      <c r="E24" s="265">
        <v>0</v>
      </c>
      <c r="F24" s="264">
        <f>SUM(F25:F31)</f>
        <v>108020</v>
      </c>
      <c r="G24" s="265">
        <v>0</v>
      </c>
      <c r="H24" s="265">
        <f>SUM(H25:H31)</f>
        <v>108020</v>
      </c>
      <c r="I24" s="265">
        <v>0</v>
      </c>
      <c r="J24" s="189"/>
    </row>
    <row r="25" spans="1:10" ht="12.75" hidden="1">
      <c r="A25" s="196"/>
      <c r="B25" s="196"/>
      <c r="C25" s="197" t="s">
        <v>348</v>
      </c>
      <c r="D25" s="198">
        <v>1150</v>
      </c>
      <c r="E25" s="199"/>
      <c r="F25" s="198">
        <f aca="true" t="shared" si="4" ref="F25:F31">SUM(G25:I25)</f>
        <v>1150</v>
      </c>
      <c r="G25" s="199"/>
      <c r="H25" s="199">
        <v>1150</v>
      </c>
      <c r="I25" s="199"/>
      <c r="J25" s="194"/>
    </row>
    <row r="26" spans="1:10" ht="12.75" hidden="1">
      <c r="A26" s="190"/>
      <c r="B26" s="190"/>
      <c r="C26" s="191" t="s">
        <v>349</v>
      </c>
      <c r="D26" s="192">
        <v>45500</v>
      </c>
      <c r="E26" s="193"/>
      <c r="F26" s="192">
        <f t="shared" si="4"/>
        <v>45500</v>
      </c>
      <c r="G26" s="193"/>
      <c r="H26" s="193">
        <v>45500</v>
      </c>
      <c r="I26" s="193"/>
      <c r="J26" s="194"/>
    </row>
    <row r="27" spans="1:10" ht="12.75" hidden="1">
      <c r="A27" s="190"/>
      <c r="B27" s="190"/>
      <c r="C27" s="191" t="s">
        <v>350</v>
      </c>
      <c r="D27" s="192">
        <v>1740</v>
      </c>
      <c r="E27" s="193"/>
      <c r="F27" s="192">
        <f t="shared" si="4"/>
        <v>1740</v>
      </c>
      <c r="G27" s="193"/>
      <c r="H27" s="193">
        <f>1740</f>
        <v>1740</v>
      </c>
      <c r="I27" s="193"/>
      <c r="J27" s="194"/>
    </row>
    <row r="28" spans="1:10" ht="12.75" hidden="1">
      <c r="A28" s="190"/>
      <c r="B28" s="190"/>
      <c r="C28" s="191" t="s">
        <v>351</v>
      </c>
      <c r="D28" s="192">
        <v>1458</v>
      </c>
      <c r="E28" s="193"/>
      <c r="F28" s="192">
        <f t="shared" si="4"/>
        <v>1458</v>
      </c>
      <c r="G28" s="193"/>
      <c r="H28" s="193">
        <f>1458</f>
        <v>1458</v>
      </c>
      <c r="I28" s="193"/>
      <c r="J28" s="194"/>
    </row>
    <row r="29" spans="1:10" ht="12.75" hidden="1">
      <c r="A29" s="190"/>
      <c r="B29" s="190"/>
      <c r="C29" s="191" t="s">
        <v>352</v>
      </c>
      <c r="D29" s="192">
        <f>622+9510</f>
        <v>10132</v>
      </c>
      <c r="E29" s="193"/>
      <c r="F29" s="192">
        <f t="shared" si="4"/>
        <v>10132</v>
      </c>
      <c r="G29" s="193"/>
      <c r="H29" s="193">
        <f>622+9510</f>
        <v>10132</v>
      </c>
      <c r="I29" s="193"/>
      <c r="J29" s="194"/>
    </row>
    <row r="30" spans="1:10" ht="12.75" hidden="1">
      <c r="A30" s="190"/>
      <c r="B30" s="190"/>
      <c r="C30" s="191" t="s">
        <v>353</v>
      </c>
      <c r="D30" s="192">
        <f>1640+33900</f>
        <v>35540</v>
      </c>
      <c r="E30" s="193"/>
      <c r="F30" s="192">
        <f t="shared" si="4"/>
        <v>35540</v>
      </c>
      <c r="G30" s="193"/>
      <c r="H30" s="193">
        <f>1640+33900</f>
        <v>35540</v>
      </c>
      <c r="I30" s="193"/>
      <c r="J30" s="194"/>
    </row>
    <row r="31" spans="1:10" ht="12.75" hidden="1">
      <c r="A31" s="195"/>
      <c r="B31" s="195"/>
      <c r="C31" s="200" t="s">
        <v>354</v>
      </c>
      <c r="D31" s="201">
        <v>12500</v>
      </c>
      <c r="E31" s="202"/>
      <c r="F31" s="201">
        <f t="shared" si="4"/>
        <v>12500</v>
      </c>
      <c r="G31" s="202"/>
      <c r="H31" s="202">
        <v>12500</v>
      </c>
      <c r="I31" s="202"/>
      <c r="J31" s="194"/>
    </row>
    <row r="32" spans="4:10" ht="12.75">
      <c r="D32" s="194"/>
      <c r="E32" s="194"/>
      <c r="F32" s="194"/>
      <c r="G32" s="194"/>
      <c r="H32" s="194"/>
      <c r="I32" s="194"/>
      <c r="J32" s="194"/>
    </row>
  </sheetData>
  <mergeCells count="9">
    <mergeCell ref="F9:I9"/>
    <mergeCell ref="A13:A22"/>
    <mergeCell ref="B23:C23"/>
    <mergeCell ref="A9:A10"/>
    <mergeCell ref="D9:E9"/>
    <mergeCell ref="B24:C24"/>
    <mergeCell ref="B12:C12"/>
    <mergeCell ref="B9:C10"/>
    <mergeCell ref="B11:C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Zawalniak</cp:lastModifiedBy>
  <cp:lastPrinted>2007-05-07T09:00:16Z</cp:lastPrinted>
  <dcterms:created xsi:type="dcterms:W3CDTF">2002-10-21T08:56:44Z</dcterms:created>
  <dcterms:modified xsi:type="dcterms:W3CDTF">2006-11-16T11:50:59Z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