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1 " sheetId="1" r:id="rId1"/>
    <sheet name="zał. 2" sheetId="2" r:id="rId2"/>
    <sheet name="zał.3" sheetId="3" r:id="rId3"/>
    <sheet name="zał.4 " sheetId="4" r:id="rId4"/>
    <sheet name="zał.5 " sheetId="5" r:id="rId5"/>
  </sheets>
  <definedNames>
    <definedName name="_xlnm.Print_Titles" localSheetId="1">'zał. 2'!$6:$6</definedName>
    <definedName name="_xlnm.Print_Titles" localSheetId="0">'zał.1 '!$6:$6</definedName>
    <definedName name="_xlnm.Print_Titles" localSheetId="2">'zał.3'!$6:$6</definedName>
    <definedName name="_xlnm.Print_Titles" localSheetId="3">'zał.4 '!$7:$7</definedName>
    <definedName name="_xlnm.Print_Titles" localSheetId="4">'zał.5 '!$6:$6</definedName>
  </definedNames>
  <calcPr fullCalcOnLoad="1"/>
</workbook>
</file>

<file path=xl/comments1.xml><?xml version="1.0" encoding="utf-8"?>
<comments xmlns="http://schemas.openxmlformats.org/spreadsheetml/2006/main">
  <authors>
    <author>izawalniak</author>
  </authors>
  <commentList>
    <comment ref="E6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30.000 wpis dzialalność gospodarcza</t>
        </r>
      </text>
    </comment>
    <comment ref="G6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30.000 wpis dzialalność gospodarcza</t>
        </r>
      </text>
    </comment>
    <comment ref="I6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30.000 wpis dzialalność gospodarcza</t>
        </r>
      </text>
    </comment>
    <comment ref="K6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30.000 wpis dzialalność gospodarcza</t>
        </r>
      </text>
    </comment>
    <comment ref="M6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30.000 wpis dzialalność gospodarcza</t>
        </r>
      </text>
    </comment>
    <comment ref="O6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30.000 wpis dzialalność gospodarcza</t>
        </r>
      </text>
    </comment>
    <comment ref="Q6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30.000 wpis dzialalność gospodarcza</t>
        </r>
      </text>
    </comment>
    <comment ref="P6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30.000 zaj.Pasa drog.</t>
        </r>
      </text>
    </comment>
    <comment ref="S6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30.000 wpis dzialalność gospodarcza</t>
        </r>
      </text>
    </comment>
    <comment ref="U6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30.000 wpis dzialalność gospodarcza</t>
        </r>
      </text>
    </comment>
    <comment ref="T7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66.783 wyd.niewygasające</t>
        </r>
      </text>
    </comment>
    <comment ref="T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42.658 grunty rolne</t>
        </r>
      </text>
    </comment>
    <comment ref="W6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30.000 wpis dzialalność gospodarcza</t>
        </r>
      </text>
    </comment>
    <comment ref="Y6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30.000 wpis dzialalność gospodarcza</t>
        </r>
      </text>
    </comment>
  </commentList>
</comments>
</file>

<file path=xl/comments2.xml><?xml version="1.0" encoding="utf-8"?>
<comments xmlns="http://schemas.openxmlformats.org/spreadsheetml/2006/main">
  <authors>
    <author>izawalniak</author>
  </authors>
  <commentList>
    <comment ref="E45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15.000 AA</t>
        </r>
      </text>
    </comment>
    <comment ref="E45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5.000 AA</t>
        </r>
      </text>
    </comment>
    <comment ref="E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31.780 sołeckie</t>
        </r>
      </text>
    </comment>
    <comment ref="E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51.650 sołeckie</t>
        </r>
      </text>
    </comment>
    <comment ref="E3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5.600 sołeckie Wapnairnia III
</t>
        </r>
      </text>
    </comment>
    <comment ref="E31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800 sołectwo Siedlisko
</t>
        </r>
      </text>
    </comment>
    <comment ref="E38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2000 soł
</t>
        </r>
      </text>
    </comment>
    <comment ref="E39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4.200 soł.</t>
        </r>
      </text>
    </comment>
    <comment ref="E42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10.000 soł. Rychlik
2.000 Stradun
</t>
        </r>
      </text>
    </comment>
    <comment ref="E45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6.400 sołeckie</t>
        </r>
      </text>
    </comment>
    <comment ref="G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31.780 sołeckie</t>
        </r>
      </text>
    </comment>
    <comment ref="G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51.650 sołeckie</t>
        </r>
      </text>
    </comment>
    <comment ref="G3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5.600 sołeckie Wapnairnia III
</t>
        </r>
      </text>
    </comment>
    <comment ref="G31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800 sołectwo Siedlisko
</t>
        </r>
      </text>
    </comment>
    <comment ref="G38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2000 soł
</t>
        </r>
      </text>
    </comment>
    <comment ref="G39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4.200 soł.</t>
        </r>
      </text>
    </comment>
    <comment ref="G42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10.000 soł. Rychlik
2.000 Stradun
</t>
        </r>
      </text>
    </comment>
    <comment ref="G45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6.400 sołeckie</t>
        </r>
      </text>
    </comment>
    <comment ref="G45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15.000 AA</t>
        </r>
      </text>
    </comment>
    <comment ref="G45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5.000 AA</t>
        </r>
      </text>
    </comment>
    <comment ref="I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31.780 sołeckie</t>
        </r>
      </text>
    </comment>
    <comment ref="I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51.650 sołeckie</t>
        </r>
      </text>
    </comment>
    <comment ref="I3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5.600 sołeckie Wapnairnia III
</t>
        </r>
      </text>
    </comment>
    <comment ref="I31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800 sołectwo Siedlisko
</t>
        </r>
      </text>
    </comment>
    <comment ref="I38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2000 soł
</t>
        </r>
      </text>
    </comment>
    <comment ref="I39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4.200 soł.</t>
        </r>
      </text>
    </comment>
    <comment ref="I42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10.000 soł. Rychlik
2.000 Stradun
</t>
        </r>
      </text>
    </comment>
    <comment ref="I45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6.400 sołeckie</t>
        </r>
      </text>
    </comment>
    <comment ref="I45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15.000 AA</t>
        </r>
      </text>
    </comment>
    <comment ref="I45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5.000 AA</t>
        </r>
      </text>
    </comment>
    <comment ref="K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31.780 sołeckie</t>
        </r>
      </text>
    </comment>
    <comment ref="K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51.650 sołeckie</t>
        </r>
      </text>
    </comment>
    <comment ref="K3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5.600 sołeckie Wapnairnia III
</t>
        </r>
      </text>
    </comment>
    <comment ref="K31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800 sołectwo Siedlisko
</t>
        </r>
      </text>
    </comment>
    <comment ref="K38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2000 soł
</t>
        </r>
      </text>
    </comment>
    <comment ref="K39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4.200 soł.</t>
        </r>
      </text>
    </comment>
    <comment ref="K42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10.000 soł. Rychlik
2.000 Stradun
</t>
        </r>
      </text>
    </comment>
    <comment ref="K45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6.400 sołeckie</t>
        </r>
      </text>
    </comment>
    <comment ref="K45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15.000 AA</t>
        </r>
      </text>
    </comment>
    <comment ref="K45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5.000 AA</t>
        </r>
      </text>
    </comment>
    <comment ref="M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31.780 sołeckie</t>
        </r>
      </text>
    </comment>
    <comment ref="M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51.650 sołeckie</t>
        </r>
      </text>
    </comment>
    <comment ref="M3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5.600 sołeckie Wapnairnia III
</t>
        </r>
      </text>
    </comment>
    <comment ref="M31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800 sołectwo Siedlisko
</t>
        </r>
      </text>
    </comment>
    <comment ref="M38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2000 soł
</t>
        </r>
      </text>
    </comment>
    <comment ref="M39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4.200 soł.</t>
        </r>
      </text>
    </comment>
    <comment ref="M42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10.000 soł. Rychlik
2.000 Stradun
</t>
        </r>
      </text>
    </comment>
    <comment ref="M45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6.400 sołeckie</t>
        </r>
      </text>
    </comment>
    <comment ref="M45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15.000 AA</t>
        </r>
      </text>
    </comment>
    <comment ref="M45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5.000 AA</t>
        </r>
      </text>
    </comment>
    <comment ref="O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31.780 sołeckie</t>
        </r>
      </text>
    </comment>
    <comment ref="O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51.650 sołeckie</t>
        </r>
      </text>
    </comment>
    <comment ref="O3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5.600 sołeckie Wapnairnia III
</t>
        </r>
      </text>
    </comment>
    <comment ref="O31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800 sołectwo Siedlisko
</t>
        </r>
      </text>
    </comment>
    <comment ref="O38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2000 soł
</t>
        </r>
      </text>
    </comment>
    <comment ref="O39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4.200 soł.</t>
        </r>
      </text>
    </comment>
    <comment ref="O42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10.000 soł. Rychlik
2.000 Stradun
</t>
        </r>
      </text>
    </comment>
    <comment ref="O45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6.400 sołeckie</t>
        </r>
      </text>
    </comment>
    <comment ref="O45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15.000 AA</t>
        </r>
      </text>
    </comment>
    <comment ref="O45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5.000 AA</t>
        </r>
      </text>
    </comment>
    <comment ref="Q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31.780 sołeckie</t>
        </r>
      </text>
    </comment>
    <comment ref="Q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51.650 sołeckie</t>
        </r>
      </text>
    </comment>
    <comment ref="Q3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5.600 sołeckie Wapnairnia III
</t>
        </r>
      </text>
    </comment>
    <comment ref="Q31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800 sołectwo Siedlisko
</t>
        </r>
      </text>
    </comment>
    <comment ref="Q38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2000 soł
</t>
        </r>
      </text>
    </comment>
    <comment ref="Q39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4.200 soł.</t>
        </r>
      </text>
    </comment>
    <comment ref="Q42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10.000 soł. Rychlik
2.000 Stradun
</t>
        </r>
      </text>
    </comment>
    <comment ref="Q45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6.400 sołeckie</t>
        </r>
      </text>
    </comment>
    <comment ref="Q45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15.000 AA</t>
        </r>
      </text>
    </comment>
    <comment ref="Q45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5.000 AA</t>
        </r>
      </text>
    </comment>
    <comment ref="S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31.780 sołeckie</t>
        </r>
      </text>
    </comment>
    <comment ref="S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51.650 sołeckie</t>
        </r>
      </text>
    </comment>
    <comment ref="S3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5.600 sołeckie Wapnairnia III
</t>
        </r>
      </text>
    </comment>
    <comment ref="S31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800 sołectwo Siedlisko
</t>
        </r>
      </text>
    </comment>
    <comment ref="S38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2000 soł
</t>
        </r>
      </text>
    </comment>
    <comment ref="S39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4.200 soł.</t>
        </r>
      </text>
    </comment>
    <comment ref="S42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10.000 soł. Rychlik
2.000 Stradun
</t>
        </r>
      </text>
    </comment>
    <comment ref="S45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6.400 sołeckie</t>
        </r>
      </text>
    </comment>
    <comment ref="S45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15.000 AA</t>
        </r>
      </text>
    </comment>
    <comment ref="S45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5.000 AA</t>
        </r>
      </text>
    </comment>
    <comment ref="U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31.780 sołeckie</t>
        </r>
      </text>
    </comment>
    <comment ref="U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51.650 sołeckie</t>
        </r>
      </text>
    </comment>
    <comment ref="U3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5.600 sołeckie Wapnairnia III
</t>
        </r>
      </text>
    </comment>
    <comment ref="U31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800 sołectwo Siedlisko
</t>
        </r>
      </text>
    </comment>
    <comment ref="U38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2000 soł
</t>
        </r>
      </text>
    </comment>
    <comment ref="U39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4.200 soł.</t>
        </r>
      </text>
    </comment>
    <comment ref="U42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10.000 soł. Rychlik
2.000 Stradun
</t>
        </r>
      </text>
    </comment>
    <comment ref="U45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6.400 sołeckie</t>
        </r>
      </text>
    </comment>
    <comment ref="U45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15.000 AA</t>
        </r>
      </text>
    </comment>
    <comment ref="U45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5.000 AA</t>
        </r>
      </text>
    </comment>
    <comment ref="T36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140.000 środki własne na dozywianie</t>
        </r>
      </text>
    </comment>
    <comment ref="T38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25.000 remont HOW</t>
        </r>
      </text>
    </comment>
    <comment ref="W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31.780 sołeckie</t>
        </r>
      </text>
    </comment>
    <comment ref="W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51.650 sołeckie</t>
        </r>
      </text>
    </comment>
    <comment ref="W3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5.600 sołeckie Wapnairnia III
</t>
        </r>
      </text>
    </comment>
    <comment ref="W31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800 sołectwo Siedlisko
</t>
        </r>
      </text>
    </comment>
    <comment ref="W38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2000 soł
</t>
        </r>
      </text>
    </comment>
    <comment ref="W39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4.200 soł.</t>
        </r>
      </text>
    </comment>
    <comment ref="W42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10.000 soł. Rychlik
2.000 Stradun
</t>
        </r>
      </text>
    </comment>
    <comment ref="W45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6.400 sołeckie</t>
        </r>
      </text>
    </comment>
    <comment ref="W45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15.000 AA</t>
        </r>
      </text>
    </comment>
    <comment ref="W45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5.000 AA</t>
        </r>
      </text>
    </comment>
    <comment ref="V45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2.500 soł. Runowo
</t>
        </r>
      </text>
    </comment>
    <comment ref="V45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-.2500 soł. Runowo</t>
        </r>
      </text>
    </comment>
    <comment ref="V40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250 soł. Rychlik,
300 soł. Radolin,
620 soł. Siedlisko
</t>
        </r>
      </text>
    </comment>
    <comment ref="V41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- 250 zł soł Rychlik,
-300 zł soł. Radolin,
-620 zł soł. Siedlisko
</t>
        </r>
      </text>
    </comment>
    <comment ref="V38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1.500 zł soł. Stobno,
-800 zł soł. Rychlik
</t>
        </r>
      </text>
    </comment>
    <comment ref="V39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800 zł soł. Rychlik
-1500 soł Stobno</t>
        </r>
      </text>
    </comment>
    <comment ref="V34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-636 PPK
</t>
        </r>
      </text>
    </comment>
    <comment ref="V36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533 PPK</t>
        </r>
      </text>
    </comment>
    <comment ref="V36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103 PPK</t>
        </r>
      </text>
    </comment>
    <comment ref="V34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1500 MGOPS gmina</t>
        </r>
      </text>
    </comment>
    <comment ref="V35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-1.500 MGOPS gmina</t>
        </r>
      </text>
    </comment>
    <comment ref="V35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-800 zł PPK</t>
        </r>
      </text>
    </comment>
    <comment ref="V35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800 PPK</t>
        </r>
      </text>
    </comment>
    <comment ref="V34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13.050 dot. Woj.. Dodatek do wynagrodzenia dla pracowników socjalnych</t>
        </r>
      </text>
    </comment>
    <comment ref="V29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65.857 zł dot. Woj.. Pracownicy młodociani
4.880 zł program Kapitał Ludzki UE</t>
        </r>
      </text>
    </comment>
    <comment ref="V27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4.880 zmniejszenie i przeniesienie do rozdziału 80195
</t>
        </r>
      </text>
    </comment>
    <comment ref="V3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opłata roczna za działi nabyte od LUBMORU</t>
        </r>
      </text>
    </comment>
    <comment ref="V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-500 soł.Smolarnia</t>
        </r>
      </text>
    </comment>
    <comment ref="V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soł Smolarnia</t>
        </r>
      </text>
    </comment>
    <comment ref="V5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-5 soł Stobno</t>
        </r>
      </text>
    </comment>
    <comment ref="V5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 soł Stobno</t>
        </r>
      </text>
    </comment>
    <comment ref="Y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31.780 sołeckie</t>
        </r>
      </text>
    </comment>
    <comment ref="Y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51.650 sołeckie</t>
        </r>
      </text>
    </comment>
    <comment ref="Y3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5.600 sołeckie Wapnairnia III
</t>
        </r>
      </text>
    </comment>
    <comment ref="Y31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800 sołectwo Siedlisko
</t>
        </r>
      </text>
    </comment>
    <comment ref="Y38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2000 soł
</t>
        </r>
      </text>
    </comment>
    <comment ref="Y39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4.200 soł.</t>
        </r>
      </text>
    </comment>
    <comment ref="Y42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10.000 soł. Rychlik
2.000 Stradun
</t>
        </r>
      </text>
    </comment>
    <comment ref="Y45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6.400 sołeckie</t>
        </r>
      </text>
    </comment>
    <comment ref="Y45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15.000 AA</t>
        </r>
      </text>
    </comment>
    <comment ref="Y45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5.000 AA</t>
        </r>
      </text>
    </comment>
    <comment ref="X18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20.000 zł niewygasające 26.752 zł alkoholowe na monitoring</t>
        </r>
      </text>
    </comment>
    <comment ref="X9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14.060 składowanie</t>
        </r>
      </text>
    </comment>
    <comment ref="AA42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10.000 soł. Rychlik
2.000 Stradun
</t>
        </r>
      </text>
    </comment>
    <comment ref="AC42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10.000 soł. Rychlik
2.000 Stradun
</t>
        </r>
      </text>
    </comment>
  </commentList>
</comments>
</file>

<file path=xl/sharedStrings.xml><?xml version="1.0" encoding="utf-8"?>
<sst xmlns="http://schemas.openxmlformats.org/spreadsheetml/2006/main" count="1483" uniqueCount="462">
  <si>
    <t>Załącznik nr 2 do uchwały Nr  XIX/109/08</t>
  </si>
  <si>
    <t>Rady Miejskiej Trzcianki z dnia 7 kwietnia 2008 r.zmieniający</t>
  </si>
  <si>
    <t>wydatki na zakup i objęcie akcji, wniesienie wkładów do spółek prawa handlowego oraz na uzupełnienie funduszy statutowych banków państwowych i innych instytucji finansowych</t>
  </si>
  <si>
    <t>Załącznik nr 2 do Zarządzenia Nr 81/08</t>
  </si>
  <si>
    <t>Załącznik Nr 3 do Zarządzenia Nr 81/08</t>
  </si>
  <si>
    <t xml:space="preserve">Rady Miejskiej Trzcianki z dnia 20 maja 2008 r. </t>
  </si>
  <si>
    <t>Załącznik Nr 5 do Zarządzenia Nr 81/08</t>
  </si>
  <si>
    <t>Burmistrza Trzcianki z dnia 27 czerwca 2008 r. zmieniający</t>
  </si>
  <si>
    <t>Leśnictwo</t>
  </si>
  <si>
    <t>dział</t>
  </si>
  <si>
    <t>udziały ZIK</t>
  </si>
  <si>
    <t>akcyza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</si>
  <si>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</si>
  <si>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</si>
  <si>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</si>
  <si>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</si>
  <si>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</si>
  <si>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</si>
  <si>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</si>
  <si>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700</t>
  </si>
  <si>
    <t>Gospodarka mieszkaniowa</t>
  </si>
  <si>
    <t>70005</t>
  </si>
  <si>
    <t>pozostałe odsetki</t>
  </si>
  <si>
    <t>wpływy z różnych dochodów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</si>
  <si>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</si>
  <si>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</si>
  <si>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</si>
  <si>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</si>
  <si>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</si>
  <si>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</si>
  <si>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</si>
  <si>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</si>
  <si>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</si>
  <si>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</si>
  <si>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</si>
  <si>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</si>
  <si>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</si>
  <si>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 xml:space="preserve">grzywny, mandaty i inne kary pieniężne od ludności </t>
  </si>
  <si>
    <t>drogi publiczne wojewódzkie</t>
  </si>
  <si>
    <t>dotacja celowa na pomoc finansową udzieloną między jednostkami samorządu terytorialnego na dofinansowanie własnych zadań inwestycyjnych i zakupów inwestycyjnych</t>
  </si>
  <si>
    <t>0360</t>
  </si>
  <si>
    <t>podatek od spadków i darowizn</t>
  </si>
  <si>
    <t>756</t>
  </si>
  <si>
    <t xml:space="preserve">wpływy z podatku dochodowego od osób fizycznych </t>
  </si>
  <si>
    <t>wpływy z tytułu pomocy finansowej udzielanej między jednostkami samorzadu terytorialnego na dofinansowanie własnych zadań bieżących</t>
  </si>
  <si>
    <t>75412.2710</t>
  </si>
  <si>
    <t>Komendy powiatowe Policji</t>
  </si>
  <si>
    <t>75023.4270</t>
  </si>
  <si>
    <t>70095.6050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</si>
  <si>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</si>
  <si>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</si>
  <si>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</si>
  <si>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</si>
  <si>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</si>
  <si>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</si>
  <si>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</si>
  <si>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odsetki z tytułu nieterminowych wpłat z tytułu podatków i opłat</t>
  </si>
  <si>
    <t>wpływy z opłaty targowej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</si>
  <si>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</si>
  <si>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</si>
  <si>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</si>
  <si>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</si>
  <si>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</si>
  <si>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</si>
  <si>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</si>
  <si>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</si>
  <si>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</si>
  <si>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</si>
  <si>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</si>
  <si>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</si>
  <si>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</si>
  <si>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</si>
  <si>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Burmistrza Trzcianki z dnia 18 lutego 2008 r.</t>
  </si>
  <si>
    <t xml:space="preserve">Rady Miejskiej Trzcianki z dnia 14 lutego 2008 r. </t>
  </si>
  <si>
    <t>szkoły podstawowe</t>
  </si>
  <si>
    <t>gimnazja</t>
  </si>
  <si>
    <t>Ochrona zdrowia</t>
  </si>
  <si>
    <t>przeciwdziałanie alkoholizmowi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</si>
  <si>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</si>
  <si>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</si>
  <si>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</si>
  <si>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</si>
  <si>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</si>
  <si>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</si>
  <si>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</si>
  <si>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</si>
  <si>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</si>
  <si>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</si>
  <si>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</si>
  <si>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</si>
  <si>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</si>
  <si>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</si>
  <si>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</si>
  <si>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01030</t>
  </si>
  <si>
    <t>izby rolnicze</t>
  </si>
  <si>
    <t>wpłaty gmin na rzecz izb rolniczych w wysokości 2% uzyskanych wpływów z podatku rolnego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</si>
  <si>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</si>
  <si>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</si>
  <si>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</si>
  <si>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</si>
  <si>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</si>
  <si>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</si>
  <si>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</si>
  <si>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</si>
  <si>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</si>
  <si>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</si>
  <si>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</si>
  <si>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</si>
  <si>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</si>
  <si>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</si>
  <si>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</si>
  <si>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</si>
  <si>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</si>
  <si>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</si>
  <si>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</si>
  <si>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</si>
  <si>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</si>
  <si>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</si>
  <si>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</si>
  <si>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</si>
  <si>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</si>
  <si>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</si>
  <si>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</si>
  <si>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Rady Miejskiej Trzcianki z dnia 20 maja 2008 r.</t>
  </si>
  <si>
    <t>Załącznik Nr 1 do Zarządzenia Nr 81/08</t>
  </si>
  <si>
    <t>Burmistrza Trzcianki z dnia 27 czerwca 2008 r.zmieniający</t>
  </si>
  <si>
    <t>Bezpieczeństwo publiczne                                                                       i ochrona przeciwpożarowa</t>
  </si>
  <si>
    <t>75412</t>
  </si>
  <si>
    <t>ochotnicze straże pożarne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</si>
  <si>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</si>
  <si>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</si>
  <si>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</si>
  <si>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</si>
  <si>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</si>
  <si>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</si>
  <si>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</si>
  <si>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</si>
  <si>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</si>
  <si>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</si>
  <si>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</si>
  <si>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</si>
  <si>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</si>
  <si>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</si>
  <si>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</si>
  <si>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</si>
  <si>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</si>
  <si>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</si>
  <si>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</si>
  <si>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</si>
  <si>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</si>
  <si>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</si>
  <si>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</si>
  <si>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</si>
  <si>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</si>
  <si>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</si>
  <si>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900</t>
  </si>
  <si>
    <t>90001</t>
  </si>
  <si>
    <t>90003</t>
  </si>
  <si>
    <t>oczyszczanie miast i wsi</t>
  </si>
  <si>
    <t>90004</t>
  </si>
  <si>
    <t>90005</t>
  </si>
  <si>
    <t>ochrona powietrza atmosferycznego i klimatu</t>
  </si>
  <si>
    <t>opłaty na rzecz budżetów jednostek samorządu terytorialnego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</si>
  <si>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</si>
  <si>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</si>
  <si>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</si>
  <si>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</si>
  <si>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</si>
  <si>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</si>
  <si>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</si>
  <si>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92118</t>
  </si>
  <si>
    <t>muzea</t>
  </si>
  <si>
    <t>926</t>
  </si>
  <si>
    <t>plan</t>
  </si>
  <si>
    <t xml:space="preserve">plan </t>
  </si>
  <si>
    <t>opłaty na rzecz budżetu państwa</t>
  </si>
  <si>
    <t>Rady Miejskiej Trzcianki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</si>
  <si>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</si>
  <si>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</si>
  <si>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</si>
  <si>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</si>
  <si>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</si>
  <si>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</si>
  <si>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Dochody od osób prawnych, od osób fizycznych i od innych jednostek nieposiadających osobowości prawnej oraz wydatki związane z ich poborem</t>
  </si>
  <si>
    <t>852</t>
  </si>
  <si>
    <t>85214</t>
  </si>
  <si>
    <t>85219</t>
  </si>
  <si>
    <t>85295</t>
  </si>
  <si>
    <t>kolonie i obozy  oraz inne formy wypoczynku dzieci i młodzieży szkolnej, a także szkolenia młodzieży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</si>
  <si>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</si>
  <si>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</si>
  <si>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</si>
  <si>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</si>
  <si>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</si>
  <si>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</si>
  <si>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</si>
  <si>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</si>
  <si>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</si>
  <si>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</si>
  <si>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</si>
  <si>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</si>
  <si>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0430</t>
  </si>
  <si>
    <t>0460</t>
  </si>
  <si>
    <t>0500</t>
  </si>
  <si>
    <t>0410</t>
  </si>
  <si>
    <t>0010</t>
  </si>
  <si>
    <t>0020</t>
  </si>
  <si>
    <t>0740</t>
  </si>
  <si>
    <t>0480</t>
  </si>
  <si>
    <t>2010</t>
  </si>
  <si>
    <t>zakup środków żywności</t>
  </si>
  <si>
    <t>Załącznik Nr 5 do uchwały Nr XVII/102/07</t>
  </si>
  <si>
    <t>Załącznik Nr 1 do zarządzenia Nr 24/08</t>
  </si>
  <si>
    <t>pobór podatków, opłat i niepodatkowych należności budżetowych</t>
  </si>
  <si>
    <t>Towarzystwa budownictwa społecznego</t>
  </si>
  <si>
    <t>koszty postępowania sądowego i prokuratorskiego</t>
  </si>
  <si>
    <t xml:space="preserve">dotacja podmiotowa z budżetu dla niepublicznej jednostki systemu oświaty </t>
  </si>
  <si>
    <t>dochody jednostek samorządu terytorialnego związane z realizacją zadań z zakresu administracji rządowej oraz innych zadań zleconych ustawami</t>
  </si>
  <si>
    <t>część wyrównawcza subwencji ogólnej dla gmin</t>
  </si>
  <si>
    <t>75807</t>
  </si>
  <si>
    <t xml:space="preserve">Pomoc społeczna </t>
  </si>
  <si>
    <t>Pomoc społeczna</t>
  </si>
  <si>
    <t>Załącznik Nr 1</t>
  </si>
  <si>
    <t>Załącznik Nr 2</t>
  </si>
  <si>
    <t>dotacja podmiotowa z budżetu dla samorządowej instytucji kultury</t>
  </si>
  <si>
    <t xml:space="preserve"> wydatki osobowe niezaliczone do wynagrodzeń</t>
  </si>
  <si>
    <t xml:space="preserve">wpływy z podatku rolnego, podatku leśnego, podatku od czynności cywilnoprawnych, podatków i opłat lokalnych od osób prawnych i innych jednostek organizacyjnych </t>
  </si>
  <si>
    <t>wynagrodzenia bezosobowe</t>
  </si>
  <si>
    <t>0830</t>
  </si>
  <si>
    <t>wpływy z usług</t>
  </si>
  <si>
    <t>wynagrodzenie bezosobowe</t>
  </si>
  <si>
    <t>instytucje kultury fizycznej</t>
  </si>
  <si>
    <t>zmiany</t>
  </si>
  <si>
    <t>zakup usług zdrowotnych</t>
  </si>
  <si>
    <t>dopłaty w spółkach prawa handlowego</t>
  </si>
  <si>
    <t>plan po 
zmianach</t>
  </si>
  <si>
    <t>różne jednostki obsługi gospodarki mieszkaniowej</t>
  </si>
  <si>
    <t>świadczenia rodzinne oraz składki na ubezpieczenia emerytalne i rentowe z ubezpieczenia społecznego</t>
  </si>
  <si>
    <t>plan po zmianach</t>
  </si>
  <si>
    <t>odsetki od nieterminowych wpłat 
z tytułu podatków i opłat</t>
  </si>
  <si>
    <t>dotacje celowe otrzymane 
z budżetu państwa na realizację własnych zadań bieżących gmin (związków gmin)</t>
  </si>
  <si>
    <t xml:space="preserve">pozostała działalność </t>
  </si>
  <si>
    <t>oddziały przedszkolne w szkołach podstawowych</t>
  </si>
  <si>
    <t>promocja jednostek samorządu terytorialnego</t>
  </si>
  <si>
    <t xml:space="preserve">zasiłki i pomoc w naturze oraz składki na ubezpieczenia emerytalne i rentowe </t>
  </si>
  <si>
    <t>zakup usług dostępu do sieci Internet</t>
  </si>
  <si>
    <t>zakup usług dostepu do sieci Internet</t>
  </si>
  <si>
    <t xml:space="preserve"> </t>
  </si>
  <si>
    <t xml:space="preserve">                   </t>
  </si>
  <si>
    <t>wydatki osobowe niezaliczone do wynagrodzeń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</si>
  <si>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</si>
  <si>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</si>
  <si>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</si>
  <si>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dotacje celowe otrzymane z powiatu na zadania bieżące realizowane na podstawie porozumień  między jednostkami samorządu terytorialnego</t>
  </si>
  <si>
    <t>75831</t>
  </si>
  <si>
    <t>część równoważąca subwencji ogólnej dla gmin</t>
  </si>
  <si>
    <t>dotacje celowe otrzymane z budżetu państwa na realizację zadań bieżących z zakresu administracji rządowej oraz innych zadań zleconych gminie (zwiazkom gmin) ustawami</t>
  </si>
  <si>
    <t>dotacje celowe otrzymane z budżetu państwa na realizację zadań bieżących z zakresu administracji rządowej oraz innych zadań zleconych gminie(zwiazkom gmin) ustawami</t>
  </si>
  <si>
    <t>zakup usług medycznych</t>
  </si>
  <si>
    <t>składki na fundusz pracy</t>
  </si>
  <si>
    <t>zakup usług dostepu do sieci interet</t>
  </si>
  <si>
    <t>zasiłki i pomoc w naturze oraz składki na ubezpieczenia emerytalne i rentowe</t>
  </si>
  <si>
    <t>świadczenia rodzinne, zaliczka alimentacyjna oraz składki na ubezpieczenia emerytalne i rentowe z ubezpieczenia społecznego</t>
  </si>
  <si>
    <t>dotacja przedmiotowa z budżetu dla jednostek nie zaliczanych do sektora finansów publicznych</t>
  </si>
  <si>
    <t>zwalczanie narkomanii</t>
  </si>
  <si>
    <t xml:space="preserve">do Uchwały Nr </t>
  </si>
  <si>
    <t xml:space="preserve">z dnia </t>
  </si>
  <si>
    <t>wpływy z opłat za wydawanie zezwoleń na sprzedaż alkoholu</t>
  </si>
  <si>
    <t>0760</t>
  </si>
  <si>
    <t>opłaty z tytułu zakupu usług telekomunikacyjnych telefonii stacjonarnej</t>
  </si>
  <si>
    <t>zakup materiałów papierniczych do sprzętu drukarskiego i urządzeń kesrograficznych</t>
  </si>
  <si>
    <t>Załącznik nr 2 do uchwały Nr XXI/120/08</t>
  </si>
  <si>
    <t>Rady Miejskiej Trzcianki z dnia 20 maja 2008 r.zmieniający</t>
  </si>
  <si>
    <t>Załącznik Nr 1 do Uchwały Nr XXI/120/08</t>
  </si>
  <si>
    <t>Załącznik Nr 3 do Uchwały Nr XXI/120/08</t>
  </si>
  <si>
    <t>Załącznik Nr 6 do Uchwały Nr XXI/120/08</t>
  </si>
  <si>
    <t>Rady Miejskiej Trzcianki z dnia 20 maja 2008 r. zmieniający</t>
  </si>
  <si>
    <t>zakup akcesoriów komputerowych, w tym programów i licencji</t>
  </si>
  <si>
    <t>opłaty z tytułu zakupu usług telekomunikacyjnych telefonii komórkowej</t>
  </si>
  <si>
    <t xml:space="preserve">pomoc materialna dla uczniów </t>
  </si>
  <si>
    <t>stypendia dla uczniów</t>
  </si>
  <si>
    <t>dotacje celowe otrzymane z gminy na zadania bieżące realizowane na podstawie porozumień  (umów) między jednostkami samorządu terytorialnego</t>
  </si>
  <si>
    <t>Rady Miejskiej Trzcianki z dnia 14 lutego 2008 r.</t>
  </si>
  <si>
    <t>Burmistrza Trzcianki z dnia 18 lutego 2008 r.zmieniający</t>
  </si>
  <si>
    <t>wpływy do budżetu nadwyżki dochodów własnych lub środków obrotowych</t>
  </si>
  <si>
    <t>Rady Miejskiej Trzcianki z dnia 21.12.2007 r.</t>
  </si>
  <si>
    <t>Wydatki związane z realizacją zadań z zakresu administracji rządowej i innych zadań zleconych ustawami - plan na rok 2008</t>
  </si>
  <si>
    <t>obrona cywilna</t>
  </si>
  <si>
    <t>opłaty za administrowanie i czynsze za budynki, lokale i pomieszczenia garażowe</t>
  </si>
  <si>
    <t>01095</t>
  </si>
  <si>
    <t>0770</t>
  </si>
  <si>
    <t>MGOPS</t>
  </si>
  <si>
    <t>Kręta i Żwirowa</t>
  </si>
  <si>
    <t>Konopnickiej</t>
  </si>
  <si>
    <t>Mickiewicza</t>
  </si>
  <si>
    <t>oświetlenie Sikor 27 Stycznia</t>
  </si>
  <si>
    <t>Broniewskiego Staszica</t>
  </si>
  <si>
    <t>rezerwa</t>
  </si>
  <si>
    <t>stołówka</t>
  </si>
  <si>
    <t>platforma</t>
  </si>
  <si>
    <t>czynsze</t>
  </si>
  <si>
    <t>dodatki</t>
  </si>
  <si>
    <t>termomoder.</t>
  </si>
  <si>
    <t>rezrwa</t>
  </si>
  <si>
    <t>wpływy z tytułu odpłatnego nabycia prawa własności oraz prawa użytkowania wieczystego nieruchomości</t>
  </si>
  <si>
    <t>wpływy z dywidend</t>
  </si>
  <si>
    <t>Pozostałe zadania w zakresie polityki społecznej</t>
  </si>
  <si>
    <t xml:space="preserve">rehabilitacja zawodowa i społeczna </t>
  </si>
  <si>
    <t>Rady Miejskiej Trzcianki z dnia 3 września 2008 r. zmieniający</t>
  </si>
  <si>
    <t>Rady Miejskiej Trzcianki z dnia 3 września 2008 r.</t>
  </si>
  <si>
    <t xml:space="preserve">  </t>
  </si>
  <si>
    <t>Załącznik Nr 1 do Uchwały Nr XXIII/136/08</t>
  </si>
  <si>
    <t>Rady Miejskiej Trzcianki z dnia 3 września 2008 r.zmieniający</t>
  </si>
  <si>
    <t>Załącznik nr 2 do Uchwały Nr XXIII/136/08</t>
  </si>
  <si>
    <t>Załącznik Nr 3 do Uchwały Nr XXIII/136/08</t>
  </si>
  <si>
    <t>Załącznik Nr 6 do Uchwały Nr XXIII/136/08</t>
  </si>
  <si>
    <t>01038</t>
  </si>
  <si>
    <t>rozwój obszarów wiejskich</t>
  </si>
  <si>
    <t>stołówki szkolne</t>
  </si>
  <si>
    <t>zakup leków, wyrobów medycznych i produktów biobójczych</t>
  </si>
  <si>
    <t>obiekty sportowe</t>
  </si>
  <si>
    <t>szkolenia pracowników niebędących członkami korpusu służby cywilnej</t>
  </si>
  <si>
    <t>Rady Miejskiej Trzcianki z dnia 28 kwietnia 2008 r.</t>
  </si>
  <si>
    <t>dotacaj celowa na pomoc finansową udzielaną między jednostkami samorzadu terytorialnego na dofinansowanie własnych zadań bieżących</t>
  </si>
  <si>
    <t>przedszkola</t>
  </si>
  <si>
    <t>01041</t>
  </si>
  <si>
    <t>Program Rozwoju Obszarów Wiejskich 2007 - 2013</t>
  </si>
  <si>
    <t>składki na ubezpieczenie zdrowotne opłacane za osoby pobierające niektóre świadczenia z pomocy społecznej, niektóre świadczenia rodzinne oraz za osoby uczestniczące w zajęciach w centrum integracji społecznej</t>
  </si>
  <si>
    <t>Burmistrza Trzcianki z dnia 27 czerwca 2008 r.</t>
  </si>
  <si>
    <t xml:space="preserve">Burmistrza Trzcianki z dnia 27 czerwca 2008 r. </t>
  </si>
  <si>
    <t>składki na ubezpieczenie zdrowotne opłacane za osoby pobierające niektóre świadczenia z pomocy społecznej, niektóre świadczenia rodzinne oraz za osoby uczestniczące w zajęciach 
w centrum integracji społecznej</t>
  </si>
  <si>
    <t>świadczenia rodzinne, zaliczka alimentacyjna oraz składki na ubezpieczenia emerytalne i rentowe 
z ubezpieczenia społecznego</t>
  </si>
  <si>
    <t>wpływy z tytułu przekształcenia prawa użytkowania wieczystego przysługującego osobom fizycznym 
w prawo własności</t>
  </si>
  <si>
    <t>rekompensaty utraconych dochodów w podatkach
 i opłatach lokalnych</t>
  </si>
  <si>
    <t xml:space="preserve">wpływy z podatku rolnego, podatku leśnego,podatku od spadków i darowizn, podatku od czynności cywilnoprawnych oraz podatków i opłat lokalnych 
od osób fizycznych </t>
  </si>
  <si>
    <t>Dochody od osób prawnych, od osób fizycznych i od innych jednostek nieposiadających osobowości prawnej oraz wydatki związane 
z ich poborem</t>
  </si>
  <si>
    <t>Rady Miejskiej Trzcianki z dnia 7 kwietnia 2008 r.</t>
  </si>
  <si>
    <t>Komendy powiatowe Państwowej Straży Pożarnej</t>
  </si>
  <si>
    <t>Załącznik Nr 2 do uchwały Nr XVII/102/07</t>
  </si>
  <si>
    <t>Rady Miejskiej Trzcianki z dnia 21 grudnia 2007 r.</t>
  </si>
  <si>
    <t>Załącznik Nr 1 do uchwały Nr XVII/102/07</t>
  </si>
  <si>
    <t>odsetki i dyskonto od krajowych skarbowych papierów wartościowych,   kredytów i pożyczek oraz innych instrumentów finansowych, związanych z obsługą długu krajowego</t>
  </si>
  <si>
    <t>pozostałe zadania w zakresie kultury</t>
  </si>
  <si>
    <t>Załącznik Nr 3 do uchwały Nr XVII/102/07</t>
  </si>
  <si>
    <t>Załącznik nr 2 do uchwały Nr XX/116/08</t>
  </si>
  <si>
    <t>Rady Miejskiej Trzcianki z dnia 28 kwietnia 2008 r.zmieniający</t>
  </si>
  <si>
    <t>Załącznik Nr 1 do Uchwały Nr XX/116/08</t>
  </si>
  <si>
    <t>Załącznik Nr 3 do Uchwały Nr XX/116/08</t>
  </si>
  <si>
    <t>zmiana</t>
  </si>
  <si>
    <t>rezerwa na inwestycje i zakupy inwestycyjne</t>
  </si>
  <si>
    <t>Ochrona zabytków i opieka nad zabytkami</t>
  </si>
  <si>
    <t>dotacje celowe z budżetu na finansowanie lub dofinansowanie prac remontowych lub konserwatorskich obiektów zabytkowych, przekazane jednostkom niezaliczonym do sektora finansów publicznych</t>
  </si>
  <si>
    <t>inne formy pomocy dla uczniów</t>
  </si>
  <si>
    <t>80195.4210</t>
  </si>
  <si>
    <t>zakup usług pzostałych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</si>
  <si>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</si>
  <si>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</si>
  <si>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Załącznik Nr 2 do Uchwały Nr XVIII/103/08</t>
  </si>
  <si>
    <t>Rady Miejskiej Trzcianki z dnia 14 lutego 2008 r.zmieniający</t>
  </si>
  <si>
    <t>Załącznik Nr 3 do Uchwały Nr XVIII/103/08</t>
  </si>
  <si>
    <t>Załącznik Nr 4 do Uchwały Nr XVIII/103/08</t>
  </si>
  <si>
    <t>Załącznik Nr 1 do Uchwały Nr XIX/109/08</t>
  </si>
  <si>
    <t>Załącznik Nr 7 do Uchwały Nr XVIII/103/08</t>
  </si>
  <si>
    <t>Rady Miejskiej Trzcianki z dnia 14 lutego 2008 r. zmieniający</t>
  </si>
  <si>
    <t>plan po zmianie</t>
  </si>
  <si>
    <t xml:space="preserve">Wydatki  budżetu gminy Trzcianka - plan po zmianach na rok 2008 </t>
  </si>
  <si>
    <t>Dochody budżetu gminy Trzcianka - plan po zmianach na rok 2008</t>
  </si>
  <si>
    <t>0370</t>
  </si>
  <si>
    <t>opłata od posiadania psów</t>
  </si>
  <si>
    <t xml:space="preserve">Dotacje otrzymywane do budżetu - plan po zmianach na rok 2008                                     </t>
  </si>
  <si>
    <t>drogi publiczne powiatowe</t>
  </si>
  <si>
    <t>60016.60014.6300</t>
  </si>
  <si>
    <t>90001.4300n deszczówka</t>
  </si>
  <si>
    <t>zakup akcesoriów komputerowych, 
w tym programów  i licencji</t>
  </si>
  <si>
    <t>zakup akcesoriów komputerowych, 
w tym programów i licencji</t>
  </si>
  <si>
    <t>zakup usług obejmujących wykonanie ekspertyz, analiz i opinii</t>
  </si>
  <si>
    <t>do Uchwały Nr XVII/102/07</t>
  </si>
  <si>
    <t>z dnia 21 grudnia 2007 r.</t>
  </si>
  <si>
    <t xml:space="preserve">Burmistrza Trzcianki z dnia 3 marca 2008 r. </t>
  </si>
  <si>
    <t xml:space="preserve">Załącznik do zarządzenia Nr 39/08 </t>
  </si>
  <si>
    <t>podatek od towarów i usług (VAT)</t>
  </si>
  <si>
    <t>Burmistrza Trzcianki z dnia 25 marca 2008 r.zmieniający</t>
  </si>
  <si>
    <t>Burmistrza Trzcianki z dnia 3 marca 2008 r.</t>
  </si>
  <si>
    <t>dotacje celowe przekazane dla powiatu na inwestycjie i zakupy inwestycyjne realizowane na podstawie porozumień (umów) między jednostkami samorządu terytorialnego)</t>
  </si>
  <si>
    <t xml:space="preserve">Załącznik Nr 2 do zarządzenia Nr 34/08 </t>
  </si>
  <si>
    <t>kary i odszkodowania wypłacane na rzecz osób fizycznych</t>
  </si>
  <si>
    <t>Burmistrza Trzcianki z dnia 3 marca 2008 r. zmieniający</t>
  </si>
  <si>
    <t>Załącznik Nr 5 do Zarządzenia Nr 34/08</t>
  </si>
  <si>
    <t xml:space="preserve">Załącznik Nr 3 do Zarządzenia Nr 34/08 </t>
  </si>
  <si>
    <t>Burmistrza Trzcianki z dnia 3 marca 2008 r.zmieniający</t>
  </si>
  <si>
    <t>Załącznik Nr 1 do Zarządzenia Nr 34/08</t>
  </si>
  <si>
    <t>75011.2010</t>
  </si>
  <si>
    <t>85295.2030</t>
  </si>
  <si>
    <t>dotacje celowe otrzymane z budżetu państwa na inwestycje i zakupy inwestycyjne z zakresu administracji rządowej oraz innych zadań zleconych gminom ustawami</t>
  </si>
  <si>
    <t>85212.2010,6310</t>
  </si>
  <si>
    <t>dotacja podmiotowa z budżetu dla publicznej jednostki systemu oświaty prowadzonej przez osobe prawną inną niż jadnostka samorządu terytorialnego lub przez osobę fizyczną</t>
  </si>
  <si>
    <t>90015.6050</t>
  </si>
  <si>
    <t>ZIK</t>
  </si>
  <si>
    <t>80103 zerówka</t>
  </si>
  <si>
    <t>70095.odszkod.</t>
  </si>
  <si>
    <t>80146.2510</t>
  </si>
  <si>
    <t>placówki wychowania pozaszkolnego</t>
  </si>
  <si>
    <t>noc świętojańska 92109.4280</t>
  </si>
  <si>
    <t>85407 remont HOW</t>
  </si>
  <si>
    <t>wpływy i wydatki związane z gromadzeniem środków z opłat produktowych</t>
  </si>
  <si>
    <t>0400</t>
  </si>
  <si>
    <t>wpływy z opłaty produktowej</t>
  </si>
  <si>
    <t>020</t>
  </si>
  <si>
    <t>02095</t>
  </si>
  <si>
    <t>Rady Miejskiej Trzcianki z dnia 9 października 2008 r. zmieniający</t>
  </si>
  <si>
    <t>Załącznik Nr 1 do Uchwały Nr XXIV/157/08</t>
  </si>
  <si>
    <t>Rady Miejskiej Trzcianki z dnia 9 października 2008 r.zmieniający</t>
  </si>
  <si>
    <t>Załącznik nr 2 do Uchwały Nr XXIV/157/08</t>
  </si>
  <si>
    <t>Załącznik Nr 3 do Uchwały Nr XXIV/157/08</t>
  </si>
  <si>
    <t>Załącznik Nr 6 do Uchwały Nr XXIV/157/08</t>
  </si>
  <si>
    <t>Rady Miejskiej Trzcianki z dnia 9 października 2008 r.</t>
  </si>
  <si>
    <t xml:space="preserve">Rady Miejskiej Trzcianki z dnia 9 października 2008 r. </t>
  </si>
  <si>
    <t>Załącznik nr 6 do uchwały Nr XIX/109/08</t>
  </si>
  <si>
    <t>Załącznik nr 7 do uchwały Nr XX/116/08</t>
  </si>
  <si>
    <t>Załącznik nr 8 do uchwały Nr XXI/120/08</t>
  </si>
  <si>
    <t>Załącznik nr 7 do Zarządzenia Nr 81/08</t>
  </si>
  <si>
    <t>Załącznik nr 8 do Uchwały Nr XXIII/136/08</t>
  </si>
  <si>
    <t>Załącznik nr 8 do Uchwały Nr XXIV/157/08</t>
  </si>
  <si>
    <t>Załącznik nr 8 do Uchwały Nr XVII/102/07</t>
  </si>
  <si>
    <t>Wydatki jednostek pomocniczych gminy - plan na rok 2008</t>
  </si>
  <si>
    <t>plan 
po zmianach</t>
  </si>
  <si>
    <t>Sołectwo Górnica</t>
  </si>
  <si>
    <t>Sołectwo Łomnica</t>
  </si>
  <si>
    <t>Sołectwo Nowa Wieś</t>
  </si>
  <si>
    <t>Sołectwo Pokrzywno</t>
  </si>
  <si>
    <t>Sołectwo Przyłęki</t>
  </si>
  <si>
    <t>Sołectwo Runowo</t>
  </si>
  <si>
    <t>Sołectwo Rychlik</t>
  </si>
  <si>
    <t>Sołectwo Sarcz</t>
  </si>
  <si>
    <t>Sołectwo Siedlisko</t>
  </si>
  <si>
    <t>Sołectwo Smolarnia</t>
  </si>
  <si>
    <t>Sołectwo Wapniarnia I</t>
  </si>
  <si>
    <t>Sołectwo Biała</t>
  </si>
  <si>
    <t>Sołectwo Biernatowo</t>
  </si>
  <si>
    <t>Sołectwo Niekursko</t>
  </si>
  <si>
    <t>Sołectwo Radolin</t>
  </si>
  <si>
    <t>Sołectwo Stobno</t>
  </si>
  <si>
    <t>Sołectwo Straduń</t>
  </si>
  <si>
    <t>Sołectwo Wapniarnia III</t>
  </si>
  <si>
    <t>4210</t>
  </si>
  <si>
    <t>Sołectwo Teresin</t>
  </si>
  <si>
    <t>Sołectwo Wrząca</t>
  </si>
  <si>
    <t>zakup materiałów i wypozażenia</t>
  </si>
  <si>
    <t>zakup usług dostępu do sieci internet</t>
  </si>
  <si>
    <t>kolonie i obozy oraz inne formy wypoczynku dzieci i młodzieży</t>
  </si>
  <si>
    <t xml:space="preserve">Sołectwo Stobno </t>
  </si>
  <si>
    <t>4300</t>
  </si>
  <si>
    <t>SołectwoTeresin</t>
  </si>
  <si>
    <t>4260</t>
  </si>
  <si>
    <t>sołectwo Biała</t>
  </si>
  <si>
    <t xml:space="preserve">Załącznik Nr 1 do Zarządzenia Nr 136/08 </t>
  </si>
  <si>
    <t xml:space="preserve">Załącznik nr 2 do Zarządzenia Nr 136/08 </t>
  </si>
  <si>
    <t xml:space="preserve">Załącznik Nr 3 do Zarządzenia Nr 136/08 </t>
  </si>
  <si>
    <t>Burmistrza Trzcianki z dnia 4 listopada 2008 r.zmieniający</t>
  </si>
  <si>
    <t xml:space="preserve">Załącznik Nr 4 do Zarządzenia Nr 136/08 </t>
  </si>
  <si>
    <t>Burmistrza Trzcianki z dnia 4 listopada 2008 r. zmieniający</t>
  </si>
  <si>
    <t xml:space="preserve">Załącznik nr 5 do Zarządzenia Nr 136/08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</si>
</sst>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54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i/>
      <sz val="8"/>
      <color indexed="10"/>
      <name val="Arial CE"/>
      <family val="2"/>
    </font>
    <font>
      <sz val="8"/>
      <color indexed="5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4" fontId="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quotePrefix="1">
      <alignment horizontal="center" vertical="center" wrapText="1"/>
    </xf>
    <xf numFmtId="0" fontId="2" fillId="33" borderId="0" xfId="0" applyFont="1" applyFill="1" applyAlignment="1">
      <alignment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/>
    </xf>
    <xf numFmtId="0" fontId="2" fillId="33" borderId="12" xfId="0" applyFont="1" applyFill="1" applyBorder="1" applyAlignment="1" quotePrefix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indent="1"/>
    </xf>
    <xf numFmtId="16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 quotePrefix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 quotePrefix="1">
      <alignment horizontal="center"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 indent="1"/>
    </xf>
    <xf numFmtId="164" fontId="5" fillId="33" borderId="10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33" borderId="12" xfId="0" applyFont="1" applyFill="1" applyBorder="1" applyAlignment="1" quotePrefix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" fontId="11" fillId="0" borderId="0" xfId="0" applyNumberFormat="1" applyFont="1" applyAlignment="1">
      <alignment vertical="center"/>
    </xf>
    <xf numFmtId="0" fontId="2" fillId="34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vertical="center"/>
    </xf>
    <xf numFmtId="0" fontId="16" fillId="0" borderId="0" xfId="0" applyFont="1" applyAlignment="1">
      <alignment/>
    </xf>
    <xf numFmtId="4" fontId="14" fillId="0" borderId="0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" fontId="18" fillId="0" borderId="0" xfId="0" applyNumberFormat="1" applyFont="1" applyBorder="1" applyAlignment="1">
      <alignment/>
    </xf>
    <xf numFmtId="0" fontId="0" fillId="0" borderId="0" xfId="52" applyFont="1" applyAlignment="1">
      <alignment horizontal="left" vertical="center" indent="1"/>
      <protection/>
    </xf>
    <xf numFmtId="0" fontId="0" fillId="0" borderId="0" xfId="52" applyFont="1" applyAlignment="1">
      <alignment horizontal="center" vertical="center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/>
      <protection/>
    </xf>
    <xf numFmtId="0" fontId="2" fillId="0" borderId="0" xfId="52" applyFont="1" applyAlignment="1">
      <alignment wrapText="1"/>
      <protection/>
    </xf>
    <xf numFmtId="4" fontId="2" fillId="0" borderId="0" xfId="52" applyNumberFormat="1" applyFont="1" applyAlignment="1">
      <alignment vertical="center"/>
      <protection/>
    </xf>
    <xf numFmtId="4" fontId="2" fillId="0" borderId="0" xfId="52" applyNumberFormat="1" applyFont="1" applyAlignment="1">
      <alignment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 quotePrefix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left" vertical="center" wrapText="1" indent="1"/>
      <protection/>
    </xf>
    <xf numFmtId="4" fontId="3" fillId="0" borderId="10" xfId="52" applyNumberFormat="1" applyFont="1" applyFill="1" applyBorder="1" applyAlignment="1">
      <alignment horizontal="right" vertical="center"/>
      <protection/>
    </xf>
    <xf numFmtId="0" fontId="3" fillId="0" borderId="10" xfId="52" applyFont="1" applyBorder="1" applyAlignment="1" quotePrefix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left" vertical="center" wrapText="1" indent="1"/>
      <protection/>
    </xf>
    <xf numFmtId="0" fontId="2" fillId="0" borderId="10" xfId="52" applyFont="1" applyBorder="1" applyAlignment="1" quotePrefix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left" vertical="center" wrapText="1" indent="1"/>
      <protection/>
    </xf>
    <xf numFmtId="4" fontId="2" fillId="0" borderId="10" xfId="52" applyNumberFormat="1" applyFont="1" applyFill="1" applyBorder="1" applyAlignment="1">
      <alignment horizontal="right"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left" vertical="center" wrapText="1" indent="2"/>
      <protection/>
    </xf>
    <xf numFmtId="4" fontId="7" fillId="0" borderId="10" xfId="52" applyNumberFormat="1" applyFont="1" applyFill="1" applyBorder="1" applyAlignment="1">
      <alignment horizontal="right" vertical="center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left" vertical="center" wrapText="1" indent="2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 quotePrefix="1">
      <alignment horizontal="center" vertical="center" wrapText="1"/>
      <protection/>
    </xf>
    <xf numFmtId="0" fontId="6" fillId="0" borderId="10" xfId="52" applyFont="1" applyBorder="1" applyAlignment="1" quotePrefix="1">
      <alignment horizontal="center" vertical="center" wrapText="1"/>
      <protection/>
    </xf>
    <xf numFmtId="0" fontId="2" fillId="0" borderId="12" xfId="52" applyFont="1" applyBorder="1" applyAlignment="1">
      <alignment horizontal="left" vertical="center" wrapText="1" indent="2"/>
      <protection/>
    </xf>
    <xf numFmtId="0" fontId="2" fillId="0" borderId="10" xfId="52" applyFont="1" applyBorder="1" applyAlignment="1">
      <alignment horizontal="left" vertical="center" indent="1"/>
      <protection/>
    </xf>
    <xf numFmtId="0" fontId="17" fillId="0" borderId="10" xfId="52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2" fillId="0" borderId="10" xfId="52" applyFont="1" applyBorder="1" applyAlignment="1">
      <alignment horizontal="left" vertical="center" wrapText="1" indent="2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 quotePrefix="1">
      <alignment horizontal="center" vertical="center" wrapText="1"/>
      <protection/>
    </xf>
    <xf numFmtId="0" fontId="7" fillId="0" borderId="12" xfId="52" applyFont="1" applyBorder="1" applyAlignment="1">
      <alignment horizontal="left" vertical="center" wrapText="1" indent="2"/>
      <protection/>
    </xf>
    <xf numFmtId="0" fontId="4" fillId="0" borderId="0" xfId="52" applyFont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4" fontId="6" fillId="0" borderId="0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3" fillId="33" borderId="10" xfId="0" applyNumberFormat="1" applyFont="1" applyFill="1" applyBorder="1" applyAlignment="1">
      <alignment vertical="center"/>
    </xf>
    <xf numFmtId="4" fontId="6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4" fillId="33" borderId="1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8" fillId="0" borderId="16" xfId="52" applyFont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udżet sołtysi 2007 projekt koszulki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7"/>
  <sheetViews>
    <sheetView tabSelected="1" zoomScalePageLayoutView="0" workbookViewId="0" topLeftCell="A1">
      <selection activeCell="AB10" sqref="AB10"/>
    </sheetView>
  </sheetViews>
  <sheetFormatPr defaultColWidth="9.00390625" defaultRowHeight="12.75"/>
  <cols>
    <col min="1" max="1" width="5.25390625" style="6" customWidth="1"/>
    <col min="2" max="2" width="7.625" style="6" customWidth="1"/>
    <col min="3" max="3" width="5.25390625" style="6" customWidth="1"/>
    <col min="4" max="4" width="33.625" style="6" customWidth="1"/>
    <col min="5" max="5" width="17.125" style="26" hidden="1" customWidth="1"/>
    <col min="6" max="6" width="19.625" style="26" hidden="1" customWidth="1"/>
    <col min="7" max="7" width="41.75390625" style="26" hidden="1" customWidth="1"/>
    <col min="8" max="8" width="8.875" style="26" hidden="1" customWidth="1"/>
    <col min="9" max="9" width="38.875" style="26" hidden="1" customWidth="1"/>
    <col min="10" max="10" width="9.875" style="26" hidden="1" customWidth="1"/>
    <col min="11" max="11" width="42.375" style="26" hidden="1" customWidth="1"/>
    <col min="12" max="12" width="11.25390625" style="26" hidden="1" customWidth="1"/>
    <col min="13" max="13" width="43.25390625" style="26" hidden="1" customWidth="1"/>
    <col min="14" max="14" width="9.875" style="26" hidden="1" customWidth="1"/>
    <col min="15" max="15" width="15.75390625" style="26" hidden="1" customWidth="1"/>
    <col min="16" max="16" width="12.25390625" style="26" hidden="1" customWidth="1"/>
    <col min="17" max="17" width="15.75390625" style="26" hidden="1" customWidth="1"/>
    <col min="18" max="18" width="12.25390625" style="26" hidden="1" customWidth="1"/>
    <col min="19" max="19" width="15.75390625" style="26" hidden="1" customWidth="1"/>
    <col min="20" max="20" width="12.25390625" style="26" hidden="1" customWidth="1"/>
    <col min="21" max="21" width="1.12109375" style="26" hidden="1" customWidth="1"/>
    <col min="22" max="22" width="12.25390625" style="26" hidden="1" customWidth="1"/>
    <col min="23" max="23" width="14.375" style="26" customWidth="1"/>
    <col min="24" max="24" width="13.375" style="26" customWidth="1"/>
    <col min="25" max="25" width="14.125" style="26" customWidth="1"/>
    <col min="26" max="27" width="10.00390625" style="0" customWidth="1"/>
  </cols>
  <sheetData>
    <row r="1" spans="1:25" ht="12.75">
      <c r="A1" s="44"/>
      <c r="B1" s="44"/>
      <c r="C1" s="44"/>
      <c r="D1" s="44"/>
      <c r="E1" s="45" t="s">
        <v>222</v>
      </c>
      <c r="F1" s="45" t="s">
        <v>222</v>
      </c>
      <c r="G1" s="45" t="s">
        <v>357</v>
      </c>
      <c r="H1" s="45"/>
      <c r="I1" s="45" t="s">
        <v>390</v>
      </c>
      <c r="J1" s="45"/>
      <c r="K1" s="45" t="s">
        <v>361</v>
      </c>
      <c r="L1" s="45"/>
      <c r="M1" s="45" t="s">
        <v>346</v>
      </c>
      <c r="N1" s="45"/>
      <c r="O1" s="45" t="s">
        <v>273</v>
      </c>
      <c r="P1" s="45"/>
      <c r="Q1" s="45" t="s">
        <v>124</v>
      </c>
      <c r="R1" s="45"/>
      <c r="S1" s="45" t="s">
        <v>311</v>
      </c>
      <c r="T1" s="45"/>
      <c r="U1" s="45" t="s">
        <v>410</v>
      </c>
      <c r="V1" s="45"/>
      <c r="W1" s="45" t="s">
        <v>455</v>
      </c>
      <c r="X1" s="45"/>
      <c r="Y1" s="45"/>
    </row>
    <row r="2" spans="1:25" ht="12.75">
      <c r="A2" s="44"/>
      <c r="B2" s="44"/>
      <c r="C2" s="44"/>
      <c r="D2" s="44"/>
      <c r="E2" s="45" t="s">
        <v>265</v>
      </c>
      <c r="F2" s="45" t="s">
        <v>376</v>
      </c>
      <c r="G2" s="45" t="s">
        <v>358</v>
      </c>
      <c r="H2" s="45"/>
      <c r="I2" s="45" t="s">
        <v>389</v>
      </c>
      <c r="J2" s="45"/>
      <c r="K2" s="45" t="s">
        <v>1</v>
      </c>
      <c r="L2" s="45"/>
      <c r="M2" s="45" t="s">
        <v>345</v>
      </c>
      <c r="N2" s="45"/>
      <c r="O2" s="45" t="s">
        <v>272</v>
      </c>
      <c r="P2" s="45"/>
      <c r="Q2" s="45" t="s">
        <v>125</v>
      </c>
      <c r="R2" s="45"/>
      <c r="S2" s="45" t="s">
        <v>312</v>
      </c>
      <c r="T2" s="45"/>
      <c r="U2" s="45" t="s">
        <v>411</v>
      </c>
      <c r="V2" s="45"/>
      <c r="W2" s="45" t="s">
        <v>458</v>
      </c>
      <c r="X2" s="45"/>
      <c r="Y2" s="45"/>
    </row>
    <row r="3" spans="1:25" ht="12.75">
      <c r="A3" s="44"/>
      <c r="B3" s="44"/>
      <c r="C3" s="44"/>
      <c r="D3" s="44"/>
      <c r="E3" s="45" t="s">
        <v>176</v>
      </c>
      <c r="F3" s="45" t="s">
        <v>176</v>
      </c>
      <c r="G3" s="45" t="s">
        <v>340</v>
      </c>
      <c r="H3" s="45"/>
      <c r="I3" s="45" t="s">
        <v>357</v>
      </c>
      <c r="J3" s="45"/>
      <c r="K3" s="45" t="s">
        <v>390</v>
      </c>
      <c r="L3" s="45"/>
      <c r="M3" s="45" t="s">
        <v>361</v>
      </c>
      <c r="N3" s="45"/>
      <c r="O3" s="45" t="s">
        <v>346</v>
      </c>
      <c r="P3" s="45"/>
      <c r="Q3" s="45" t="s">
        <v>273</v>
      </c>
      <c r="R3" s="45"/>
      <c r="S3" s="45" t="s">
        <v>124</v>
      </c>
      <c r="T3" s="45"/>
      <c r="U3" s="45" t="s">
        <v>311</v>
      </c>
      <c r="V3" s="45"/>
      <c r="W3" s="45" t="s">
        <v>410</v>
      </c>
      <c r="X3" s="45"/>
      <c r="Y3" s="45"/>
    </row>
    <row r="4" spans="1:25" ht="12.75">
      <c r="A4" s="44"/>
      <c r="B4" s="44"/>
      <c r="C4" s="44"/>
      <c r="D4" s="44"/>
      <c r="E4" s="45" t="s">
        <v>266</v>
      </c>
      <c r="F4" s="45" t="s">
        <v>377</v>
      </c>
      <c r="G4" s="45" t="s">
        <v>339</v>
      </c>
      <c r="H4" s="45"/>
      <c r="I4" s="45" t="s">
        <v>282</v>
      </c>
      <c r="J4" s="45"/>
      <c r="K4" s="45" t="s">
        <v>382</v>
      </c>
      <c r="L4" s="45"/>
      <c r="M4" s="45" t="s">
        <v>336</v>
      </c>
      <c r="N4" s="45"/>
      <c r="O4" s="45" t="s">
        <v>322</v>
      </c>
      <c r="P4" s="45"/>
      <c r="Q4" s="45" t="s">
        <v>123</v>
      </c>
      <c r="R4" s="45"/>
      <c r="S4" s="45" t="s">
        <v>328</v>
      </c>
      <c r="T4" s="45"/>
      <c r="U4" s="45" t="s">
        <v>309</v>
      </c>
      <c r="V4" s="45"/>
      <c r="W4" s="45" t="s">
        <v>415</v>
      </c>
      <c r="X4" s="45"/>
      <c r="Y4" s="45"/>
    </row>
    <row r="5" spans="1:25" ht="18.75" customHeight="1">
      <c r="A5" s="191" t="s">
        <v>366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</row>
    <row r="6" spans="1:25" s="6" customFormat="1" ht="24.75" customHeight="1">
      <c r="A6" s="4" t="s">
        <v>9</v>
      </c>
      <c r="B6" s="3" t="s">
        <v>12</v>
      </c>
      <c r="C6" s="18" t="s">
        <v>13</v>
      </c>
      <c r="D6" s="4" t="s">
        <v>14</v>
      </c>
      <c r="E6" s="7" t="s">
        <v>173</v>
      </c>
      <c r="F6" s="7" t="s">
        <v>348</v>
      </c>
      <c r="G6" s="7" t="s">
        <v>173</v>
      </c>
      <c r="H6" s="7" t="s">
        <v>348</v>
      </c>
      <c r="I6" s="7" t="s">
        <v>174</v>
      </c>
      <c r="J6" s="7" t="s">
        <v>348</v>
      </c>
      <c r="K6" s="7" t="s">
        <v>174</v>
      </c>
      <c r="L6" s="7" t="s">
        <v>348</v>
      </c>
      <c r="M6" s="7" t="s">
        <v>174</v>
      </c>
      <c r="N6" s="7" t="s">
        <v>348</v>
      </c>
      <c r="O6" s="7" t="s">
        <v>174</v>
      </c>
      <c r="P6" s="7" t="s">
        <v>348</v>
      </c>
      <c r="Q6" s="7" t="s">
        <v>174</v>
      </c>
      <c r="R6" s="7" t="s">
        <v>348</v>
      </c>
      <c r="S6" s="7" t="s">
        <v>364</v>
      </c>
      <c r="T6" s="7" t="s">
        <v>348</v>
      </c>
      <c r="U6" s="7" t="s">
        <v>174</v>
      </c>
      <c r="V6" s="7" t="s">
        <v>348</v>
      </c>
      <c r="W6" s="7" t="s">
        <v>174</v>
      </c>
      <c r="X6" s="7" t="s">
        <v>348</v>
      </c>
      <c r="Y6" s="7" t="s">
        <v>364</v>
      </c>
    </row>
    <row r="7" spans="1:25" s="6" customFormat="1" ht="24" customHeight="1">
      <c r="A7" s="89" t="s">
        <v>15</v>
      </c>
      <c r="B7" s="3"/>
      <c r="C7" s="18"/>
      <c r="D7" s="115" t="s">
        <v>16</v>
      </c>
      <c r="E7" s="17">
        <f aca="true" t="shared" si="0" ref="E7:Y7">SUM(E8)</f>
        <v>1705280</v>
      </c>
      <c r="F7" s="17">
        <f t="shared" si="0"/>
        <v>0</v>
      </c>
      <c r="G7" s="17">
        <f t="shared" si="0"/>
        <v>1705280</v>
      </c>
      <c r="H7" s="17">
        <f t="shared" si="0"/>
        <v>0</v>
      </c>
      <c r="I7" s="17">
        <f t="shared" si="0"/>
        <v>1705280</v>
      </c>
      <c r="J7" s="17">
        <f t="shared" si="0"/>
        <v>0</v>
      </c>
      <c r="K7" s="17">
        <f t="shared" si="0"/>
        <v>1705280</v>
      </c>
      <c r="L7" s="17">
        <f t="shared" si="0"/>
        <v>794000</v>
      </c>
      <c r="M7" s="17">
        <f t="shared" si="0"/>
        <v>2499280</v>
      </c>
      <c r="N7" s="17">
        <f t="shared" si="0"/>
        <v>0</v>
      </c>
      <c r="O7" s="17">
        <f t="shared" si="0"/>
        <v>2499280</v>
      </c>
      <c r="P7" s="17">
        <f t="shared" si="0"/>
        <v>302081</v>
      </c>
      <c r="Q7" s="17">
        <f t="shared" si="0"/>
        <v>2801361</v>
      </c>
      <c r="R7" s="17">
        <f t="shared" si="0"/>
        <v>0</v>
      </c>
      <c r="S7" s="17">
        <f t="shared" si="0"/>
        <v>2801361</v>
      </c>
      <c r="T7" s="17">
        <f t="shared" si="0"/>
        <v>53753</v>
      </c>
      <c r="U7" s="17">
        <f t="shared" si="0"/>
        <v>2855114</v>
      </c>
      <c r="V7" s="17">
        <f t="shared" si="0"/>
        <v>0</v>
      </c>
      <c r="W7" s="17">
        <f t="shared" si="0"/>
        <v>2855114</v>
      </c>
      <c r="X7" s="17">
        <f t="shared" si="0"/>
        <v>224360</v>
      </c>
      <c r="Y7" s="17">
        <f t="shared" si="0"/>
        <v>3079474</v>
      </c>
    </row>
    <row r="8" spans="1:25" s="22" customFormat="1" ht="24" customHeight="1">
      <c r="A8" s="67"/>
      <c r="B8" s="65" t="s">
        <v>289</v>
      </c>
      <c r="C8" s="69"/>
      <c r="D8" s="116" t="s">
        <v>17</v>
      </c>
      <c r="E8" s="75">
        <f aca="true" t="shared" si="1" ref="E8:N8">SUM(E9:E10)</f>
        <v>1705280</v>
      </c>
      <c r="F8" s="75">
        <f t="shared" si="1"/>
        <v>0</v>
      </c>
      <c r="G8" s="75">
        <f t="shared" si="1"/>
        <v>1705280</v>
      </c>
      <c r="H8" s="75">
        <f t="shared" si="1"/>
        <v>0</v>
      </c>
      <c r="I8" s="75">
        <f t="shared" si="1"/>
        <v>1705280</v>
      </c>
      <c r="J8" s="75">
        <f t="shared" si="1"/>
        <v>0</v>
      </c>
      <c r="K8" s="75">
        <f t="shared" si="1"/>
        <v>1705280</v>
      </c>
      <c r="L8" s="75">
        <f t="shared" si="1"/>
        <v>794000</v>
      </c>
      <c r="M8" s="75">
        <f t="shared" si="1"/>
        <v>2499280</v>
      </c>
      <c r="N8" s="75">
        <f t="shared" si="1"/>
        <v>0</v>
      </c>
      <c r="O8" s="75">
        <f aca="true" t="shared" si="2" ref="O8:W8">SUM(O9:O12)</f>
        <v>2499280</v>
      </c>
      <c r="P8" s="75">
        <f t="shared" si="2"/>
        <v>302081</v>
      </c>
      <c r="Q8" s="75">
        <f t="shared" si="2"/>
        <v>2801361</v>
      </c>
      <c r="R8" s="75">
        <f t="shared" si="2"/>
        <v>0</v>
      </c>
      <c r="S8" s="75">
        <f t="shared" si="2"/>
        <v>2801361</v>
      </c>
      <c r="T8" s="75">
        <f t="shared" si="2"/>
        <v>53753</v>
      </c>
      <c r="U8" s="75">
        <f t="shared" si="2"/>
        <v>2855114</v>
      </c>
      <c r="V8" s="75">
        <f t="shared" si="2"/>
        <v>0</v>
      </c>
      <c r="W8" s="75">
        <f t="shared" si="2"/>
        <v>2855114</v>
      </c>
      <c r="X8" s="75">
        <f>SUM(X9:X12)</f>
        <v>224360</v>
      </c>
      <c r="Y8" s="75">
        <f>SUM(Y9:Y12)</f>
        <v>3079474</v>
      </c>
    </row>
    <row r="9" spans="1:25" s="22" customFormat="1" ht="60">
      <c r="A9" s="67"/>
      <c r="B9" s="40"/>
      <c r="C9" s="68" t="s">
        <v>191</v>
      </c>
      <c r="D9" s="66" t="s">
        <v>78</v>
      </c>
      <c r="E9" s="75">
        <f>280+4720</f>
        <v>5000</v>
      </c>
      <c r="F9" s="75"/>
      <c r="G9" s="75">
        <f>SUM(E9:F9)</f>
        <v>5000</v>
      </c>
      <c r="H9" s="75"/>
      <c r="I9" s="75">
        <f>SUM(G9:H9)</f>
        <v>5000</v>
      </c>
      <c r="J9" s="75"/>
      <c r="K9" s="75">
        <f>SUM(I9:J9)</f>
        <v>5000</v>
      </c>
      <c r="L9" s="75"/>
      <c r="M9" s="75">
        <f>SUM(K9:L9)</f>
        <v>5000</v>
      </c>
      <c r="N9" s="75"/>
      <c r="O9" s="75">
        <f>SUM(M9:N9)</f>
        <v>5000</v>
      </c>
      <c r="P9" s="75">
        <v>99720</v>
      </c>
      <c r="Q9" s="75">
        <f>SUM(O9:P9)</f>
        <v>104720</v>
      </c>
      <c r="R9" s="75"/>
      <c r="S9" s="75">
        <f>SUM(Q9:R9)</f>
        <v>104720</v>
      </c>
      <c r="T9" s="75">
        <f>5095+44658+4000</f>
        <v>53753</v>
      </c>
      <c r="U9" s="75">
        <f>SUM(S9:T9)</f>
        <v>158473</v>
      </c>
      <c r="V9" s="75"/>
      <c r="W9" s="75">
        <f>SUM(U9:V9)</f>
        <v>158473</v>
      </c>
      <c r="X9" s="75"/>
      <c r="Y9" s="75">
        <f>SUM(W9:X9)</f>
        <v>158473</v>
      </c>
    </row>
    <row r="10" spans="1:27" s="22" customFormat="1" ht="36">
      <c r="A10" s="67"/>
      <c r="B10" s="40"/>
      <c r="C10" s="68" t="s">
        <v>290</v>
      </c>
      <c r="D10" s="66" t="s">
        <v>304</v>
      </c>
      <c r="E10" s="75">
        <f>280+1700000</f>
        <v>1700280</v>
      </c>
      <c r="F10" s="75"/>
      <c r="G10" s="75">
        <f>SUM(E10:F10)</f>
        <v>1700280</v>
      </c>
      <c r="H10" s="75"/>
      <c r="I10" s="75">
        <f>SUM(G10:H10)</f>
        <v>1700280</v>
      </c>
      <c r="J10" s="75"/>
      <c r="K10" s="75">
        <f>SUM(I10:J10)</f>
        <v>1700280</v>
      </c>
      <c r="L10" s="75">
        <v>794000</v>
      </c>
      <c r="M10" s="75">
        <f>SUM(K10:L10)</f>
        <v>2494280</v>
      </c>
      <c r="N10" s="75"/>
      <c r="O10" s="75">
        <f>SUM(M10:N10)</f>
        <v>2494280</v>
      </c>
      <c r="P10" s="75"/>
      <c r="Q10" s="75">
        <f>SUM(O10:P10)</f>
        <v>2494280</v>
      </c>
      <c r="R10" s="75"/>
      <c r="S10" s="75">
        <f>SUM(Q10:R10)</f>
        <v>2494280</v>
      </c>
      <c r="T10" s="75"/>
      <c r="U10" s="75">
        <f>SUM(S10:T10)</f>
        <v>2494280</v>
      </c>
      <c r="V10" s="75"/>
      <c r="W10" s="75">
        <f>SUM(U10:V10)</f>
        <v>2494280</v>
      </c>
      <c r="X10" s="75"/>
      <c r="Y10" s="75">
        <f>SUM(W10:X10)</f>
        <v>2494280</v>
      </c>
      <c r="Z10" s="105"/>
      <c r="AA10" s="105"/>
    </row>
    <row r="11" spans="1:27" s="22" customFormat="1" ht="24.75" customHeight="1">
      <c r="A11" s="67"/>
      <c r="B11" s="40"/>
      <c r="C11" s="63" t="s">
        <v>192</v>
      </c>
      <c r="D11" s="66" t="s">
        <v>22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>
        <v>0</v>
      </c>
      <c r="P11" s="75">
        <v>10000</v>
      </c>
      <c r="Q11" s="75">
        <f>SUM(O11:P11)</f>
        <v>10000</v>
      </c>
      <c r="R11" s="75"/>
      <c r="S11" s="75">
        <f>SUM(Q11:R11)</f>
        <v>10000</v>
      </c>
      <c r="T11" s="75"/>
      <c r="U11" s="75">
        <f>SUM(S11:T11)</f>
        <v>10000</v>
      </c>
      <c r="V11" s="75"/>
      <c r="W11" s="75">
        <f>SUM(U11:V11)</f>
        <v>10000</v>
      </c>
      <c r="X11" s="75"/>
      <c r="Y11" s="75">
        <f>SUM(W11:X11)</f>
        <v>10000</v>
      </c>
      <c r="Z11" s="105"/>
      <c r="AA11" s="105"/>
    </row>
    <row r="12" spans="1:27" s="22" customFormat="1" ht="48">
      <c r="A12" s="67"/>
      <c r="B12" s="40"/>
      <c r="C12" s="63">
        <v>2010</v>
      </c>
      <c r="D12" s="66" t="s">
        <v>251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>
        <v>0</v>
      </c>
      <c r="P12" s="75">
        <v>192361</v>
      </c>
      <c r="Q12" s="75">
        <f>SUM(O12:P12)</f>
        <v>192361</v>
      </c>
      <c r="R12" s="75"/>
      <c r="S12" s="75">
        <f>SUM(Q12:R12)</f>
        <v>192361</v>
      </c>
      <c r="T12" s="75"/>
      <c r="U12" s="75">
        <f>SUM(S12:T12)</f>
        <v>192361</v>
      </c>
      <c r="V12" s="75"/>
      <c r="W12" s="75">
        <f>SUM(U12:V12)</f>
        <v>192361</v>
      </c>
      <c r="X12" s="75">
        <v>224360</v>
      </c>
      <c r="Y12" s="75">
        <f>SUM(W12:X12)</f>
        <v>416721</v>
      </c>
      <c r="Z12" s="105"/>
      <c r="AA12" s="105"/>
    </row>
    <row r="13" spans="1:25" s="5" customFormat="1" ht="24" customHeight="1">
      <c r="A13" s="27" t="s">
        <v>19</v>
      </c>
      <c r="B13" s="1"/>
      <c r="C13" s="2"/>
      <c r="D13" s="28" t="s">
        <v>20</v>
      </c>
      <c r="E13" s="46">
        <f aca="true" t="shared" si="3" ref="E13:N13">SUM(E14,)</f>
        <v>2864720</v>
      </c>
      <c r="F13" s="46">
        <f t="shared" si="3"/>
        <v>1163000</v>
      </c>
      <c r="G13" s="46">
        <f t="shared" si="3"/>
        <v>4027720</v>
      </c>
      <c r="H13" s="46">
        <f t="shared" si="3"/>
        <v>0</v>
      </c>
      <c r="I13" s="46">
        <f t="shared" si="3"/>
        <v>4027720</v>
      </c>
      <c r="J13" s="46">
        <f t="shared" si="3"/>
        <v>0</v>
      </c>
      <c r="K13" s="46">
        <f t="shared" si="3"/>
        <v>4027720</v>
      </c>
      <c r="L13" s="46">
        <f t="shared" si="3"/>
        <v>951630</v>
      </c>
      <c r="M13" s="46">
        <f t="shared" si="3"/>
        <v>4979350</v>
      </c>
      <c r="N13" s="46">
        <f t="shared" si="3"/>
        <v>0</v>
      </c>
      <c r="O13" s="46">
        <f aca="true" t="shared" si="4" ref="O13:W13">SUM(O14,O20)</f>
        <v>4979350</v>
      </c>
      <c r="P13" s="46">
        <f t="shared" si="4"/>
        <v>1884491</v>
      </c>
      <c r="Q13" s="46">
        <f t="shared" si="4"/>
        <v>6863841</v>
      </c>
      <c r="R13" s="46">
        <f t="shared" si="4"/>
        <v>0</v>
      </c>
      <c r="S13" s="46">
        <f t="shared" si="4"/>
        <v>6863841</v>
      </c>
      <c r="T13" s="46">
        <f t="shared" si="4"/>
        <v>305164</v>
      </c>
      <c r="U13" s="46">
        <f t="shared" si="4"/>
        <v>7169005</v>
      </c>
      <c r="V13" s="46">
        <f t="shared" si="4"/>
        <v>0</v>
      </c>
      <c r="W13" s="46">
        <f t="shared" si="4"/>
        <v>7169005</v>
      </c>
      <c r="X13" s="46">
        <f>SUM(X14,X20)</f>
        <v>0</v>
      </c>
      <c r="Y13" s="46">
        <f>SUM(Y14,Y20)</f>
        <v>7169005</v>
      </c>
    </row>
    <row r="14" spans="1:25" s="22" customFormat="1" ht="24" customHeight="1">
      <c r="A14" s="61"/>
      <c r="B14" s="62" t="s">
        <v>21</v>
      </c>
      <c r="C14" s="69"/>
      <c r="D14" s="66" t="s">
        <v>178</v>
      </c>
      <c r="E14" s="60">
        <f aca="true" t="shared" si="5" ref="E14:W14">SUM(E15:E19)</f>
        <v>2864720</v>
      </c>
      <c r="F14" s="60">
        <f t="shared" si="5"/>
        <v>1163000</v>
      </c>
      <c r="G14" s="60">
        <f t="shared" si="5"/>
        <v>4027720</v>
      </c>
      <c r="H14" s="60">
        <f t="shared" si="5"/>
        <v>0</v>
      </c>
      <c r="I14" s="60">
        <f t="shared" si="5"/>
        <v>4027720</v>
      </c>
      <c r="J14" s="60">
        <f t="shared" si="5"/>
        <v>0</v>
      </c>
      <c r="K14" s="60">
        <f t="shared" si="5"/>
        <v>4027720</v>
      </c>
      <c r="L14" s="60">
        <f t="shared" si="5"/>
        <v>951630</v>
      </c>
      <c r="M14" s="60">
        <f t="shared" si="5"/>
        <v>4979350</v>
      </c>
      <c r="N14" s="60">
        <f t="shared" si="5"/>
        <v>0</v>
      </c>
      <c r="O14" s="60">
        <f t="shared" si="5"/>
        <v>4979350</v>
      </c>
      <c r="P14" s="60">
        <f t="shared" si="5"/>
        <v>1884091</v>
      </c>
      <c r="Q14" s="60">
        <f t="shared" si="5"/>
        <v>6863441</v>
      </c>
      <c r="R14" s="60">
        <f t="shared" si="5"/>
        <v>0</v>
      </c>
      <c r="S14" s="60">
        <f t="shared" si="5"/>
        <v>6863441</v>
      </c>
      <c r="T14" s="60">
        <f t="shared" si="5"/>
        <v>305164</v>
      </c>
      <c r="U14" s="60">
        <f t="shared" si="5"/>
        <v>7168605</v>
      </c>
      <c r="V14" s="60">
        <f t="shared" si="5"/>
        <v>0</v>
      </c>
      <c r="W14" s="60">
        <f t="shared" si="5"/>
        <v>7168605</v>
      </c>
      <c r="X14" s="60">
        <f>SUM(X15:X19)</f>
        <v>0</v>
      </c>
      <c r="Y14" s="60">
        <f>SUM(Y15:Y19)</f>
        <v>7168605</v>
      </c>
    </row>
    <row r="15" spans="1:25" s="22" customFormat="1" ht="24" customHeight="1">
      <c r="A15" s="61"/>
      <c r="B15" s="40"/>
      <c r="C15" s="68" t="s">
        <v>190</v>
      </c>
      <c r="D15" s="66" t="s">
        <v>250</v>
      </c>
      <c r="E15" s="60">
        <v>175000</v>
      </c>
      <c r="F15" s="60"/>
      <c r="G15" s="60">
        <f>SUM(E15:F15)</f>
        <v>175000</v>
      </c>
      <c r="H15" s="60"/>
      <c r="I15" s="60">
        <f>SUM(G15:H15)</f>
        <v>175000</v>
      </c>
      <c r="J15" s="60"/>
      <c r="K15" s="60">
        <f>SUM(I15:J15)</f>
        <v>175000</v>
      </c>
      <c r="L15" s="60"/>
      <c r="M15" s="60">
        <f>SUM(K15:L15)</f>
        <v>175000</v>
      </c>
      <c r="N15" s="60"/>
      <c r="O15" s="60">
        <f>SUM(M15:N15)</f>
        <v>175000</v>
      </c>
      <c r="P15" s="60"/>
      <c r="Q15" s="60">
        <f>SUM(O15:P15)</f>
        <v>175000</v>
      </c>
      <c r="R15" s="60"/>
      <c r="S15" s="60">
        <f>SUM(Q15:R15)</f>
        <v>175000</v>
      </c>
      <c r="T15" s="60"/>
      <c r="U15" s="60">
        <f>SUM(S15:T15)</f>
        <v>175000</v>
      </c>
      <c r="V15" s="60"/>
      <c r="W15" s="60">
        <f>SUM(U15:V15)</f>
        <v>175000</v>
      </c>
      <c r="X15" s="60"/>
      <c r="Y15" s="60">
        <f>SUM(W15:X15)</f>
        <v>175000</v>
      </c>
    </row>
    <row r="16" spans="1:25" s="22" customFormat="1" ht="60">
      <c r="A16" s="61"/>
      <c r="B16" s="40"/>
      <c r="C16" s="63" t="s">
        <v>191</v>
      </c>
      <c r="D16" s="66" t="s">
        <v>78</v>
      </c>
      <c r="E16" s="60">
        <f>16000+61000+9000+18000+4000</f>
        <v>108000</v>
      </c>
      <c r="F16" s="60">
        <v>1163000</v>
      </c>
      <c r="G16" s="60">
        <f>SUM(E16:F16)</f>
        <v>1271000</v>
      </c>
      <c r="H16" s="60"/>
      <c r="I16" s="60">
        <f>SUM(G16:H16)</f>
        <v>1271000</v>
      </c>
      <c r="J16" s="60"/>
      <c r="K16" s="60">
        <f>SUM(I16:J16)</f>
        <v>1271000</v>
      </c>
      <c r="L16" s="60"/>
      <c r="M16" s="60">
        <f>SUM(K16:L16)</f>
        <v>1271000</v>
      </c>
      <c r="N16" s="60"/>
      <c r="O16" s="60">
        <f>SUM(M16:N16)</f>
        <v>1271000</v>
      </c>
      <c r="P16" s="60"/>
      <c r="Q16" s="60">
        <f>SUM(O16:P16)</f>
        <v>1271000</v>
      </c>
      <c r="R16" s="60"/>
      <c r="S16" s="60">
        <f>SUM(Q16:R16)</f>
        <v>1271000</v>
      </c>
      <c r="T16" s="60">
        <v>205164</v>
      </c>
      <c r="U16" s="60">
        <f>SUM(S16:T16)</f>
        <v>1476164</v>
      </c>
      <c r="V16" s="60"/>
      <c r="W16" s="60">
        <f>SUM(U16:V16)</f>
        <v>1476164</v>
      </c>
      <c r="X16" s="60"/>
      <c r="Y16" s="60">
        <f>SUM(W16:X16)</f>
        <v>1476164</v>
      </c>
    </row>
    <row r="17" spans="1:27" s="22" customFormat="1" ht="48">
      <c r="A17" s="61"/>
      <c r="B17" s="40"/>
      <c r="C17" s="63" t="s">
        <v>268</v>
      </c>
      <c r="D17" s="66" t="s">
        <v>332</v>
      </c>
      <c r="E17" s="60">
        <v>400</v>
      </c>
      <c r="F17" s="60"/>
      <c r="G17" s="60">
        <f>SUM(E17:F17)</f>
        <v>400</v>
      </c>
      <c r="H17" s="60"/>
      <c r="I17" s="60">
        <f>SUM(G17:H17)</f>
        <v>400</v>
      </c>
      <c r="J17" s="60"/>
      <c r="K17" s="60">
        <f>SUM(I17:J17)</f>
        <v>400</v>
      </c>
      <c r="L17" s="60">
        <v>157461</v>
      </c>
      <c r="M17" s="60">
        <f>SUM(K17:L17)</f>
        <v>157861</v>
      </c>
      <c r="N17" s="60"/>
      <c r="O17" s="60">
        <f>SUM(M17:N17)</f>
        <v>157861</v>
      </c>
      <c r="P17" s="60"/>
      <c r="Q17" s="60">
        <f>SUM(O17:P17)</f>
        <v>157861</v>
      </c>
      <c r="R17" s="60"/>
      <c r="S17" s="60">
        <f>SUM(Q17:R17)</f>
        <v>157861</v>
      </c>
      <c r="T17" s="60"/>
      <c r="U17" s="60">
        <f>SUM(S17:T17)</f>
        <v>157861</v>
      </c>
      <c r="V17" s="60"/>
      <c r="W17" s="60">
        <f>SUM(U17:V17)</f>
        <v>157861</v>
      </c>
      <c r="X17" s="60"/>
      <c r="Y17" s="60">
        <f>SUM(W17:X17)</f>
        <v>157861</v>
      </c>
      <c r="Z17" s="105"/>
      <c r="AA17" s="105"/>
    </row>
    <row r="18" spans="1:27" s="22" customFormat="1" ht="36">
      <c r="A18" s="61"/>
      <c r="B18" s="40"/>
      <c r="C18" s="63" t="s">
        <v>290</v>
      </c>
      <c r="D18" s="66" t="s">
        <v>304</v>
      </c>
      <c r="E18" s="60">
        <f>8610+101200+716200+1751310</f>
        <v>2577320</v>
      </c>
      <c r="F18" s="60"/>
      <c r="G18" s="60">
        <f>SUM(E18:F18)</f>
        <v>2577320</v>
      </c>
      <c r="H18" s="60"/>
      <c r="I18" s="60">
        <f>SUM(G18:H18)</f>
        <v>2577320</v>
      </c>
      <c r="J18" s="60"/>
      <c r="K18" s="60">
        <f>SUM(I18:J18)</f>
        <v>2577320</v>
      </c>
      <c r="L18" s="60">
        <f>794084.5+84.5</f>
        <v>794169</v>
      </c>
      <c r="M18" s="60">
        <f>SUM(K18:L18)</f>
        <v>3371489</v>
      </c>
      <c r="N18" s="60"/>
      <c r="O18" s="60">
        <f>SUM(M18:N18)</f>
        <v>3371489</v>
      </c>
      <c r="P18" s="60">
        <f>1764000+794091-674000</f>
        <v>1884091</v>
      </c>
      <c r="Q18" s="60">
        <f>SUM(O18:P18)</f>
        <v>5255580</v>
      </c>
      <c r="R18" s="60"/>
      <c r="S18" s="60">
        <f>SUM(Q18:R18)</f>
        <v>5255580</v>
      </c>
      <c r="T18" s="60">
        <v>100000</v>
      </c>
      <c r="U18" s="60">
        <f>SUM(S18:T18)</f>
        <v>5355580</v>
      </c>
      <c r="V18" s="60"/>
      <c r="W18" s="60">
        <f>SUM(U18:V18)</f>
        <v>5355580</v>
      </c>
      <c r="X18" s="60"/>
      <c r="Y18" s="60">
        <f>SUM(W18:X18)</f>
        <v>5355580</v>
      </c>
      <c r="Z18" s="105"/>
      <c r="AA18" s="105"/>
    </row>
    <row r="19" spans="1:27" s="22" customFormat="1" ht="21.75" customHeight="1">
      <c r="A19" s="61"/>
      <c r="B19" s="40"/>
      <c r="C19" s="63" t="s">
        <v>192</v>
      </c>
      <c r="D19" s="66" t="s">
        <v>22</v>
      </c>
      <c r="E19" s="60">
        <v>4000</v>
      </c>
      <c r="F19" s="60"/>
      <c r="G19" s="60">
        <f>SUM(E19:F19)</f>
        <v>4000</v>
      </c>
      <c r="H19" s="60"/>
      <c r="I19" s="60">
        <f>SUM(G19:H19)</f>
        <v>4000</v>
      </c>
      <c r="J19" s="60"/>
      <c r="K19" s="60">
        <f>SUM(I19:J19)</f>
        <v>4000</v>
      </c>
      <c r="L19" s="60"/>
      <c r="M19" s="60">
        <f>SUM(K19:L19)</f>
        <v>4000</v>
      </c>
      <c r="N19" s="60"/>
      <c r="O19" s="60">
        <f>SUM(M19:N19)</f>
        <v>4000</v>
      </c>
      <c r="P19" s="60"/>
      <c r="Q19" s="60">
        <f>SUM(O19:P19)</f>
        <v>4000</v>
      </c>
      <c r="R19" s="60"/>
      <c r="S19" s="60">
        <f>SUM(Q19:R19)</f>
        <v>4000</v>
      </c>
      <c r="T19" s="60"/>
      <c r="U19" s="60">
        <f>SUM(S19:T19)</f>
        <v>4000</v>
      </c>
      <c r="V19" s="60"/>
      <c r="W19" s="60">
        <f>SUM(U19:V19)</f>
        <v>4000</v>
      </c>
      <c r="X19" s="60"/>
      <c r="Y19" s="60">
        <f>SUM(W19:X19)</f>
        <v>4000</v>
      </c>
      <c r="Z19" s="132"/>
      <c r="AA19" s="132"/>
    </row>
    <row r="20" spans="1:27" s="22" customFormat="1" ht="21.75" customHeight="1">
      <c r="A20" s="61"/>
      <c r="B20" s="40">
        <v>70095</v>
      </c>
      <c r="C20" s="63"/>
      <c r="D20" s="66" t="s">
        <v>17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f aca="true" t="shared" si="6" ref="O20:Y20">SUM(O21)</f>
        <v>0</v>
      </c>
      <c r="P20" s="60">
        <f t="shared" si="6"/>
        <v>400</v>
      </c>
      <c r="Q20" s="60">
        <f t="shared" si="6"/>
        <v>400</v>
      </c>
      <c r="R20" s="60">
        <f t="shared" si="6"/>
        <v>0</v>
      </c>
      <c r="S20" s="60">
        <f t="shared" si="6"/>
        <v>400</v>
      </c>
      <c r="T20" s="60">
        <f t="shared" si="6"/>
        <v>0</v>
      </c>
      <c r="U20" s="60">
        <f t="shared" si="6"/>
        <v>400</v>
      </c>
      <c r="V20" s="60">
        <f t="shared" si="6"/>
        <v>0</v>
      </c>
      <c r="W20" s="60">
        <f t="shared" si="6"/>
        <v>400</v>
      </c>
      <c r="X20" s="60">
        <f t="shared" si="6"/>
        <v>0</v>
      </c>
      <c r="Y20" s="60">
        <f t="shared" si="6"/>
        <v>400</v>
      </c>
      <c r="Z20" s="132"/>
      <c r="AA20" s="132"/>
    </row>
    <row r="21" spans="1:27" s="22" customFormat="1" ht="21.75" customHeight="1">
      <c r="A21" s="61"/>
      <c r="B21" s="40"/>
      <c r="C21" s="63" t="s">
        <v>193</v>
      </c>
      <c r="D21" s="66" t="s">
        <v>23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>
        <v>0</v>
      </c>
      <c r="P21" s="60">
        <v>400</v>
      </c>
      <c r="Q21" s="60">
        <f>SUM(O21:P21)</f>
        <v>400</v>
      </c>
      <c r="R21" s="60"/>
      <c r="S21" s="60">
        <f>SUM(Q21:R21)</f>
        <v>400</v>
      </c>
      <c r="T21" s="60"/>
      <c r="U21" s="60">
        <f>SUM(S21:T21)</f>
        <v>400</v>
      </c>
      <c r="V21" s="60"/>
      <c r="W21" s="60">
        <f>SUM(U21:V21)</f>
        <v>400</v>
      </c>
      <c r="X21" s="60"/>
      <c r="Y21" s="60">
        <f>SUM(W21:X21)</f>
        <v>400</v>
      </c>
      <c r="Z21" s="132"/>
      <c r="AA21" s="132"/>
    </row>
    <row r="22" spans="1:25" s="5" customFormat="1" ht="24" customHeight="1">
      <c r="A22" s="27" t="s">
        <v>26</v>
      </c>
      <c r="B22" s="1"/>
      <c r="C22" s="2"/>
      <c r="D22" s="28" t="s">
        <v>27</v>
      </c>
      <c r="E22" s="46">
        <f aca="true" t="shared" si="7" ref="E22:W22">SUM(E23,E26)</f>
        <v>160250</v>
      </c>
      <c r="F22" s="46">
        <f t="shared" si="7"/>
        <v>0</v>
      </c>
      <c r="G22" s="46">
        <f t="shared" si="7"/>
        <v>160250</v>
      </c>
      <c r="H22" s="46">
        <f t="shared" si="7"/>
        <v>0</v>
      </c>
      <c r="I22" s="46">
        <f t="shared" si="7"/>
        <v>160250</v>
      </c>
      <c r="J22" s="46">
        <f t="shared" si="7"/>
        <v>0</v>
      </c>
      <c r="K22" s="46">
        <f t="shared" si="7"/>
        <v>160250</v>
      </c>
      <c r="L22" s="46">
        <f t="shared" si="7"/>
        <v>0</v>
      </c>
      <c r="M22" s="46">
        <f t="shared" si="7"/>
        <v>160250</v>
      </c>
      <c r="N22" s="46">
        <f t="shared" si="7"/>
        <v>0</v>
      </c>
      <c r="O22" s="46">
        <f t="shared" si="7"/>
        <v>160250</v>
      </c>
      <c r="P22" s="46">
        <f t="shared" si="7"/>
        <v>0</v>
      </c>
      <c r="Q22" s="46">
        <f t="shared" si="7"/>
        <v>160250</v>
      </c>
      <c r="R22" s="46">
        <f t="shared" si="7"/>
        <v>0</v>
      </c>
      <c r="S22" s="46">
        <f t="shared" si="7"/>
        <v>160250</v>
      </c>
      <c r="T22" s="46">
        <f t="shared" si="7"/>
        <v>8211</v>
      </c>
      <c r="U22" s="46">
        <f t="shared" si="7"/>
        <v>168461</v>
      </c>
      <c r="V22" s="46">
        <f t="shared" si="7"/>
        <v>0</v>
      </c>
      <c r="W22" s="46">
        <f t="shared" si="7"/>
        <v>168461</v>
      </c>
      <c r="X22" s="46">
        <f>SUM(X23,X26)</f>
        <v>0</v>
      </c>
      <c r="Y22" s="46">
        <f>SUM(Y23,Y26)</f>
        <v>168461</v>
      </c>
    </row>
    <row r="23" spans="1:25" s="22" customFormat="1" ht="24" customHeight="1">
      <c r="A23" s="61"/>
      <c r="B23" s="62">
        <v>75011</v>
      </c>
      <c r="C23" s="69"/>
      <c r="D23" s="66" t="s">
        <v>28</v>
      </c>
      <c r="E23" s="60">
        <f aca="true" t="shared" si="8" ref="E23:W23">SUM(E24:E25)</f>
        <v>157250</v>
      </c>
      <c r="F23" s="60">
        <f t="shared" si="8"/>
        <v>0</v>
      </c>
      <c r="G23" s="60">
        <f t="shared" si="8"/>
        <v>157250</v>
      </c>
      <c r="H23" s="60">
        <f t="shared" si="8"/>
        <v>0</v>
      </c>
      <c r="I23" s="60">
        <f t="shared" si="8"/>
        <v>157250</v>
      </c>
      <c r="J23" s="60">
        <f t="shared" si="8"/>
        <v>0</v>
      </c>
      <c r="K23" s="60">
        <f t="shared" si="8"/>
        <v>157250</v>
      </c>
      <c r="L23" s="60">
        <f t="shared" si="8"/>
        <v>0</v>
      </c>
      <c r="M23" s="60">
        <f t="shared" si="8"/>
        <v>157250</v>
      </c>
      <c r="N23" s="60">
        <f t="shared" si="8"/>
        <v>0</v>
      </c>
      <c r="O23" s="60">
        <f t="shared" si="8"/>
        <v>157250</v>
      </c>
      <c r="P23" s="60">
        <f t="shared" si="8"/>
        <v>0</v>
      </c>
      <c r="Q23" s="60">
        <f t="shared" si="8"/>
        <v>157250</v>
      </c>
      <c r="R23" s="60">
        <f t="shared" si="8"/>
        <v>0</v>
      </c>
      <c r="S23" s="60">
        <f t="shared" si="8"/>
        <v>157250</v>
      </c>
      <c r="T23" s="60">
        <f t="shared" si="8"/>
        <v>2211</v>
      </c>
      <c r="U23" s="60">
        <f t="shared" si="8"/>
        <v>159461</v>
      </c>
      <c r="V23" s="60">
        <f t="shared" si="8"/>
        <v>0</v>
      </c>
      <c r="W23" s="60">
        <f t="shared" si="8"/>
        <v>159461</v>
      </c>
      <c r="X23" s="60">
        <f>SUM(X24:X25)</f>
        <v>0</v>
      </c>
      <c r="Y23" s="60">
        <f>SUM(Y24:Y25)</f>
        <v>159461</v>
      </c>
    </row>
    <row r="24" spans="1:25" s="22" customFormat="1" ht="48">
      <c r="A24" s="61"/>
      <c r="B24" s="40"/>
      <c r="C24" s="63">
        <v>2010</v>
      </c>
      <c r="D24" s="66" t="s">
        <v>251</v>
      </c>
      <c r="E24" s="75">
        <v>153500</v>
      </c>
      <c r="F24" s="75"/>
      <c r="G24" s="75">
        <f>SUM(E24:F24)</f>
        <v>153500</v>
      </c>
      <c r="H24" s="75"/>
      <c r="I24" s="75">
        <f>SUM(G24:H24)</f>
        <v>153500</v>
      </c>
      <c r="J24" s="75"/>
      <c r="K24" s="75">
        <f>SUM(I24:J24)</f>
        <v>153500</v>
      </c>
      <c r="L24" s="75"/>
      <c r="M24" s="75">
        <f>SUM(K24:L24)</f>
        <v>153500</v>
      </c>
      <c r="N24" s="75"/>
      <c r="O24" s="75">
        <f>SUM(M24:N24)</f>
        <v>153500</v>
      </c>
      <c r="P24" s="75"/>
      <c r="Q24" s="75">
        <f>SUM(O24:P24)</f>
        <v>153500</v>
      </c>
      <c r="R24" s="75"/>
      <c r="S24" s="75">
        <f>SUM(Q24:R24)</f>
        <v>153500</v>
      </c>
      <c r="T24" s="75">
        <v>2211</v>
      </c>
      <c r="U24" s="75">
        <f>SUM(S24:T24)</f>
        <v>155711</v>
      </c>
      <c r="V24" s="75"/>
      <c r="W24" s="75">
        <f>SUM(U24:V24)</f>
        <v>155711</v>
      </c>
      <c r="X24" s="75"/>
      <c r="Y24" s="75">
        <f>SUM(W24:X24)</f>
        <v>155711</v>
      </c>
    </row>
    <row r="25" spans="1:25" s="22" customFormat="1" ht="48">
      <c r="A25" s="61"/>
      <c r="B25" s="40"/>
      <c r="C25" s="63">
        <v>2360</v>
      </c>
      <c r="D25" s="66" t="s">
        <v>217</v>
      </c>
      <c r="E25" s="60">
        <v>3750</v>
      </c>
      <c r="F25" s="60"/>
      <c r="G25" s="75">
        <f>SUM(E25:F25)</f>
        <v>3750</v>
      </c>
      <c r="H25" s="60"/>
      <c r="I25" s="75">
        <f>SUM(G25:H25)</f>
        <v>3750</v>
      </c>
      <c r="J25" s="60"/>
      <c r="K25" s="75">
        <f>SUM(I25:J25)</f>
        <v>3750</v>
      </c>
      <c r="L25" s="60"/>
      <c r="M25" s="75">
        <f>SUM(K25:L25)</f>
        <v>3750</v>
      </c>
      <c r="N25" s="60"/>
      <c r="O25" s="75">
        <f>SUM(M25:N25)</f>
        <v>3750</v>
      </c>
      <c r="P25" s="60"/>
      <c r="Q25" s="75">
        <f>SUM(O25:P25)</f>
        <v>3750</v>
      </c>
      <c r="R25" s="60"/>
      <c r="S25" s="75">
        <f>SUM(Q25:R25)</f>
        <v>3750</v>
      </c>
      <c r="T25" s="60"/>
      <c r="U25" s="75">
        <f>SUM(S25:T25)</f>
        <v>3750</v>
      </c>
      <c r="V25" s="60"/>
      <c r="W25" s="75">
        <f>SUM(U25:V25)</f>
        <v>3750</v>
      </c>
      <c r="X25" s="60"/>
      <c r="Y25" s="75">
        <f>SUM(W25:X25)</f>
        <v>3750</v>
      </c>
    </row>
    <row r="26" spans="1:25" s="22" customFormat="1" ht="24">
      <c r="A26" s="61"/>
      <c r="B26" s="40">
        <v>75023</v>
      </c>
      <c r="C26" s="63"/>
      <c r="D26" s="36" t="s">
        <v>30</v>
      </c>
      <c r="E26" s="60">
        <f aca="true" t="shared" si="9" ref="E26:Y26">SUM(E27)</f>
        <v>3000</v>
      </c>
      <c r="F26" s="60">
        <f t="shared" si="9"/>
        <v>0</v>
      </c>
      <c r="G26" s="60">
        <f t="shared" si="9"/>
        <v>3000</v>
      </c>
      <c r="H26" s="60">
        <f t="shared" si="9"/>
        <v>0</v>
      </c>
      <c r="I26" s="60">
        <f t="shared" si="9"/>
        <v>3000</v>
      </c>
      <c r="J26" s="60">
        <f t="shared" si="9"/>
        <v>0</v>
      </c>
      <c r="K26" s="60">
        <f t="shared" si="9"/>
        <v>3000</v>
      </c>
      <c r="L26" s="60">
        <f t="shared" si="9"/>
        <v>0</v>
      </c>
      <c r="M26" s="60">
        <f t="shared" si="9"/>
        <v>3000</v>
      </c>
      <c r="N26" s="60">
        <f t="shared" si="9"/>
        <v>0</v>
      </c>
      <c r="O26" s="60">
        <f t="shared" si="9"/>
        <v>3000</v>
      </c>
      <c r="P26" s="60">
        <f t="shared" si="9"/>
        <v>0</v>
      </c>
      <c r="Q26" s="60">
        <f t="shared" si="9"/>
        <v>3000</v>
      </c>
      <c r="R26" s="60">
        <f t="shared" si="9"/>
        <v>0</v>
      </c>
      <c r="S26" s="60">
        <f t="shared" si="9"/>
        <v>3000</v>
      </c>
      <c r="T26" s="60">
        <f t="shared" si="9"/>
        <v>6000</v>
      </c>
      <c r="U26" s="60">
        <f t="shared" si="9"/>
        <v>9000</v>
      </c>
      <c r="V26" s="60">
        <f t="shared" si="9"/>
        <v>0</v>
      </c>
      <c r="W26" s="60">
        <f t="shared" si="9"/>
        <v>9000</v>
      </c>
      <c r="X26" s="60">
        <f t="shared" si="9"/>
        <v>0</v>
      </c>
      <c r="Y26" s="60">
        <f t="shared" si="9"/>
        <v>9000</v>
      </c>
    </row>
    <row r="27" spans="1:25" s="22" customFormat="1" ht="21.75" customHeight="1">
      <c r="A27" s="61"/>
      <c r="B27" s="40"/>
      <c r="C27" s="63" t="s">
        <v>193</v>
      </c>
      <c r="D27" s="66" t="s">
        <v>23</v>
      </c>
      <c r="E27" s="60">
        <v>3000</v>
      </c>
      <c r="F27" s="60"/>
      <c r="G27" s="60">
        <f>SUM(E27:F27)</f>
        <v>3000</v>
      </c>
      <c r="H27" s="60"/>
      <c r="I27" s="60">
        <f>SUM(G27:H27)</f>
        <v>3000</v>
      </c>
      <c r="J27" s="60"/>
      <c r="K27" s="60">
        <f>SUM(I27:J27)</f>
        <v>3000</v>
      </c>
      <c r="L27" s="60"/>
      <c r="M27" s="60">
        <f>SUM(K27:L27)</f>
        <v>3000</v>
      </c>
      <c r="N27" s="60"/>
      <c r="O27" s="60">
        <f>SUM(M27:N27)</f>
        <v>3000</v>
      </c>
      <c r="P27" s="60"/>
      <c r="Q27" s="60">
        <f>SUM(O27:P27)</f>
        <v>3000</v>
      </c>
      <c r="R27" s="60"/>
      <c r="S27" s="60">
        <f>SUM(Q27:R27)</f>
        <v>3000</v>
      </c>
      <c r="T27" s="60">
        <v>6000</v>
      </c>
      <c r="U27" s="60">
        <f>SUM(S27:T27)</f>
        <v>9000</v>
      </c>
      <c r="V27" s="60"/>
      <c r="W27" s="60">
        <f>SUM(U27:V27)</f>
        <v>9000</v>
      </c>
      <c r="X27" s="60"/>
      <c r="Y27" s="60">
        <f>SUM(W27:X27)</f>
        <v>9000</v>
      </c>
    </row>
    <row r="28" spans="1:25" s="5" customFormat="1" ht="36">
      <c r="A28" s="27">
        <v>751</v>
      </c>
      <c r="B28" s="3"/>
      <c r="C28" s="18"/>
      <c r="D28" s="28" t="s">
        <v>31</v>
      </c>
      <c r="E28" s="46">
        <f aca="true" t="shared" si="10" ref="E28:N29">SUM(E29)</f>
        <v>3910</v>
      </c>
      <c r="F28" s="46">
        <f t="shared" si="10"/>
        <v>0</v>
      </c>
      <c r="G28" s="46">
        <f t="shared" si="10"/>
        <v>3910</v>
      </c>
      <c r="H28" s="46">
        <f t="shared" si="10"/>
        <v>0</v>
      </c>
      <c r="I28" s="46">
        <f t="shared" si="10"/>
        <v>3910</v>
      </c>
      <c r="J28" s="46">
        <f t="shared" si="10"/>
        <v>-414</v>
      </c>
      <c r="K28" s="46">
        <f t="shared" si="10"/>
        <v>3496</v>
      </c>
      <c r="L28" s="46">
        <f t="shared" si="10"/>
        <v>0</v>
      </c>
      <c r="M28" s="46">
        <f t="shared" si="10"/>
        <v>3496</v>
      </c>
      <c r="N28" s="46">
        <f t="shared" si="10"/>
        <v>0</v>
      </c>
      <c r="O28" s="46">
        <f aca="true" t="shared" si="11" ref="O28:Y29">SUM(O29)</f>
        <v>3496</v>
      </c>
      <c r="P28" s="46">
        <f t="shared" si="11"/>
        <v>0</v>
      </c>
      <c r="Q28" s="46">
        <f t="shared" si="11"/>
        <v>3496</v>
      </c>
      <c r="R28" s="46">
        <f t="shared" si="11"/>
        <v>0</v>
      </c>
      <c r="S28" s="46">
        <f t="shared" si="11"/>
        <v>3496</v>
      </c>
      <c r="T28" s="46">
        <f t="shared" si="11"/>
        <v>0</v>
      </c>
      <c r="U28" s="46">
        <f t="shared" si="11"/>
        <v>3496</v>
      </c>
      <c r="V28" s="46">
        <f t="shared" si="11"/>
        <v>0</v>
      </c>
      <c r="W28" s="46">
        <f t="shared" si="11"/>
        <v>3496</v>
      </c>
      <c r="X28" s="46">
        <f t="shared" si="11"/>
        <v>0</v>
      </c>
      <c r="Y28" s="46">
        <f t="shared" si="11"/>
        <v>3496</v>
      </c>
    </row>
    <row r="29" spans="1:25" s="22" customFormat="1" ht="24">
      <c r="A29" s="67"/>
      <c r="B29" s="62">
        <v>75101</v>
      </c>
      <c r="C29" s="69"/>
      <c r="D29" s="66" t="s">
        <v>32</v>
      </c>
      <c r="E29" s="60">
        <f t="shared" si="10"/>
        <v>3910</v>
      </c>
      <c r="F29" s="60">
        <f t="shared" si="10"/>
        <v>0</v>
      </c>
      <c r="G29" s="60">
        <f t="shared" si="10"/>
        <v>3910</v>
      </c>
      <c r="H29" s="60">
        <f t="shared" si="10"/>
        <v>0</v>
      </c>
      <c r="I29" s="60">
        <f t="shared" si="10"/>
        <v>3910</v>
      </c>
      <c r="J29" s="60">
        <f t="shared" si="10"/>
        <v>-414</v>
      </c>
      <c r="K29" s="60">
        <f t="shared" si="10"/>
        <v>3496</v>
      </c>
      <c r="L29" s="60">
        <f t="shared" si="10"/>
        <v>0</v>
      </c>
      <c r="M29" s="60">
        <f t="shared" si="10"/>
        <v>3496</v>
      </c>
      <c r="N29" s="60">
        <f t="shared" si="10"/>
        <v>0</v>
      </c>
      <c r="O29" s="60">
        <f t="shared" si="11"/>
        <v>3496</v>
      </c>
      <c r="P29" s="60">
        <f t="shared" si="11"/>
        <v>0</v>
      </c>
      <c r="Q29" s="60">
        <f t="shared" si="11"/>
        <v>3496</v>
      </c>
      <c r="R29" s="60">
        <f t="shared" si="11"/>
        <v>0</v>
      </c>
      <c r="S29" s="60">
        <f t="shared" si="11"/>
        <v>3496</v>
      </c>
      <c r="T29" s="60">
        <f t="shared" si="11"/>
        <v>0</v>
      </c>
      <c r="U29" s="60">
        <f t="shared" si="11"/>
        <v>3496</v>
      </c>
      <c r="V29" s="60">
        <f t="shared" si="11"/>
        <v>0</v>
      </c>
      <c r="W29" s="60">
        <f t="shared" si="11"/>
        <v>3496</v>
      </c>
      <c r="X29" s="60">
        <f t="shared" si="11"/>
        <v>0</v>
      </c>
      <c r="Y29" s="60">
        <f t="shared" si="11"/>
        <v>3496</v>
      </c>
    </row>
    <row r="30" spans="1:25" s="22" customFormat="1" ht="48">
      <c r="A30" s="67"/>
      <c r="B30" s="62"/>
      <c r="C30" s="69">
        <v>2010</v>
      </c>
      <c r="D30" s="66" t="s">
        <v>251</v>
      </c>
      <c r="E30" s="60">
        <v>3910</v>
      </c>
      <c r="F30" s="60"/>
      <c r="G30" s="60">
        <f>SUM(E30:F30)</f>
        <v>3910</v>
      </c>
      <c r="H30" s="60"/>
      <c r="I30" s="60">
        <f>SUM(G30:H30)</f>
        <v>3910</v>
      </c>
      <c r="J30" s="60">
        <v>-414</v>
      </c>
      <c r="K30" s="60">
        <f>SUM(I30:J30)</f>
        <v>3496</v>
      </c>
      <c r="L30" s="60"/>
      <c r="M30" s="60">
        <f>SUM(K30:L30)</f>
        <v>3496</v>
      </c>
      <c r="N30" s="60"/>
      <c r="O30" s="60">
        <f>SUM(M30:N30)</f>
        <v>3496</v>
      </c>
      <c r="P30" s="60"/>
      <c r="Q30" s="60">
        <f>SUM(O30:P30)</f>
        <v>3496</v>
      </c>
      <c r="R30" s="60"/>
      <c r="S30" s="60">
        <f>SUM(Q30:R30)</f>
        <v>3496</v>
      </c>
      <c r="T30" s="60"/>
      <c r="U30" s="60">
        <f>SUM(S30:T30)</f>
        <v>3496</v>
      </c>
      <c r="V30" s="60"/>
      <c r="W30" s="60">
        <f>SUM(U30:V30)</f>
        <v>3496</v>
      </c>
      <c r="X30" s="60"/>
      <c r="Y30" s="60">
        <f>SUM(W30:X30)</f>
        <v>3496</v>
      </c>
    </row>
    <row r="31" spans="1:25" s="5" customFormat="1" ht="30" customHeight="1">
      <c r="A31" s="27" t="s">
        <v>33</v>
      </c>
      <c r="B31" s="1"/>
      <c r="C31" s="2"/>
      <c r="D31" s="28" t="s">
        <v>34</v>
      </c>
      <c r="E31" s="46">
        <f aca="true" t="shared" si="12" ref="E31:R31">SUM(E34,E36)</f>
        <v>6800</v>
      </c>
      <c r="F31" s="46">
        <f t="shared" si="12"/>
        <v>0</v>
      </c>
      <c r="G31" s="46">
        <f t="shared" si="12"/>
        <v>6800</v>
      </c>
      <c r="H31" s="46">
        <f t="shared" si="12"/>
        <v>0</v>
      </c>
      <c r="I31" s="46">
        <f t="shared" si="12"/>
        <v>6800</v>
      </c>
      <c r="J31" s="46">
        <f t="shared" si="12"/>
        <v>0</v>
      </c>
      <c r="K31" s="46">
        <f t="shared" si="12"/>
        <v>6800</v>
      </c>
      <c r="L31" s="46">
        <f t="shared" si="12"/>
        <v>0</v>
      </c>
      <c r="M31" s="46">
        <f t="shared" si="12"/>
        <v>6800</v>
      </c>
      <c r="N31" s="46">
        <f t="shared" si="12"/>
        <v>0</v>
      </c>
      <c r="O31" s="46">
        <f t="shared" si="12"/>
        <v>6800</v>
      </c>
      <c r="P31" s="46">
        <f t="shared" si="12"/>
        <v>0</v>
      </c>
      <c r="Q31" s="46">
        <f t="shared" si="12"/>
        <v>6800</v>
      </c>
      <c r="R31" s="46">
        <f t="shared" si="12"/>
        <v>0</v>
      </c>
      <c r="S31" s="46">
        <f aca="true" t="shared" si="13" ref="S31:Y31">SUM(S34,S36,S32)</f>
        <v>6800</v>
      </c>
      <c r="T31" s="46">
        <f t="shared" si="13"/>
        <v>700</v>
      </c>
      <c r="U31" s="46">
        <f t="shared" si="13"/>
        <v>7500</v>
      </c>
      <c r="V31" s="46">
        <f t="shared" si="13"/>
        <v>0</v>
      </c>
      <c r="W31" s="46">
        <f t="shared" si="13"/>
        <v>7500</v>
      </c>
      <c r="X31" s="46">
        <f t="shared" si="13"/>
        <v>0</v>
      </c>
      <c r="Y31" s="46">
        <f t="shared" si="13"/>
        <v>7500</v>
      </c>
    </row>
    <row r="32" spans="1:25" s="22" customFormat="1" ht="22.5" customHeight="1">
      <c r="A32" s="61"/>
      <c r="B32" s="72" t="s">
        <v>127</v>
      </c>
      <c r="C32" s="76"/>
      <c r="D32" s="36" t="s">
        <v>128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>
        <f aca="true" t="shared" si="14" ref="S32:Y32">SUM(S33)</f>
        <v>0</v>
      </c>
      <c r="T32" s="60">
        <f t="shared" si="14"/>
        <v>700</v>
      </c>
      <c r="U32" s="60">
        <f t="shared" si="14"/>
        <v>700</v>
      </c>
      <c r="V32" s="60">
        <f t="shared" si="14"/>
        <v>0</v>
      </c>
      <c r="W32" s="60">
        <f t="shared" si="14"/>
        <v>700</v>
      </c>
      <c r="X32" s="60">
        <f t="shared" si="14"/>
        <v>0</v>
      </c>
      <c r="Y32" s="60">
        <f t="shared" si="14"/>
        <v>700</v>
      </c>
    </row>
    <row r="33" spans="1:25" s="22" customFormat="1" ht="48">
      <c r="A33" s="61"/>
      <c r="B33" s="40"/>
      <c r="C33" s="69">
        <v>2710</v>
      </c>
      <c r="D33" s="66" t="s">
        <v>44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>
        <v>0</v>
      </c>
      <c r="T33" s="60">
        <v>700</v>
      </c>
      <c r="U33" s="60">
        <f>SUM(S33:T33)</f>
        <v>700</v>
      </c>
      <c r="V33" s="60"/>
      <c r="W33" s="60">
        <f>SUM(U33:V33)</f>
        <v>700</v>
      </c>
      <c r="X33" s="60"/>
      <c r="Y33" s="60">
        <f>SUM(W33:X33)</f>
        <v>700</v>
      </c>
    </row>
    <row r="34" spans="1:25" s="22" customFormat="1" ht="24" customHeight="1">
      <c r="A34" s="61"/>
      <c r="B34" s="40">
        <v>75414</v>
      </c>
      <c r="C34" s="69"/>
      <c r="D34" s="66" t="s">
        <v>287</v>
      </c>
      <c r="E34" s="60">
        <f aca="true" t="shared" si="15" ref="E34:Y34">SUM(E35)</f>
        <v>2500</v>
      </c>
      <c r="F34" s="60">
        <f t="shared" si="15"/>
        <v>0</v>
      </c>
      <c r="G34" s="60">
        <f t="shared" si="15"/>
        <v>2500</v>
      </c>
      <c r="H34" s="60">
        <f t="shared" si="15"/>
        <v>0</v>
      </c>
      <c r="I34" s="60">
        <f t="shared" si="15"/>
        <v>2500</v>
      </c>
      <c r="J34" s="60">
        <f t="shared" si="15"/>
        <v>0</v>
      </c>
      <c r="K34" s="60">
        <f t="shared" si="15"/>
        <v>2500</v>
      </c>
      <c r="L34" s="60">
        <f t="shared" si="15"/>
        <v>0</v>
      </c>
      <c r="M34" s="60">
        <f t="shared" si="15"/>
        <v>2500</v>
      </c>
      <c r="N34" s="60">
        <f t="shared" si="15"/>
        <v>0</v>
      </c>
      <c r="O34" s="60">
        <f t="shared" si="15"/>
        <v>2500</v>
      </c>
      <c r="P34" s="60">
        <f t="shared" si="15"/>
        <v>0</v>
      </c>
      <c r="Q34" s="60">
        <f t="shared" si="15"/>
        <v>2500</v>
      </c>
      <c r="R34" s="60">
        <f t="shared" si="15"/>
        <v>0</v>
      </c>
      <c r="S34" s="60">
        <f t="shared" si="15"/>
        <v>2500</v>
      </c>
      <c r="T34" s="60">
        <f t="shared" si="15"/>
        <v>0</v>
      </c>
      <c r="U34" s="60">
        <f t="shared" si="15"/>
        <v>2500</v>
      </c>
      <c r="V34" s="60">
        <f t="shared" si="15"/>
        <v>0</v>
      </c>
      <c r="W34" s="60">
        <f t="shared" si="15"/>
        <v>2500</v>
      </c>
      <c r="X34" s="60">
        <f t="shared" si="15"/>
        <v>0</v>
      </c>
      <c r="Y34" s="60">
        <f t="shared" si="15"/>
        <v>2500</v>
      </c>
    </row>
    <row r="35" spans="1:25" s="22" customFormat="1" ht="48">
      <c r="A35" s="61"/>
      <c r="B35" s="40"/>
      <c r="C35" s="69">
        <v>2010</v>
      </c>
      <c r="D35" s="66" t="s">
        <v>251</v>
      </c>
      <c r="E35" s="60">
        <v>2500</v>
      </c>
      <c r="F35" s="60"/>
      <c r="G35" s="60">
        <f>SUM(E35:F35)</f>
        <v>2500</v>
      </c>
      <c r="H35" s="60"/>
      <c r="I35" s="60">
        <f>SUM(G35:H35)</f>
        <v>2500</v>
      </c>
      <c r="J35" s="60"/>
      <c r="K35" s="60">
        <f>SUM(I35:J35)</f>
        <v>2500</v>
      </c>
      <c r="L35" s="60"/>
      <c r="M35" s="60">
        <f>SUM(K35:L35)</f>
        <v>2500</v>
      </c>
      <c r="N35" s="60"/>
      <c r="O35" s="60">
        <f>SUM(M35:N35)</f>
        <v>2500</v>
      </c>
      <c r="P35" s="60"/>
      <c r="Q35" s="60">
        <f>SUM(O35:P35)</f>
        <v>2500</v>
      </c>
      <c r="R35" s="60"/>
      <c r="S35" s="60">
        <f>SUM(Q35:R35)</f>
        <v>2500</v>
      </c>
      <c r="T35" s="60"/>
      <c r="U35" s="60">
        <f>SUM(S35:T35)</f>
        <v>2500</v>
      </c>
      <c r="V35" s="60"/>
      <c r="W35" s="60">
        <f>SUM(U35:V35)</f>
        <v>2500</v>
      </c>
      <c r="X35" s="60"/>
      <c r="Y35" s="60">
        <f>SUM(W35:X35)</f>
        <v>2500</v>
      </c>
    </row>
    <row r="36" spans="1:25" s="22" customFormat="1" ht="24" customHeight="1">
      <c r="A36" s="67"/>
      <c r="B36" s="62" t="s">
        <v>35</v>
      </c>
      <c r="C36" s="69"/>
      <c r="D36" s="66" t="s">
        <v>36</v>
      </c>
      <c r="E36" s="60">
        <f aca="true" t="shared" si="16" ref="E36:W36">SUM(E37:E38)</f>
        <v>4300</v>
      </c>
      <c r="F36" s="60">
        <f t="shared" si="16"/>
        <v>0</v>
      </c>
      <c r="G36" s="60">
        <f t="shared" si="16"/>
        <v>4300</v>
      </c>
      <c r="H36" s="60">
        <f t="shared" si="16"/>
        <v>0</v>
      </c>
      <c r="I36" s="60">
        <f t="shared" si="16"/>
        <v>4300</v>
      </c>
      <c r="J36" s="60">
        <f t="shared" si="16"/>
        <v>0</v>
      </c>
      <c r="K36" s="60">
        <f t="shared" si="16"/>
        <v>4300</v>
      </c>
      <c r="L36" s="60">
        <f t="shared" si="16"/>
        <v>0</v>
      </c>
      <c r="M36" s="60">
        <f t="shared" si="16"/>
        <v>4300</v>
      </c>
      <c r="N36" s="60">
        <f t="shared" si="16"/>
        <v>0</v>
      </c>
      <c r="O36" s="60">
        <f t="shared" si="16"/>
        <v>4300</v>
      </c>
      <c r="P36" s="60">
        <f t="shared" si="16"/>
        <v>0</v>
      </c>
      <c r="Q36" s="60">
        <f t="shared" si="16"/>
        <v>4300</v>
      </c>
      <c r="R36" s="60">
        <f t="shared" si="16"/>
        <v>0</v>
      </c>
      <c r="S36" s="60">
        <f t="shared" si="16"/>
        <v>4300</v>
      </c>
      <c r="T36" s="60">
        <f t="shared" si="16"/>
        <v>0</v>
      </c>
      <c r="U36" s="60">
        <f t="shared" si="16"/>
        <v>4300</v>
      </c>
      <c r="V36" s="60">
        <f t="shared" si="16"/>
        <v>0</v>
      </c>
      <c r="W36" s="60">
        <f t="shared" si="16"/>
        <v>4300</v>
      </c>
      <c r="X36" s="60">
        <f>SUM(X37:X38)</f>
        <v>0</v>
      </c>
      <c r="Y36" s="60">
        <f>SUM(Y37:Y38)</f>
        <v>4300</v>
      </c>
    </row>
    <row r="37" spans="1:25" s="22" customFormat="1" ht="21.75" customHeight="1">
      <c r="A37" s="67"/>
      <c r="B37" s="40"/>
      <c r="C37" s="63" t="s">
        <v>194</v>
      </c>
      <c r="D37" s="66" t="s">
        <v>37</v>
      </c>
      <c r="E37" s="60">
        <v>4000</v>
      </c>
      <c r="F37" s="60"/>
      <c r="G37" s="60">
        <f>SUM(E37:F37)</f>
        <v>4000</v>
      </c>
      <c r="H37" s="60"/>
      <c r="I37" s="60">
        <f>SUM(G37:H37)</f>
        <v>4000</v>
      </c>
      <c r="J37" s="60"/>
      <c r="K37" s="60">
        <f>SUM(I37:J37)</f>
        <v>4000</v>
      </c>
      <c r="L37" s="60"/>
      <c r="M37" s="60">
        <f>SUM(K37:L37)</f>
        <v>4000</v>
      </c>
      <c r="N37" s="60"/>
      <c r="O37" s="60">
        <f>SUM(M37:N37)</f>
        <v>4000</v>
      </c>
      <c r="P37" s="60"/>
      <c r="Q37" s="60">
        <f>SUM(O37:P37)</f>
        <v>4000</v>
      </c>
      <c r="R37" s="60"/>
      <c r="S37" s="60">
        <f>SUM(Q37:R37)</f>
        <v>4000</v>
      </c>
      <c r="T37" s="60"/>
      <c r="U37" s="60">
        <f>SUM(S37:T37)</f>
        <v>4000</v>
      </c>
      <c r="V37" s="60"/>
      <c r="W37" s="60">
        <f>SUM(U37:V37)</f>
        <v>4000</v>
      </c>
      <c r="X37" s="60"/>
      <c r="Y37" s="60">
        <f>SUM(W37:X37)</f>
        <v>4000</v>
      </c>
    </row>
    <row r="38" spans="1:25" s="22" customFormat="1" ht="21.75" customHeight="1">
      <c r="A38" s="67"/>
      <c r="B38" s="40"/>
      <c r="C38" s="63" t="s">
        <v>192</v>
      </c>
      <c r="D38" s="66" t="s">
        <v>22</v>
      </c>
      <c r="E38" s="60">
        <v>300</v>
      </c>
      <c r="F38" s="60"/>
      <c r="G38" s="60">
        <f>SUM(E38:F38)</f>
        <v>300</v>
      </c>
      <c r="H38" s="60"/>
      <c r="I38" s="60">
        <f>SUM(G38:H38)</f>
        <v>300</v>
      </c>
      <c r="J38" s="60"/>
      <c r="K38" s="60">
        <f>SUM(I38:J38)</f>
        <v>300</v>
      </c>
      <c r="L38" s="60"/>
      <c r="M38" s="60">
        <f>SUM(K38:L38)</f>
        <v>300</v>
      </c>
      <c r="N38" s="60"/>
      <c r="O38" s="60">
        <f>SUM(M38:N38)</f>
        <v>300</v>
      </c>
      <c r="P38" s="60"/>
      <c r="Q38" s="60">
        <f>SUM(O38:P38)</f>
        <v>300</v>
      </c>
      <c r="R38" s="60"/>
      <c r="S38" s="60">
        <f>SUM(Q38:R38)</f>
        <v>300</v>
      </c>
      <c r="T38" s="60"/>
      <c r="U38" s="60">
        <f>SUM(S38:T38)</f>
        <v>300</v>
      </c>
      <c r="V38" s="60"/>
      <c r="W38" s="60">
        <f>SUM(U38:V38)</f>
        <v>300</v>
      </c>
      <c r="X38" s="60"/>
      <c r="Y38" s="60">
        <f>SUM(W38:X38)</f>
        <v>300</v>
      </c>
    </row>
    <row r="39" spans="1:25" s="5" customFormat="1" ht="48">
      <c r="A39" s="27" t="s">
        <v>42</v>
      </c>
      <c r="B39" s="1"/>
      <c r="C39" s="2"/>
      <c r="D39" s="28" t="s">
        <v>183</v>
      </c>
      <c r="E39" s="46">
        <f aca="true" t="shared" si="17" ref="E39:W39">SUM(E40,E43,E51,E61,E67,)</f>
        <v>20810548</v>
      </c>
      <c r="F39" s="46">
        <f t="shared" si="17"/>
        <v>-383450</v>
      </c>
      <c r="G39" s="46">
        <f t="shared" si="17"/>
        <v>20427098</v>
      </c>
      <c r="H39" s="46">
        <f t="shared" si="17"/>
        <v>0</v>
      </c>
      <c r="I39" s="46">
        <f t="shared" si="17"/>
        <v>20427098</v>
      </c>
      <c r="J39" s="46">
        <f t="shared" si="17"/>
        <v>0</v>
      </c>
      <c r="K39" s="46">
        <f t="shared" si="17"/>
        <v>20427098</v>
      </c>
      <c r="L39" s="46">
        <f t="shared" si="17"/>
        <v>0</v>
      </c>
      <c r="M39" s="46">
        <f t="shared" si="17"/>
        <v>20427098</v>
      </c>
      <c r="N39" s="46">
        <f t="shared" si="17"/>
        <v>0</v>
      </c>
      <c r="O39" s="46">
        <f t="shared" si="17"/>
        <v>20427098</v>
      </c>
      <c r="P39" s="46">
        <f t="shared" si="17"/>
        <v>48300</v>
      </c>
      <c r="Q39" s="46">
        <f t="shared" si="17"/>
        <v>20475398</v>
      </c>
      <c r="R39" s="46">
        <f t="shared" si="17"/>
        <v>0</v>
      </c>
      <c r="S39" s="46">
        <f t="shared" si="17"/>
        <v>20475398</v>
      </c>
      <c r="T39" s="46">
        <f t="shared" si="17"/>
        <v>403000</v>
      </c>
      <c r="U39" s="46">
        <f t="shared" si="17"/>
        <v>20878398</v>
      </c>
      <c r="V39" s="46">
        <f t="shared" si="17"/>
        <v>0</v>
      </c>
      <c r="W39" s="46">
        <f t="shared" si="17"/>
        <v>20878398</v>
      </c>
      <c r="X39" s="46">
        <f>SUM(X40,X43,X51,X61,X67,)</f>
        <v>0</v>
      </c>
      <c r="Y39" s="46">
        <f>SUM(Y40,Y43,Y51,Y61,Y67,)</f>
        <v>20878398</v>
      </c>
    </row>
    <row r="40" spans="1:25" s="22" customFormat="1" ht="24" customHeight="1">
      <c r="A40" s="61"/>
      <c r="B40" s="40">
        <v>75601</v>
      </c>
      <c r="C40" s="69"/>
      <c r="D40" s="66" t="s">
        <v>43</v>
      </c>
      <c r="E40" s="60">
        <f aca="true" t="shared" si="18" ref="E40:W40">SUM(E41:E42)</f>
        <v>41000</v>
      </c>
      <c r="F40" s="60">
        <f t="shared" si="18"/>
        <v>0</v>
      </c>
      <c r="G40" s="60">
        <f t="shared" si="18"/>
        <v>41000</v>
      </c>
      <c r="H40" s="60">
        <f t="shared" si="18"/>
        <v>0</v>
      </c>
      <c r="I40" s="60">
        <f t="shared" si="18"/>
        <v>41000</v>
      </c>
      <c r="J40" s="60">
        <f t="shared" si="18"/>
        <v>0</v>
      </c>
      <c r="K40" s="60">
        <f t="shared" si="18"/>
        <v>41000</v>
      </c>
      <c r="L40" s="60">
        <f t="shared" si="18"/>
        <v>0</v>
      </c>
      <c r="M40" s="60">
        <f t="shared" si="18"/>
        <v>41000</v>
      </c>
      <c r="N40" s="60">
        <f t="shared" si="18"/>
        <v>0</v>
      </c>
      <c r="O40" s="60">
        <f t="shared" si="18"/>
        <v>41000</v>
      </c>
      <c r="P40" s="60">
        <f t="shared" si="18"/>
        <v>0</v>
      </c>
      <c r="Q40" s="60">
        <f t="shared" si="18"/>
        <v>41000</v>
      </c>
      <c r="R40" s="60">
        <f t="shared" si="18"/>
        <v>0</v>
      </c>
      <c r="S40" s="60">
        <f t="shared" si="18"/>
        <v>41000</v>
      </c>
      <c r="T40" s="60">
        <f t="shared" si="18"/>
        <v>1000</v>
      </c>
      <c r="U40" s="60">
        <f t="shared" si="18"/>
        <v>42000</v>
      </c>
      <c r="V40" s="60">
        <f t="shared" si="18"/>
        <v>0</v>
      </c>
      <c r="W40" s="60">
        <f t="shared" si="18"/>
        <v>42000</v>
      </c>
      <c r="X40" s="60">
        <f>SUM(X41:X42)</f>
        <v>0</v>
      </c>
      <c r="Y40" s="60">
        <f>SUM(Y41:Y42)</f>
        <v>42000</v>
      </c>
    </row>
    <row r="41" spans="1:25" s="22" customFormat="1" ht="36">
      <c r="A41" s="61"/>
      <c r="B41" s="40"/>
      <c r="C41" s="68" t="s">
        <v>195</v>
      </c>
      <c r="D41" s="66" t="s">
        <v>49</v>
      </c>
      <c r="E41" s="60">
        <v>40000</v>
      </c>
      <c r="F41" s="60"/>
      <c r="G41" s="60">
        <f>SUM(E41:F41)</f>
        <v>40000</v>
      </c>
      <c r="H41" s="60"/>
      <c r="I41" s="60">
        <f>SUM(G41:H41)</f>
        <v>40000</v>
      </c>
      <c r="J41" s="60"/>
      <c r="K41" s="60">
        <f>SUM(I41:J41)</f>
        <v>40000</v>
      </c>
      <c r="L41" s="60"/>
      <c r="M41" s="60">
        <f>SUM(K41:L41)</f>
        <v>40000</v>
      </c>
      <c r="N41" s="60"/>
      <c r="O41" s="60">
        <f>SUM(M41:N41)</f>
        <v>40000</v>
      </c>
      <c r="P41" s="60"/>
      <c r="Q41" s="60">
        <f>SUM(O41:P41)</f>
        <v>40000</v>
      </c>
      <c r="R41" s="60"/>
      <c r="S41" s="60">
        <f>SUM(Q41:R41)</f>
        <v>40000</v>
      </c>
      <c r="T41" s="60"/>
      <c r="U41" s="60">
        <f>SUM(S41:T41)</f>
        <v>40000</v>
      </c>
      <c r="V41" s="60"/>
      <c r="W41" s="60">
        <f>SUM(U41:V41)</f>
        <v>40000</v>
      </c>
      <c r="X41" s="60"/>
      <c r="Y41" s="60">
        <f>SUM(W41:X41)</f>
        <v>40000</v>
      </c>
    </row>
    <row r="42" spans="1:25" s="22" customFormat="1" ht="24">
      <c r="A42" s="61"/>
      <c r="B42" s="40"/>
      <c r="C42" s="68" t="s">
        <v>196</v>
      </c>
      <c r="D42" s="66" t="s">
        <v>56</v>
      </c>
      <c r="E42" s="60">
        <v>1000</v>
      </c>
      <c r="F42" s="60"/>
      <c r="G42" s="60">
        <f>SUM(E42:F42)</f>
        <v>1000</v>
      </c>
      <c r="H42" s="60"/>
      <c r="I42" s="60">
        <f>SUM(G42:H42)</f>
        <v>1000</v>
      </c>
      <c r="J42" s="60"/>
      <c r="K42" s="60">
        <f>SUM(I42:J42)</f>
        <v>1000</v>
      </c>
      <c r="L42" s="60"/>
      <c r="M42" s="60">
        <f>SUM(K42:L42)</f>
        <v>1000</v>
      </c>
      <c r="N42" s="60"/>
      <c r="O42" s="60">
        <f>SUM(M42:N42)</f>
        <v>1000</v>
      </c>
      <c r="P42" s="60"/>
      <c r="Q42" s="60">
        <f>SUM(O42:P42)</f>
        <v>1000</v>
      </c>
      <c r="R42" s="60"/>
      <c r="S42" s="60">
        <f>SUM(Q42:R42)</f>
        <v>1000</v>
      </c>
      <c r="T42" s="60">
        <v>1000</v>
      </c>
      <c r="U42" s="60">
        <f>SUM(S42:T42)</f>
        <v>2000</v>
      </c>
      <c r="V42" s="60"/>
      <c r="W42" s="60">
        <f>SUM(U42:V42)</f>
        <v>2000</v>
      </c>
      <c r="X42" s="60"/>
      <c r="Y42" s="60">
        <f>SUM(W42:X42)</f>
        <v>2000</v>
      </c>
    </row>
    <row r="43" spans="1:25" s="22" customFormat="1" ht="48">
      <c r="A43" s="61"/>
      <c r="B43" s="62" t="s">
        <v>50</v>
      </c>
      <c r="C43" s="69"/>
      <c r="D43" s="66" t="s">
        <v>226</v>
      </c>
      <c r="E43" s="60">
        <f aca="true" t="shared" si="19" ref="E43:W43">SUM(E44:E50)</f>
        <v>7192246</v>
      </c>
      <c r="F43" s="60">
        <f t="shared" si="19"/>
        <v>-192730</v>
      </c>
      <c r="G43" s="60">
        <f t="shared" si="19"/>
        <v>6999516</v>
      </c>
      <c r="H43" s="60">
        <f t="shared" si="19"/>
        <v>0</v>
      </c>
      <c r="I43" s="60">
        <f t="shared" si="19"/>
        <v>6999516</v>
      </c>
      <c r="J43" s="60">
        <f t="shared" si="19"/>
        <v>0</v>
      </c>
      <c r="K43" s="60">
        <f t="shared" si="19"/>
        <v>6999516</v>
      </c>
      <c r="L43" s="60">
        <f t="shared" si="19"/>
        <v>0</v>
      </c>
      <c r="M43" s="60">
        <f t="shared" si="19"/>
        <v>6999516</v>
      </c>
      <c r="N43" s="60">
        <f t="shared" si="19"/>
        <v>0</v>
      </c>
      <c r="O43" s="60">
        <f t="shared" si="19"/>
        <v>6999516</v>
      </c>
      <c r="P43" s="60">
        <f t="shared" si="19"/>
        <v>2000</v>
      </c>
      <c r="Q43" s="60">
        <f t="shared" si="19"/>
        <v>7001516</v>
      </c>
      <c r="R43" s="60">
        <f t="shared" si="19"/>
        <v>0</v>
      </c>
      <c r="S43" s="60">
        <f t="shared" si="19"/>
        <v>7001516</v>
      </c>
      <c r="T43" s="60">
        <f t="shared" si="19"/>
        <v>6000</v>
      </c>
      <c r="U43" s="60">
        <f t="shared" si="19"/>
        <v>7007516</v>
      </c>
      <c r="V43" s="60">
        <f t="shared" si="19"/>
        <v>0</v>
      </c>
      <c r="W43" s="60">
        <f t="shared" si="19"/>
        <v>7007516</v>
      </c>
      <c r="X43" s="60">
        <f>SUM(X44:X50)</f>
        <v>0</v>
      </c>
      <c r="Y43" s="60">
        <f>SUM(Y44:Y50)</f>
        <v>7007516</v>
      </c>
    </row>
    <row r="44" spans="1:25" s="22" customFormat="1" ht="21.75" customHeight="1">
      <c r="A44" s="61"/>
      <c r="B44" s="62"/>
      <c r="C44" s="63" t="s">
        <v>197</v>
      </c>
      <c r="D44" s="66" t="s">
        <v>51</v>
      </c>
      <c r="E44" s="60">
        <v>6511626</v>
      </c>
      <c r="F44" s="60">
        <v>-180000</v>
      </c>
      <c r="G44" s="60">
        <f>SUM(E44:F44)</f>
        <v>6331626</v>
      </c>
      <c r="H44" s="60"/>
      <c r="I44" s="60">
        <f>SUM(G44:H44)</f>
        <v>6331626</v>
      </c>
      <c r="J44" s="60"/>
      <c r="K44" s="60">
        <f>SUM(I44:J44)</f>
        <v>6331626</v>
      </c>
      <c r="L44" s="60"/>
      <c r="M44" s="60">
        <f>SUM(K44:L44)</f>
        <v>6331626</v>
      </c>
      <c r="N44" s="60"/>
      <c r="O44" s="60">
        <f>SUM(M44:N44)</f>
        <v>6331626</v>
      </c>
      <c r="P44" s="60"/>
      <c r="Q44" s="60">
        <f aca="true" t="shared" si="20" ref="Q44:Q50">SUM(O44:P44)</f>
        <v>6331626</v>
      </c>
      <c r="R44" s="60"/>
      <c r="S44" s="60">
        <f aca="true" t="shared" si="21" ref="S44:S50">SUM(Q44:R44)</f>
        <v>6331626</v>
      </c>
      <c r="T44" s="60"/>
      <c r="U44" s="60">
        <f aca="true" t="shared" si="22" ref="U44:U50">SUM(S44:T44)</f>
        <v>6331626</v>
      </c>
      <c r="V44" s="60"/>
      <c r="W44" s="60">
        <f aca="true" t="shared" si="23" ref="W44:W50">SUM(U44:V44)</f>
        <v>6331626</v>
      </c>
      <c r="X44" s="60"/>
      <c r="Y44" s="60">
        <f aca="true" t="shared" si="24" ref="Y44:Y50">SUM(W44:X44)</f>
        <v>6331626</v>
      </c>
    </row>
    <row r="45" spans="1:25" s="22" customFormat="1" ht="21.75" customHeight="1">
      <c r="A45" s="61"/>
      <c r="B45" s="62"/>
      <c r="C45" s="63" t="s">
        <v>198</v>
      </c>
      <c r="D45" s="66" t="s">
        <v>52</v>
      </c>
      <c r="E45" s="60">
        <v>34091</v>
      </c>
      <c r="F45" s="60">
        <v>-12730</v>
      </c>
      <c r="G45" s="60">
        <f>SUM(E45:F45)</f>
        <v>21361</v>
      </c>
      <c r="H45" s="60"/>
      <c r="I45" s="60">
        <f>SUM(G45:H45)</f>
        <v>21361</v>
      </c>
      <c r="J45" s="60"/>
      <c r="K45" s="60">
        <f>SUM(I45:J45)</f>
        <v>21361</v>
      </c>
      <c r="L45" s="60"/>
      <c r="M45" s="60">
        <f>SUM(K45:L45)</f>
        <v>21361</v>
      </c>
      <c r="N45" s="60"/>
      <c r="O45" s="60">
        <f>SUM(M45:N45)</f>
        <v>21361</v>
      </c>
      <c r="P45" s="60"/>
      <c r="Q45" s="60">
        <f t="shared" si="20"/>
        <v>21361</v>
      </c>
      <c r="R45" s="60"/>
      <c r="S45" s="60">
        <f t="shared" si="21"/>
        <v>21361</v>
      </c>
      <c r="T45" s="60"/>
      <c r="U45" s="60">
        <f t="shared" si="22"/>
        <v>21361</v>
      </c>
      <c r="V45" s="60"/>
      <c r="W45" s="60">
        <f t="shared" si="23"/>
        <v>21361</v>
      </c>
      <c r="X45" s="60"/>
      <c r="Y45" s="60">
        <f t="shared" si="24"/>
        <v>21361</v>
      </c>
    </row>
    <row r="46" spans="1:25" s="22" customFormat="1" ht="21.75" customHeight="1">
      <c r="A46" s="61"/>
      <c r="B46" s="62"/>
      <c r="C46" s="63" t="s">
        <v>199</v>
      </c>
      <c r="D46" s="66" t="s">
        <v>53</v>
      </c>
      <c r="E46" s="60">
        <v>339485</v>
      </c>
      <c r="F46" s="60"/>
      <c r="G46" s="60">
        <f>SUM(E46:F46)</f>
        <v>339485</v>
      </c>
      <c r="H46" s="60"/>
      <c r="I46" s="60">
        <f>SUM(G46:H46)</f>
        <v>339485</v>
      </c>
      <c r="J46" s="60"/>
      <c r="K46" s="60">
        <f>SUM(I46:J46)</f>
        <v>339485</v>
      </c>
      <c r="L46" s="60"/>
      <c r="M46" s="60">
        <f>SUM(K46:L46)</f>
        <v>339485</v>
      </c>
      <c r="N46" s="60"/>
      <c r="O46" s="60">
        <f>SUM(M46:N46)</f>
        <v>339485</v>
      </c>
      <c r="P46" s="60"/>
      <c r="Q46" s="60">
        <f t="shared" si="20"/>
        <v>339485</v>
      </c>
      <c r="R46" s="60"/>
      <c r="S46" s="60">
        <f t="shared" si="21"/>
        <v>339485</v>
      </c>
      <c r="T46" s="60"/>
      <c r="U46" s="60">
        <f t="shared" si="22"/>
        <v>339485</v>
      </c>
      <c r="V46" s="60"/>
      <c r="W46" s="60">
        <f t="shared" si="23"/>
        <v>339485</v>
      </c>
      <c r="X46" s="60"/>
      <c r="Y46" s="60">
        <f t="shared" si="24"/>
        <v>339485</v>
      </c>
    </row>
    <row r="47" spans="1:25" s="22" customFormat="1" ht="21.75" customHeight="1">
      <c r="A47" s="61"/>
      <c r="B47" s="62"/>
      <c r="C47" s="63" t="s">
        <v>200</v>
      </c>
      <c r="D47" s="66" t="s">
        <v>54</v>
      </c>
      <c r="E47" s="60">
        <v>45000</v>
      </c>
      <c r="F47" s="60"/>
      <c r="G47" s="60">
        <f>SUM(E47:F47)</f>
        <v>45000</v>
      </c>
      <c r="H47" s="60"/>
      <c r="I47" s="60">
        <f>SUM(G47:H47)</f>
        <v>45000</v>
      </c>
      <c r="J47" s="60"/>
      <c r="K47" s="60">
        <f>SUM(I47:J47)</f>
        <v>45000</v>
      </c>
      <c r="L47" s="60"/>
      <c r="M47" s="60">
        <f>SUM(K47:L47)</f>
        <v>45000</v>
      </c>
      <c r="N47" s="60"/>
      <c r="O47" s="60">
        <f>SUM(M47:N47)</f>
        <v>45000</v>
      </c>
      <c r="P47" s="60"/>
      <c r="Q47" s="60">
        <f t="shared" si="20"/>
        <v>45000</v>
      </c>
      <c r="R47" s="60"/>
      <c r="S47" s="60">
        <f t="shared" si="21"/>
        <v>45000</v>
      </c>
      <c r="T47" s="60"/>
      <c r="U47" s="60">
        <f t="shared" si="22"/>
        <v>45000</v>
      </c>
      <c r="V47" s="60"/>
      <c r="W47" s="60">
        <f t="shared" si="23"/>
        <v>45000</v>
      </c>
      <c r="X47" s="60"/>
      <c r="Y47" s="60">
        <f t="shared" si="24"/>
        <v>45000</v>
      </c>
    </row>
    <row r="48" spans="1:25" s="22" customFormat="1" ht="21.75" customHeight="1">
      <c r="A48" s="61"/>
      <c r="B48" s="62"/>
      <c r="C48" s="63" t="s">
        <v>203</v>
      </c>
      <c r="D48" s="66" t="s">
        <v>58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>
        <v>0</v>
      </c>
      <c r="P48" s="60">
        <v>2000</v>
      </c>
      <c r="Q48" s="60">
        <f t="shared" si="20"/>
        <v>2000</v>
      </c>
      <c r="R48" s="60"/>
      <c r="S48" s="60">
        <f t="shared" si="21"/>
        <v>2000</v>
      </c>
      <c r="T48" s="60">
        <v>6000</v>
      </c>
      <c r="U48" s="60">
        <f t="shared" si="22"/>
        <v>8000</v>
      </c>
      <c r="V48" s="60"/>
      <c r="W48" s="60">
        <f t="shared" si="23"/>
        <v>8000</v>
      </c>
      <c r="X48" s="60"/>
      <c r="Y48" s="60">
        <f t="shared" si="24"/>
        <v>8000</v>
      </c>
    </row>
    <row r="49" spans="1:25" s="22" customFormat="1" ht="24" customHeight="1">
      <c r="A49" s="61"/>
      <c r="B49" s="62"/>
      <c r="C49" s="58" t="s">
        <v>196</v>
      </c>
      <c r="D49" s="55" t="s">
        <v>239</v>
      </c>
      <c r="E49" s="70">
        <v>30000</v>
      </c>
      <c r="F49" s="70"/>
      <c r="G49" s="60">
        <f>SUM(E49:F49)</f>
        <v>30000</v>
      </c>
      <c r="H49" s="70"/>
      <c r="I49" s="60">
        <f>SUM(G49:H49)</f>
        <v>30000</v>
      </c>
      <c r="J49" s="70"/>
      <c r="K49" s="60">
        <f>SUM(I49:J49)</f>
        <v>30000</v>
      </c>
      <c r="L49" s="70"/>
      <c r="M49" s="60">
        <f>SUM(K49:L49)</f>
        <v>30000</v>
      </c>
      <c r="N49" s="70"/>
      <c r="O49" s="60">
        <f>SUM(M49:N49)</f>
        <v>30000</v>
      </c>
      <c r="P49" s="70"/>
      <c r="Q49" s="60">
        <f t="shared" si="20"/>
        <v>30000</v>
      </c>
      <c r="R49" s="70"/>
      <c r="S49" s="60">
        <f t="shared" si="21"/>
        <v>30000</v>
      </c>
      <c r="T49" s="70"/>
      <c r="U49" s="60">
        <f t="shared" si="22"/>
        <v>30000</v>
      </c>
      <c r="V49" s="70"/>
      <c r="W49" s="60">
        <f t="shared" si="23"/>
        <v>30000</v>
      </c>
      <c r="X49" s="70"/>
      <c r="Y49" s="60">
        <f t="shared" si="24"/>
        <v>30000</v>
      </c>
    </row>
    <row r="50" spans="1:25" s="22" customFormat="1" ht="36">
      <c r="A50" s="61"/>
      <c r="B50" s="62"/>
      <c r="C50" s="63">
        <v>2680</v>
      </c>
      <c r="D50" s="66" t="s">
        <v>333</v>
      </c>
      <c r="E50" s="60">
        <v>232044</v>
      </c>
      <c r="F50" s="60"/>
      <c r="G50" s="60">
        <f>SUM(E50:F50)</f>
        <v>232044</v>
      </c>
      <c r="H50" s="60"/>
      <c r="I50" s="60">
        <f>SUM(G50:H50)</f>
        <v>232044</v>
      </c>
      <c r="J50" s="60"/>
      <c r="K50" s="60">
        <f>SUM(I50:J50)</f>
        <v>232044</v>
      </c>
      <c r="L50" s="60"/>
      <c r="M50" s="60">
        <f>SUM(K50:L50)</f>
        <v>232044</v>
      </c>
      <c r="N50" s="60"/>
      <c r="O50" s="60">
        <f>SUM(M50:N50)</f>
        <v>232044</v>
      </c>
      <c r="P50" s="60"/>
      <c r="Q50" s="60">
        <f t="shared" si="20"/>
        <v>232044</v>
      </c>
      <c r="R50" s="60"/>
      <c r="S50" s="60">
        <f t="shared" si="21"/>
        <v>232044</v>
      </c>
      <c r="T50" s="60"/>
      <c r="U50" s="60">
        <f t="shared" si="22"/>
        <v>232044</v>
      </c>
      <c r="V50" s="60"/>
      <c r="W50" s="60">
        <f t="shared" si="23"/>
        <v>232044</v>
      </c>
      <c r="X50" s="60"/>
      <c r="Y50" s="60">
        <f t="shared" si="24"/>
        <v>232044</v>
      </c>
    </row>
    <row r="51" spans="1:25" s="22" customFormat="1" ht="60">
      <c r="A51" s="61"/>
      <c r="B51" s="62">
        <v>75616</v>
      </c>
      <c r="C51" s="63"/>
      <c r="D51" s="66" t="s">
        <v>334</v>
      </c>
      <c r="E51" s="60">
        <f aca="true" t="shared" si="25" ref="E51:W51">SUM(E52:E60)</f>
        <v>3605705</v>
      </c>
      <c r="F51" s="60">
        <f t="shared" si="25"/>
        <v>-190720</v>
      </c>
      <c r="G51" s="60">
        <f t="shared" si="25"/>
        <v>3414985</v>
      </c>
      <c r="H51" s="60">
        <f t="shared" si="25"/>
        <v>0</v>
      </c>
      <c r="I51" s="60">
        <f t="shared" si="25"/>
        <v>3414985</v>
      </c>
      <c r="J51" s="60">
        <f t="shared" si="25"/>
        <v>0</v>
      </c>
      <c r="K51" s="60">
        <f t="shared" si="25"/>
        <v>3414985</v>
      </c>
      <c r="L51" s="60">
        <f t="shared" si="25"/>
        <v>0</v>
      </c>
      <c r="M51" s="60">
        <f t="shared" si="25"/>
        <v>3414985</v>
      </c>
      <c r="N51" s="60">
        <f t="shared" si="25"/>
        <v>0</v>
      </c>
      <c r="O51" s="60">
        <f t="shared" si="25"/>
        <v>3414985</v>
      </c>
      <c r="P51" s="60">
        <f t="shared" si="25"/>
        <v>16000</v>
      </c>
      <c r="Q51" s="60">
        <f t="shared" si="25"/>
        <v>3430985</v>
      </c>
      <c r="R51" s="60">
        <f t="shared" si="25"/>
        <v>0</v>
      </c>
      <c r="S51" s="60">
        <f t="shared" si="25"/>
        <v>3430985</v>
      </c>
      <c r="T51" s="60">
        <f t="shared" si="25"/>
        <v>206000</v>
      </c>
      <c r="U51" s="60">
        <f t="shared" si="25"/>
        <v>3636985</v>
      </c>
      <c r="V51" s="60">
        <f t="shared" si="25"/>
        <v>0</v>
      </c>
      <c r="W51" s="60">
        <f t="shared" si="25"/>
        <v>3636985</v>
      </c>
      <c r="X51" s="60">
        <f>SUM(X52:X60)</f>
        <v>0</v>
      </c>
      <c r="Y51" s="60">
        <f>SUM(Y52:Y60)</f>
        <v>3636985</v>
      </c>
    </row>
    <row r="52" spans="1:25" s="22" customFormat="1" ht="21.75" customHeight="1">
      <c r="A52" s="61"/>
      <c r="B52" s="62"/>
      <c r="C52" s="63" t="s">
        <v>197</v>
      </c>
      <c r="D52" s="66" t="s">
        <v>51</v>
      </c>
      <c r="E52" s="60">
        <v>2266760</v>
      </c>
      <c r="F52" s="60"/>
      <c r="G52" s="60">
        <f>SUM(E52:F52)</f>
        <v>2266760</v>
      </c>
      <c r="H52" s="60"/>
      <c r="I52" s="60">
        <f>SUM(G52:H52)</f>
        <v>2266760</v>
      </c>
      <c r="J52" s="60"/>
      <c r="K52" s="60">
        <f>SUM(I52:J52)</f>
        <v>2266760</v>
      </c>
      <c r="L52" s="60"/>
      <c r="M52" s="60">
        <f>SUM(K52:L52)</f>
        <v>2266760</v>
      </c>
      <c r="N52" s="60"/>
      <c r="O52" s="60">
        <f>SUM(M52:N52)</f>
        <v>2266760</v>
      </c>
      <c r="P52" s="60"/>
      <c r="Q52" s="60">
        <f aca="true" t="shared" si="26" ref="Q52:Q60">SUM(O52:P52)</f>
        <v>2266760</v>
      </c>
      <c r="R52" s="60"/>
      <c r="S52" s="60">
        <f aca="true" t="shared" si="27" ref="S52:S60">SUM(Q52:R52)</f>
        <v>2266760</v>
      </c>
      <c r="T52" s="60"/>
      <c r="U52" s="60">
        <f aca="true" t="shared" si="28" ref="U52:U60">SUM(S52:T52)</f>
        <v>2266760</v>
      </c>
      <c r="V52" s="60"/>
      <c r="W52" s="60">
        <f aca="true" t="shared" si="29" ref="W52:W60">SUM(U52:V52)</f>
        <v>2266760</v>
      </c>
      <c r="X52" s="60"/>
      <c r="Y52" s="60">
        <f aca="true" t="shared" si="30" ref="Y52:Y60">SUM(W52:X52)</f>
        <v>2266760</v>
      </c>
    </row>
    <row r="53" spans="1:25" s="22" customFormat="1" ht="21.75" customHeight="1">
      <c r="A53" s="61"/>
      <c r="B53" s="62"/>
      <c r="C53" s="63" t="s">
        <v>198</v>
      </c>
      <c r="D53" s="66" t="s">
        <v>52</v>
      </c>
      <c r="E53" s="60">
        <v>520720</v>
      </c>
      <c r="F53" s="60">
        <v>-190720</v>
      </c>
      <c r="G53" s="60">
        <f>SUM(E53:F53)</f>
        <v>330000</v>
      </c>
      <c r="H53" s="60"/>
      <c r="I53" s="60">
        <f>SUM(G53:H53)</f>
        <v>330000</v>
      </c>
      <c r="J53" s="60"/>
      <c r="K53" s="60">
        <f>SUM(I53:J53)</f>
        <v>330000</v>
      </c>
      <c r="L53" s="60"/>
      <c r="M53" s="60">
        <f>SUM(K53:L53)</f>
        <v>330000</v>
      </c>
      <c r="N53" s="60"/>
      <c r="O53" s="60">
        <f>SUM(M53:N53)</f>
        <v>330000</v>
      </c>
      <c r="P53" s="60"/>
      <c r="Q53" s="60">
        <f t="shared" si="26"/>
        <v>330000</v>
      </c>
      <c r="R53" s="60"/>
      <c r="S53" s="60">
        <f t="shared" si="27"/>
        <v>330000</v>
      </c>
      <c r="T53" s="60"/>
      <c r="U53" s="60">
        <f t="shared" si="28"/>
        <v>330000</v>
      </c>
      <c r="V53" s="60"/>
      <c r="W53" s="60">
        <f t="shared" si="29"/>
        <v>330000</v>
      </c>
      <c r="X53" s="60"/>
      <c r="Y53" s="60">
        <f t="shared" si="30"/>
        <v>330000</v>
      </c>
    </row>
    <row r="54" spans="1:25" s="22" customFormat="1" ht="21.75" customHeight="1">
      <c r="A54" s="61"/>
      <c r="B54" s="62"/>
      <c r="C54" s="63" t="s">
        <v>199</v>
      </c>
      <c r="D54" s="66" t="s">
        <v>53</v>
      </c>
      <c r="E54" s="60">
        <v>8225</v>
      </c>
      <c r="F54" s="60"/>
      <c r="G54" s="60">
        <f>SUM(E54:F54)</f>
        <v>8225</v>
      </c>
      <c r="H54" s="60"/>
      <c r="I54" s="60">
        <f>SUM(G54:H54)</f>
        <v>8225</v>
      </c>
      <c r="J54" s="60"/>
      <c r="K54" s="60">
        <f>SUM(I54:J54)</f>
        <v>8225</v>
      </c>
      <c r="L54" s="60"/>
      <c r="M54" s="60">
        <f>SUM(K54:L54)</f>
        <v>8225</v>
      </c>
      <c r="N54" s="60"/>
      <c r="O54" s="60">
        <f>SUM(M54:N54)</f>
        <v>8225</v>
      </c>
      <c r="P54" s="60"/>
      <c r="Q54" s="60">
        <f t="shared" si="26"/>
        <v>8225</v>
      </c>
      <c r="R54" s="60"/>
      <c r="S54" s="60">
        <f t="shared" si="27"/>
        <v>8225</v>
      </c>
      <c r="T54" s="60"/>
      <c r="U54" s="60">
        <f t="shared" si="28"/>
        <v>8225</v>
      </c>
      <c r="V54" s="60"/>
      <c r="W54" s="60">
        <f t="shared" si="29"/>
        <v>8225</v>
      </c>
      <c r="X54" s="60"/>
      <c r="Y54" s="60">
        <f t="shared" si="30"/>
        <v>8225</v>
      </c>
    </row>
    <row r="55" spans="1:25" s="22" customFormat="1" ht="21.75" customHeight="1">
      <c r="A55" s="61"/>
      <c r="B55" s="62"/>
      <c r="C55" s="63" t="s">
        <v>200</v>
      </c>
      <c r="D55" s="66" t="s">
        <v>54</v>
      </c>
      <c r="E55" s="60">
        <v>200000</v>
      </c>
      <c r="F55" s="60"/>
      <c r="G55" s="60">
        <f>SUM(E55:F55)</f>
        <v>200000</v>
      </c>
      <c r="H55" s="60"/>
      <c r="I55" s="60">
        <f>SUM(G55:H55)</f>
        <v>200000</v>
      </c>
      <c r="J55" s="60"/>
      <c r="K55" s="60">
        <f>SUM(I55:J55)</f>
        <v>200000</v>
      </c>
      <c r="L55" s="60"/>
      <c r="M55" s="60">
        <f>SUM(K55:L55)</f>
        <v>200000</v>
      </c>
      <c r="N55" s="60"/>
      <c r="O55" s="60">
        <f>SUM(M55:N55)</f>
        <v>200000</v>
      </c>
      <c r="P55" s="60"/>
      <c r="Q55" s="60">
        <f t="shared" si="26"/>
        <v>200000</v>
      </c>
      <c r="R55" s="60"/>
      <c r="S55" s="60">
        <f t="shared" si="27"/>
        <v>200000</v>
      </c>
      <c r="T55" s="60"/>
      <c r="U55" s="60">
        <f t="shared" si="28"/>
        <v>200000</v>
      </c>
      <c r="V55" s="60"/>
      <c r="W55" s="60">
        <f t="shared" si="29"/>
        <v>200000</v>
      </c>
      <c r="X55" s="60"/>
      <c r="Y55" s="60">
        <f t="shared" si="30"/>
        <v>200000</v>
      </c>
    </row>
    <row r="56" spans="1:25" s="22" customFormat="1" ht="21.75" customHeight="1">
      <c r="A56" s="61"/>
      <c r="B56" s="62"/>
      <c r="C56" s="63" t="s">
        <v>40</v>
      </c>
      <c r="D56" s="66" t="s">
        <v>41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>
        <v>0</v>
      </c>
      <c r="P56" s="60">
        <v>15000</v>
      </c>
      <c r="Q56" s="60">
        <f t="shared" si="26"/>
        <v>15000</v>
      </c>
      <c r="R56" s="60"/>
      <c r="S56" s="60">
        <f t="shared" si="27"/>
        <v>15000</v>
      </c>
      <c r="T56" s="60">
        <v>5000</v>
      </c>
      <c r="U56" s="60">
        <f t="shared" si="28"/>
        <v>20000</v>
      </c>
      <c r="V56" s="60"/>
      <c r="W56" s="60">
        <f t="shared" si="29"/>
        <v>20000</v>
      </c>
      <c r="X56" s="60"/>
      <c r="Y56" s="60">
        <f t="shared" si="30"/>
        <v>20000</v>
      </c>
    </row>
    <row r="57" spans="1:25" s="22" customFormat="1" ht="21.75" customHeight="1">
      <c r="A57" s="61"/>
      <c r="B57" s="62"/>
      <c r="C57" s="63" t="s">
        <v>367</v>
      </c>
      <c r="D57" s="66" t="s">
        <v>368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>
        <v>0</v>
      </c>
      <c r="P57" s="60">
        <v>1000</v>
      </c>
      <c r="Q57" s="60">
        <f t="shared" si="26"/>
        <v>1000</v>
      </c>
      <c r="R57" s="60"/>
      <c r="S57" s="60">
        <f t="shared" si="27"/>
        <v>1000</v>
      </c>
      <c r="T57" s="60">
        <v>1000</v>
      </c>
      <c r="U57" s="60">
        <f t="shared" si="28"/>
        <v>2000</v>
      </c>
      <c r="V57" s="60"/>
      <c r="W57" s="60">
        <f t="shared" si="29"/>
        <v>2000</v>
      </c>
      <c r="X57" s="60"/>
      <c r="Y57" s="60">
        <f t="shared" si="30"/>
        <v>2000</v>
      </c>
    </row>
    <row r="58" spans="1:25" s="22" customFormat="1" ht="21.75" customHeight="1">
      <c r="A58" s="61"/>
      <c r="B58" s="62"/>
      <c r="C58" s="63" t="s">
        <v>201</v>
      </c>
      <c r="D58" s="66" t="s">
        <v>57</v>
      </c>
      <c r="E58" s="60">
        <v>70000</v>
      </c>
      <c r="F58" s="60"/>
      <c r="G58" s="60">
        <f>SUM(E58:F58)</f>
        <v>70000</v>
      </c>
      <c r="H58" s="60"/>
      <c r="I58" s="60">
        <f>SUM(G58:H58)</f>
        <v>70000</v>
      </c>
      <c r="J58" s="60"/>
      <c r="K58" s="60">
        <f>SUM(I58:J58)</f>
        <v>70000</v>
      </c>
      <c r="L58" s="60"/>
      <c r="M58" s="60">
        <f>SUM(K58:L58)</f>
        <v>70000</v>
      </c>
      <c r="N58" s="60"/>
      <c r="O58" s="60">
        <f>SUM(M58:N58)</f>
        <v>70000</v>
      </c>
      <c r="P58" s="60"/>
      <c r="Q58" s="60">
        <f t="shared" si="26"/>
        <v>70000</v>
      </c>
      <c r="R58" s="60"/>
      <c r="S58" s="60">
        <f t="shared" si="27"/>
        <v>70000</v>
      </c>
      <c r="T58" s="60"/>
      <c r="U58" s="60">
        <f t="shared" si="28"/>
        <v>70000</v>
      </c>
      <c r="V58" s="60"/>
      <c r="W58" s="60">
        <f t="shared" si="29"/>
        <v>70000</v>
      </c>
      <c r="X58" s="60"/>
      <c r="Y58" s="60">
        <f t="shared" si="30"/>
        <v>70000</v>
      </c>
    </row>
    <row r="59" spans="1:25" s="22" customFormat="1" ht="21.75" customHeight="1">
      <c r="A59" s="61"/>
      <c r="B59" s="62"/>
      <c r="C59" s="63" t="s">
        <v>203</v>
      </c>
      <c r="D59" s="66" t="s">
        <v>58</v>
      </c>
      <c r="E59" s="60">
        <v>500000</v>
      </c>
      <c r="F59" s="60"/>
      <c r="G59" s="60">
        <f>SUM(E59:F59)</f>
        <v>500000</v>
      </c>
      <c r="H59" s="60"/>
      <c r="I59" s="60">
        <f>SUM(G59:H59)</f>
        <v>500000</v>
      </c>
      <c r="J59" s="60"/>
      <c r="K59" s="60">
        <f>SUM(I59:J59)</f>
        <v>500000</v>
      </c>
      <c r="L59" s="60"/>
      <c r="M59" s="60">
        <f>SUM(K59:L59)</f>
        <v>500000</v>
      </c>
      <c r="N59" s="60"/>
      <c r="O59" s="60">
        <f>SUM(M59:N59)</f>
        <v>500000</v>
      </c>
      <c r="P59" s="60"/>
      <c r="Q59" s="60">
        <f t="shared" si="26"/>
        <v>500000</v>
      </c>
      <c r="R59" s="60"/>
      <c r="S59" s="60">
        <f t="shared" si="27"/>
        <v>500000</v>
      </c>
      <c r="T59" s="60">
        <v>200000</v>
      </c>
      <c r="U59" s="60">
        <f t="shared" si="28"/>
        <v>700000</v>
      </c>
      <c r="V59" s="60"/>
      <c r="W59" s="60">
        <f t="shared" si="29"/>
        <v>700000</v>
      </c>
      <c r="X59" s="60"/>
      <c r="Y59" s="60">
        <f t="shared" si="30"/>
        <v>700000</v>
      </c>
    </row>
    <row r="60" spans="1:25" s="22" customFormat="1" ht="24" customHeight="1">
      <c r="A60" s="61"/>
      <c r="B60" s="62"/>
      <c r="C60" s="63" t="s">
        <v>196</v>
      </c>
      <c r="D60" s="66" t="s">
        <v>239</v>
      </c>
      <c r="E60" s="60">
        <v>40000</v>
      </c>
      <c r="F60" s="60"/>
      <c r="G60" s="60">
        <f>SUM(E60:F60)</f>
        <v>40000</v>
      </c>
      <c r="H60" s="60"/>
      <c r="I60" s="60">
        <f>SUM(G60:H60)</f>
        <v>40000</v>
      </c>
      <c r="J60" s="60"/>
      <c r="K60" s="60">
        <f>SUM(I60:J60)</f>
        <v>40000</v>
      </c>
      <c r="L60" s="60"/>
      <c r="M60" s="60">
        <f>SUM(K60:L60)</f>
        <v>40000</v>
      </c>
      <c r="N60" s="60"/>
      <c r="O60" s="60">
        <f>SUM(M60:N60)</f>
        <v>40000</v>
      </c>
      <c r="P60" s="60"/>
      <c r="Q60" s="60">
        <f t="shared" si="26"/>
        <v>40000</v>
      </c>
      <c r="R60" s="60"/>
      <c r="S60" s="60">
        <f t="shared" si="27"/>
        <v>40000</v>
      </c>
      <c r="T60" s="60"/>
      <c r="U60" s="60">
        <f t="shared" si="28"/>
        <v>40000</v>
      </c>
      <c r="V60" s="60"/>
      <c r="W60" s="60">
        <f t="shared" si="29"/>
        <v>40000</v>
      </c>
      <c r="X60" s="60"/>
      <c r="Y60" s="60">
        <f t="shared" si="30"/>
        <v>40000</v>
      </c>
    </row>
    <row r="61" spans="1:25" s="22" customFormat="1" ht="39" customHeight="1">
      <c r="A61" s="61"/>
      <c r="B61" s="62" t="s">
        <v>59</v>
      </c>
      <c r="C61" s="69"/>
      <c r="D61" s="66" t="s">
        <v>60</v>
      </c>
      <c r="E61" s="60">
        <f aca="true" t="shared" si="31" ref="E61:N61">SUM(E62:E65)</f>
        <v>511885</v>
      </c>
      <c r="F61" s="60">
        <f t="shared" si="31"/>
        <v>0</v>
      </c>
      <c r="G61" s="60">
        <f t="shared" si="31"/>
        <v>511885</v>
      </c>
      <c r="H61" s="60">
        <f t="shared" si="31"/>
        <v>0</v>
      </c>
      <c r="I61" s="60">
        <f t="shared" si="31"/>
        <v>511885</v>
      </c>
      <c r="J61" s="60">
        <f t="shared" si="31"/>
        <v>0</v>
      </c>
      <c r="K61" s="60">
        <f t="shared" si="31"/>
        <v>511885</v>
      </c>
      <c r="L61" s="60">
        <f t="shared" si="31"/>
        <v>0</v>
      </c>
      <c r="M61" s="60">
        <f t="shared" si="31"/>
        <v>511885</v>
      </c>
      <c r="N61" s="60">
        <f t="shared" si="31"/>
        <v>0</v>
      </c>
      <c r="O61" s="60">
        <f aca="true" t="shared" si="32" ref="O61:W61">SUM(O62:O66)</f>
        <v>511885</v>
      </c>
      <c r="P61" s="60">
        <f t="shared" si="32"/>
        <v>30300</v>
      </c>
      <c r="Q61" s="60">
        <f t="shared" si="32"/>
        <v>542185</v>
      </c>
      <c r="R61" s="60">
        <f t="shared" si="32"/>
        <v>0</v>
      </c>
      <c r="S61" s="60">
        <f t="shared" si="32"/>
        <v>542185</v>
      </c>
      <c r="T61" s="60">
        <f t="shared" si="32"/>
        <v>0</v>
      </c>
      <c r="U61" s="60">
        <f t="shared" si="32"/>
        <v>542185</v>
      </c>
      <c r="V61" s="60">
        <f t="shared" si="32"/>
        <v>0</v>
      </c>
      <c r="W61" s="60">
        <f t="shared" si="32"/>
        <v>542185</v>
      </c>
      <c r="X61" s="60">
        <f>SUM(X62:X66)</f>
        <v>0</v>
      </c>
      <c r="Y61" s="60">
        <f>SUM(Y62:Y66)</f>
        <v>542185</v>
      </c>
    </row>
    <row r="62" spans="1:25" s="22" customFormat="1" ht="21.75" customHeight="1">
      <c r="A62" s="61"/>
      <c r="B62" s="62"/>
      <c r="C62" s="63" t="s">
        <v>204</v>
      </c>
      <c r="D62" s="66" t="s">
        <v>61</v>
      </c>
      <c r="E62" s="60">
        <v>120000</v>
      </c>
      <c r="F62" s="60"/>
      <c r="G62" s="60">
        <f>SUM(E62:F62)</f>
        <v>120000</v>
      </c>
      <c r="H62" s="60"/>
      <c r="I62" s="60">
        <f>SUM(G62:H62)</f>
        <v>120000</v>
      </c>
      <c r="J62" s="60"/>
      <c r="K62" s="60">
        <f>SUM(I62:J62)</f>
        <v>120000</v>
      </c>
      <c r="L62" s="60"/>
      <c r="M62" s="60">
        <f>SUM(K62:L62)</f>
        <v>120000</v>
      </c>
      <c r="N62" s="60"/>
      <c r="O62" s="60">
        <f>SUM(M62:N62)</f>
        <v>120000</v>
      </c>
      <c r="P62" s="60"/>
      <c r="Q62" s="60">
        <f>SUM(O62:P62)</f>
        <v>120000</v>
      </c>
      <c r="R62" s="60"/>
      <c r="S62" s="60">
        <f>SUM(Q62:R62)</f>
        <v>120000</v>
      </c>
      <c r="T62" s="60"/>
      <c r="U62" s="60">
        <f>SUM(S62:T62)</f>
        <v>120000</v>
      </c>
      <c r="V62" s="60"/>
      <c r="W62" s="60">
        <f>SUM(U62:V62)</f>
        <v>120000</v>
      </c>
      <c r="X62" s="60"/>
      <c r="Y62" s="60">
        <f>SUM(W62:X62)</f>
        <v>120000</v>
      </c>
    </row>
    <row r="63" spans="1:25" s="22" customFormat="1" ht="21.75" customHeight="1">
      <c r="A63" s="61"/>
      <c r="B63" s="62"/>
      <c r="C63" s="63" t="s">
        <v>202</v>
      </c>
      <c r="D63" s="66" t="s">
        <v>55</v>
      </c>
      <c r="E63" s="60">
        <v>20000</v>
      </c>
      <c r="F63" s="60"/>
      <c r="G63" s="60">
        <f>SUM(E63:F63)</f>
        <v>20000</v>
      </c>
      <c r="H63" s="60"/>
      <c r="I63" s="60">
        <f>SUM(G63:H63)</f>
        <v>20000</v>
      </c>
      <c r="J63" s="60"/>
      <c r="K63" s="60">
        <f>SUM(I63:J63)</f>
        <v>20000</v>
      </c>
      <c r="L63" s="60"/>
      <c r="M63" s="60">
        <f>SUM(K63:L63)</f>
        <v>20000</v>
      </c>
      <c r="N63" s="60"/>
      <c r="O63" s="60">
        <f>SUM(M63:N63)</f>
        <v>20000</v>
      </c>
      <c r="P63" s="60"/>
      <c r="Q63" s="60">
        <f>SUM(O63:P63)</f>
        <v>20000</v>
      </c>
      <c r="R63" s="60"/>
      <c r="S63" s="60">
        <f>SUM(Q63:R63)</f>
        <v>20000</v>
      </c>
      <c r="T63" s="60"/>
      <c r="U63" s="60">
        <f>SUM(S63:T63)</f>
        <v>20000</v>
      </c>
      <c r="V63" s="60"/>
      <c r="W63" s="60">
        <f>SUM(U63:V63)</f>
        <v>20000</v>
      </c>
      <c r="X63" s="60"/>
      <c r="Y63" s="60">
        <f>SUM(W63:X63)</f>
        <v>20000</v>
      </c>
    </row>
    <row r="64" spans="1:25" s="22" customFormat="1" ht="24" customHeight="1">
      <c r="A64" s="61"/>
      <c r="B64" s="62"/>
      <c r="C64" s="63" t="s">
        <v>208</v>
      </c>
      <c r="D64" s="66" t="s">
        <v>267</v>
      </c>
      <c r="E64" s="60">
        <v>315000</v>
      </c>
      <c r="F64" s="60"/>
      <c r="G64" s="60">
        <f>SUM(E64:F64)</f>
        <v>315000</v>
      </c>
      <c r="H64" s="60"/>
      <c r="I64" s="60">
        <f>SUM(G64:H64)</f>
        <v>315000</v>
      </c>
      <c r="J64" s="60"/>
      <c r="K64" s="60">
        <f>SUM(I64:J64)</f>
        <v>315000</v>
      </c>
      <c r="L64" s="60"/>
      <c r="M64" s="60">
        <f>SUM(K64:L64)</f>
        <v>315000</v>
      </c>
      <c r="N64" s="60"/>
      <c r="O64" s="60">
        <f>SUM(M64:N64)</f>
        <v>315000</v>
      </c>
      <c r="P64" s="60"/>
      <c r="Q64" s="60">
        <f>SUM(O64:P64)</f>
        <v>315000</v>
      </c>
      <c r="R64" s="60"/>
      <c r="S64" s="60">
        <f>SUM(Q64:R64)</f>
        <v>315000</v>
      </c>
      <c r="T64" s="60"/>
      <c r="U64" s="60">
        <f>SUM(S64:T64)</f>
        <v>315000</v>
      </c>
      <c r="V64" s="60"/>
      <c r="W64" s="60">
        <f>SUM(U64:V64)</f>
        <v>315000</v>
      </c>
      <c r="X64" s="60"/>
      <c r="Y64" s="60">
        <f>SUM(W64:X64)</f>
        <v>315000</v>
      </c>
    </row>
    <row r="65" spans="1:25" s="22" customFormat="1" ht="36">
      <c r="A65" s="61"/>
      <c r="B65" s="62"/>
      <c r="C65" s="63" t="s">
        <v>189</v>
      </c>
      <c r="D65" s="66" t="s">
        <v>18</v>
      </c>
      <c r="E65" s="60">
        <f>6885+30000+20000</f>
        <v>56885</v>
      </c>
      <c r="F65" s="60"/>
      <c r="G65" s="60">
        <f>SUM(E65:F65)</f>
        <v>56885</v>
      </c>
      <c r="H65" s="60"/>
      <c r="I65" s="60">
        <f>SUM(G65:H65)</f>
        <v>56885</v>
      </c>
      <c r="J65" s="60"/>
      <c r="K65" s="60">
        <f>SUM(I65:J65)</f>
        <v>56885</v>
      </c>
      <c r="L65" s="60"/>
      <c r="M65" s="60">
        <f>SUM(K65:L65)</f>
        <v>56885</v>
      </c>
      <c r="N65" s="60"/>
      <c r="O65" s="60">
        <f>SUM(M65:N65)</f>
        <v>56885</v>
      </c>
      <c r="P65" s="60">
        <v>30000</v>
      </c>
      <c r="Q65" s="60">
        <f>SUM(O65:P65)</f>
        <v>86885</v>
      </c>
      <c r="R65" s="60"/>
      <c r="S65" s="60">
        <f>SUM(Q65:R65)</f>
        <v>86885</v>
      </c>
      <c r="T65" s="60"/>
      <c r="U65" s="60">
        <f>SUM(S65:T65)</f>
        <v>86885</v>
      </c>
      <c r="V65" s="60"/>
      <c r="W65" s="60">
        <f>SUM(U65:V65)</f>
        <v>86885</v>
      </c>
      <c r="X65" s="60"/>
      <c r="Y65" s="60">
        <f>SUM(W65:X65)</f>
        <v>86885</v>
      </c>
    </row>
    <row r="66" spans="1:25" s="22" customFormat="1" ht="24" customHeight="1">
      <c r="A66" s="61"/>
      <c r="B66" s="62"/>
      <c r="C66" s="63" t="s">
        <v>196</v>
      </c>
      <c r="D66" s="66" t="s">
        <v>239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>
        <v>0</v>
      </c>
      <c r="P66" s="60">
        <v>300</v>
      </c>
      <c r="Q66" s="60">
        <f>SUM(O66:P66)</f>
        <v>300</v>
      </c>
      <c r="R66" s="60"/>
      <c r="S66" s="60">
        <f>SUM(Q66:R66)</f>
        <v>300</v>
      </c>
      <c r="T66" s="60"/>
      <c r="U66" s="60">
        <f>SUM(S66:T66)</f>
        <v>300</v>
      </c>
      <c r="V66" s="60"/>
      <c r="W66" s="60">
        <f>SUM(U66:V66)</f>
        <v>300</v>
      </c>
      <c r="X66" s="60"/>
      <c r="Y66" s="60">
        <f>SUM(W66:X66)</f>
        <v>300</v>
      </c>
    </row>
    <row r="67" spans="1:25" s="22" customFormat="1" ht="24" customHeight="1">
      <c r="A67" s="61"/>
      <c r="B67" s="62" t="s">
        <v>62</v>
      </c>
      <c r="C67" s="69"/>
      <c r="D67" s="66" t="s">
        <v>63</v>
      </c>
      <c r="E67" s="60">
        <f aca="true" t="shared" si="33" ref="E67:W67">SUM(E68:E69)</f>
        <v>9459712</v>
      </c>
      <c r="F67" s="60">
        <f t="shared" si="33"/>
        <v>0</v>
      </c>
      <c r="G67" s="60">
        <f t="shared" si="33"/>
        <v>9459712</v>
      </c>
      <c r="H67" s="60">
        <f t="shared" si="33"/>
        <v>0</v>
      </c>
      <c r="I67" s="60">
        <f t="shared" si="33"/>
        <v>9459712</v>
      </c>
      <c r="J67" s="60">
        <f t="shared" si="33"/>
        <v>0</v>
      </c>
      <c r="K67" s="60">
        <f t="shared" si="33"/>
        <v>9459712</v>
      </c>
      <c r="L67" s="60">
        <f t="shared" si="33"/>
        <v>0</v>
      </c>
      <c r="M67" s="60">
        <f t="shared" si="33"/>
        <v>9459712</v>
      </c>
      <c r="N67" s="60">
        <f t="shared" si="33"/>
        <v>0</v>
      </c>
      <c r="O67" s="60">
        <f t="shared" si="33"/>
        <v>9459712</v>
      </c>
      <c r="P67" s="60">
        <f t="shared" si="33"/>
        <v>0</v>
      </c>
      <c r="Q67" s="60">
        <f t="shared" si="33"/>
        <v>9459712</v>
      </c>
      <c r="R67" s="60">
        <f t="shared" si="33"/>
        <v>0</v>
      </c>
      <c r="S67" s="60">
        <f t="shared" si="33"/>
        <v>9459712</v>
      </c>
      <c r="T67" s="60">
        <f t="shared" si="33"/>
        <v>190000</v>
      </c>
      <c r="U67" s="60">
        <f t="shared" si="33"/>
        <v>9649712</v>
      </c>
      <c r="V67" s="60">
        <f t="shared" si="33"/>
        <v>0</v>
      </c>
      <c r="W67" s="60">
        <f t="shared" si="33"/>
        <v>9649712</v>
      </c>
      <c r="X67" s="60">
        <f>SUM(X68:X69)</f>
        <v>0</v>
      </c>
      <c r="Y67" s="60">
        <f>SUM(Y68:Y69)</f>
        <v>9649712</v>
      </c>
    </row>
    <row r="68" spans="1:25" s="22" customFormat="1" ht="21.75" customHeight="1">
      <c r="A68" s="61"/>
      <c r="B68" s="62"/>
      <c r="C68" s="63" t="s">
        <v>205</v>
      </c>
      <c r="D68" s="66" t="s">
        <v>64</v>
      </c>
      <c r="E68" s="60">
        <v>8709712</v>
      </c>
      <c r="F68" s="60"/>
      <c r="G68" s="60">
        <f>SUM(E68:F68)</f>
        <v>8709712</v>
      </c>
      <c r="H68" s="60"/>
      <c r="I68" s="60">
        <f>SUM(G68:H68)</f>
        <v>8709712</v>
      </c>
      <c r="J68" s="60"/>
      <c r="K68" s="60">
        <f>SUM(I68:J68)</f>
        <v>8709712</v>
      </c>
      <c r="L68" s="60"/>
      <c r="M68" s="60">
        <f>SUM(K68:L68)</f>
        <v>8709712</v>
      </c>
      <c r="N68" s="60"/>
      <c r="O68" s="60">
        <f>SUM(M68:N68)</f>
        <v>8709712</v>
      </c>
      <c r="P68" s="60"/>
      <c r="Q68" s="60">
        <f>SUM(O68:P68)</f>
        <v>8709712</v>
      </c>
      <c r="R68" s="60"/>
      <c r="S68" s="60">
        <f>SUM(Q68:R68)</f>
        <v>8709712</v>
      </c>
      <c r="T68" s="60"/>
      <c r="U68" s="60">
        <f>SUM(S68:T68)</f>
        <v>8709712</v>
      </c>
      <c r="V68" s="60"/>
      <c r="W68" s="60">
        <f>SUM(U68:V68)</f>
        <v>8709712</v>
      </c>
      <c r="X68" s="60"/>
      <c r="Y68" s="60">
        <f>SUM(W68:X68)</f>
        <v>8709712</v>
      </c>
    </row>
    <row r="69" spans="1:25" s="22" customFormat="1" ht="21.75" customHeight="1">
      <c r="A69" s="61"/>
      <c r="B69" s="62"/>
      <c r="C69" s="63" t="s">
        <v>206</v>
      </c>
      <c r="D69" s="66" t="s">
        <v>65</v>
      </c>
      <c r="E69" s="60">
        <v>750000</v>
      </c>
      <c r="F69" s="60"/>
      <c r="G69" s="60">
        <f>SUM(E69:F69)</f>
        <v>750000</v>
      </c>
      <c r="H69" s="60"/>
      <c r="I69" s="60">
        <f>SUM(G69:H69)</f>
        <v>750000</v>
      </c>
      <c r="J69" s="60"/>
      <c r="K69" s="60">
        <f>SUM(I69:J69)</f>
        <v>750000</v>
      </c>
      <c r="L69" s="60"/>
      <c r="M69" s="60">
        <f>SUM(K69:L69)</f>
        <v>750000</v>
      </c>
      <c r="N69" s="60"/>
      <c r="O69" s="60">
        <f>SUM(M69:N69)</f>
        <v>750000</v>
      </c>
      <c r="P69" s="60"/>
      <c r="Q69" s="60">
        <f>SUM(O69:P69)</f>
        <v>750000</v>
      </c>
      <c r="R69" s="60"/>
      <c r="S69" s="60">
        <f>SUM(Q69:R69)</f>
        <v>750000</v>
      </c>
      <c r="T69" s="60">
        <v>190000</v>
      </c>
      <c r="U69" s="60">
        <f>SUM(S69:T69)</f>
        <v>940000</v>
      </c>
      <c r="V69" s="60"/>
      <c r="W69" s="60">
        <f>SUM(U69:V69)</f>
        <v>940000</v>
      </c>
      <c r="X69" s="60"/>
      <c r="Y69" s="60">
        <f>SUM(W69:X69)</f>
        <v>940000</v>
      </c>
    </row>
    <row r="70" spans="1:25" s="5" customFormat="1" ht="24" customHeight="1">
      <c r="A70" s="27" t="s">
        <v>66</v>
      </c>
      <c r="B70" s="1"/>
      <c r="C70" s="2"/>
      <c r="D70" s="28" t="s">
        <v>67</v>
      </c>
      <c r="E70" s="46">
        <f aca="true" t="shared" si="34" ref="E70:W70">SUM(E71,E73,E75,E78)</f>
        <v>16223966</v>
      </c>
      <c r="F70" s="46">
        <f t="shared" si="34"/>
        <v>0</v>
      </c>
      <c r="G70" s="46">
        <f t="shared" si="34"/>
        <v>16223966</v>
      </c>
      <c r="H70" s="46">
        <f t="shared" si="34"/>
        <v>0</v>
      </c>
      <c r="I70" s="46">
        <f t="shared" si="34"/>
        <v>16223966</v>
      </c>
      <c r="J70" s="46">
        <f t="shared" si="34"/>
        <v>0</v>
      </c>
      <c r="K70" s="46">
        <f t="shared" si="34"/>
        <v>16223966</v>
      </c>
      <c r="L70" s="46">
        <f t="shared" si="34"/>
        <v>805536</v>
      </c>
      <c r="M70" s="46">
        <f t="shared" si="34"/>
        <v>17029502</v>
      </c>
      <c r="N70" s="46">
        <f t="shared" si="34"/>
        <v>0</v>
      </c>
      <c r="O70" s="46">
        <f t="shared" si="34"/>
        <v>17029502</v>
      </c>
      <c r="P70" s="46">
        <f t="shared" si="34"/>
        <v>0</v>
      </c>
      <c r="Q70" s="46">
        <f t="shared" si="34"/>
        <v>17029502</v>
      </c>
      <c r="R70" s="46">
        <f t="shared" si="34"/>
        <v>0</v>
      </c>
      <c r="S70" s="46">
        <f t="shared" si="34"/>
        <v>17029502</v>
      </c>
      <c r="T70" s="46">
        <f t="shared" si="34"/>
        <v>107033</v>
      </c>
      <c r="U70" s="46">
        <f t="shared" si="34"/>
        <v>17136535</v>
      </c>
      <c r="V70" s="46">
        <f t="shared" si="34"/>
        <v>0</v>
      </c>
      <c r="W70" s="46">
        <f t="shared" si="34"/>
        <v>17136535</v>
      </c>
      <c r="X70" s="46">
        <f>SUM(X71,X73,X75,X78)</f>
        <v>0</v>
      </c>
      <c r="Y70" s="46">
        <f>SUM(Y71,Y73,Y75,Y78)</f>
        <v>17136535</v>
      </c>
    </row>
    <row r="71" spans="1:25" s="22" customFormat="1" ht="24" customHeight="1">
      <c r="A71" s="61"/>
      <c r="B71" s="62" t="s">
        <v>68</v>
      </c>
      <c r="C71" s="69"/>
      <c r="D71" s="66" t="s">
        <v>69</v>
      </c>
      <c r="E71" s="60">
        <f aca="true" t="shared" si="35" ref="E71:Y71">SUM(E72)</f>
        <v>12109552</v>
      </c>
      <c r="F71" s="60">
        <f t="shared" si="35"/>
        <v>0</v>
      </c>
      <c r="G71" s="60">
        <f t="shared" si="35"/>
        <v>12109552</v>
      </c>
      <c r="H71" s="60">
        <f t="shared" si="35"/>
        <v>0</v>
      </c>
      <c r="I71" s="60">
        <f t="shared" si="35"/>
        <v>12109552</v>
      </c>
      <c r="J71" s="60">
        <f t="shared" si="35"/>
        <v>0</v>
      </c>
      <c r="K71" s="60">
        <f t="shared" si="35"/>
        <v>12109552</v>
      </c>
      <c r="L71" s="60">
        <f t="shared" si="35"/>
        <v>805536</v>
      </c>
      <c r="M71" s="60">
        <f t="shared" si="35"/>
        <v>12915088</v>
      </c>
      <c r="N71" s="60">
        <f t="shared" si="35"/>
        <v>0</v>
      </c>
      <c r="O71" s="60">
        <f t="shared" si="35"/>
        <v>12915088</v>
      </c>
      <c r="P71" s="60">
        <f t="shared" si="35"/>
        <v>0</v>
      </c>
      <c r="Q71" s="60">
        <f t="shared" si="35"/>
        <v>12915088</v>
      </c>
      <c r="R71" s="60">
        <f t="shared" si="35"/>
        <v>0</v>
      </c>
      <c r="S71" s="60">
        <f t="shared" si="35"/>
        <v>12915088</v>
      </c>
      <c r="T71" s="60">
        <f t="shared" si="35"/>
        <v>20250</v>
      </c>
      <c r="U71" s="60">
        <f t="shared" si="35"/>
        <v>12935338</v>
      </c>
      <c r="V71" s="60">
        <f t="shared" si="35"/>
        <v>0</v>
      </c>
      <c r="W71" s="60">
        <f t="shared" si="35"/>
        <v>12935338</v>
      </c>
      <c r="X71" s="60">
        <f t="shared" si="35"/>
        <v>0</v>
      </c>
      <c r="Y71" s="60">
        <f t="shared" si="35"/>
        <v>12935338</v>
      </c>
    </row>
    <row r="72" spans="1:25" s="22" customFormat="1" ht="21.75" customHeight="1">
      <c r="A72" s="61"/>
      <c r="B72" s="62"/>
      <c r="C72" s="63">
        <v>2920</v>
      </c>
      <c r="D72" s="66" t="s">
        <v>70</v>
      </c>
      <c r="E72" s="60">
        <v>12109552</v>
      </c>
      <c r="F72" s="60"/>
      <c r="G72" s="60">
        <f>SUM(E72:F72)</f>
        <v>12109552</v>
      </c>
      <c r="H72" s="60"/>
      <c r="I72" s="60">
        <f>SUM(G72:H72)</f>
        <v>12109552</v>
      </c>
      <c r="J72" s="60"/>
      <c r="K72" s="60">
        <f>SUM(I72:J72)</f>
        <v>12109552</v>
      </c>
      <c r="L72" s="60">
        <v>805536</v>
      </c>
      <c r="M72" s="60">
        <f>SUM(K72:L72)</f>
        <v>12915088</v>
      </c>
      <c r="N72" s="60"/>
      <c r="O72" s="60">
        <f>SUM(M72:N72)</f>
        <v>12915088</v>
      </c>
      <c r="P72" s="60"/>
      <c r="Q72" s="60">
        <f>SUM(O72:P72)</f>
        <v>12915088</v>
      </c>
      <c r="R72" s="60"/>
      <c r="S72" s="60">
        <f>SUM(Q72:R72)</f>
        <v>12915088</v>
      </c>
      <c r="T72" s="60">
        <v>20250</v>
      </c>
      <c r="U72" s="60">
        <f>SUM(S72:T72)</f>
        <v>12935338</v>
      </c>
      <c r="V72" s="60"/>
      <c r="W72" s="60">
        <f>SUM(U72:V72)</f>
        <v>12935338</v>
      </c>
      <c r="X72" s="60"/>
      <c r="Y72" s="60">
        <f>SUM(W72:X72)</f>
        <v>12935338</v>
      </c>
    </row>
    <row r="73" spans="1:25" s="22" customFormat="1" ht="21.75" customHeight="1">
      <c r="A73" s="61"/>
      <c r="B73" s="62" t="s">
        <v>219</v>
      </c>
      <c r="C73" s="69"/>
      <c r="D73" s="66" t="s">
        <v>218</v>
      </c>
      <c r="E73" s="60">
        <f aca="true" t="shared" si="36" ref="E73:Y73">SUM(E74)</f>
        <v>3153165</v>
      </c>
      <c r="F73" s="60">
        <f t="shared" si="36"/>
        <v>0</v>
      </c>
      <c r="G73" s="60">
        <f t="shared" si="36"/>
        <v>3153165</v>
      </c>
      <c r="H73" s="60">
        <f t="shared" si="36"/>
        <v>0</v>
      </c>
      <c r="I73" s="60">
        <f t="shared" si="36"/>
        <v>3153165</v>
      </c>
      <c r="J73" s="60">
        <f t="shared" si="36"/>
        <v>0</v>
      </c>
      <c r="K73" s="60">
        <f t="shared" si="36"/>
        <v>3153165</v>
      </c>
      <c r="L73" s="60">
        <f t="shared" si="36"/>
        <v>0</v>
      </c>
      <c r="M73" s="60">
        <f t="shared" si="36"/>
        <v>3153165</v>
      </c>
      <c r="N73" s="60">
        <f t="shared" si="36"/>
        <v>0</v>
      </c>
      <c r="O73" s="60">
        <f t="shared" si="36"/>
        <v>3153165</v>
      </c>
      <c r="P73" s="60">
        <f t="shared" si="36"/>
        <v>0</v>
      </c>
      <c r="Q73" s="60">
        <f t="shared" si="36"/>
        <v>3153165</v>
      </c>
      <c r="R73" s="60">
        <f t="shared" si="36"/>
        <v>0</v>
      </c>
      <c r="S73" s="60">
        <f t="shared" si="36"/>
        <v>3153165</v>
      </c>
      <c r="T73" s="60">
        <f t="shared" si="36"/>
        <v>0</v>
      </c>
      <c r="U73" s="60">
        <f t="shared" si="36"/>
        <v>3153165</v>
      </c>
      <c r="V73" s="60">
        <f t="shared" si="36"/>
        <v>0</v>
      </c>
      <c r="W73" s="60">
        <f t="shared" si="36"/>
        <v>3153165</v>
      </c>
      <c r="X73" s="60">
        <f t="shared" si="36"/>
        <v>0</v>
      </c>
      <c r="Y73" s="60">
        <f t="shared" si="36"/>
        <v>3153165</v>
      </c>
    </row>
    <row r="74" spans="1:25" s="22" customFormat="1" ht="21.75" customHeight="1">
      <c r="A74" s="61"/>
      <c r="B74" s="62"/>
      <c r="C74" s="63">
        <v>2920</v>
      </c>
      <c r="D74" s="66" t="s">
        <v>70</v>
      </c>
      <c r="E74" s="60">
        <v>3153165</v>
      </c>
      <c r="F74" s="60"/>
      <c r="G74" s="60">
        <f>SUM(E74:F74)</f>
        <v>3153165</v>
      </c>
      <c r="H74" s="60"/>
      <c r="I74" s="60">
        <f>SUM(G74:H74)</f>
        <v>3153165</v>
      </c>
      <c r="J74" s="60"/>
      <c r="K74" s="60">
        <f>SUM(I74:J74)</f>
        <v>3153165</v>
      </c>
      <c r="L74" s="60"/>
      <c r="M74" s="60">
        <f>SUM(K74:L74)</f>
        <v>3153165</v>
      </c>
      <c r="N74" s="60"/>
      <c r="O74" s="60">
        <f>SUM(M74:N74)</f>
        <v>3153165</v>
      </c>
      <c r="P74" s="60"/>
      <c r="Q74" s="60">
        <f>SUM(O74:P74)</f>
        <v>3153165</v>
      </c>
      <c r="R74" s="60"/>
      <c r="S74" s="60">
        <f>SUM(Q74:R74)</f>
        <v>3153165</v>
      </c>
      <c r="T74" s="60"/>
      <c r="U74" s="60">
        <f>SUM(S74:T74)</f>
        <v>3153165</v>
      </c>
      <c r="V74" s="60"/>
      <c r="W74" s="60">
        <f>SUM(U74:V74)</f>
        <v>3153165</v>
      </c>
      <c r="X74" s="60"/>
      <c r="Y74" s="60">
        <f>SUM(W74:X74)</f>
        <v>3153165</v>
      </c>
    </row>
    <row r="75" spans="1:25" s="22" customFormat="1" ht="21" customHeight="1">
      <c r="A75" s="61"/>
      <c r="B75" s="62">
        <v>75814</v>
      </c>
      <c r="C75" s="69"/>
      <c r="D75" s="66" t="s">
        <v>71</v>
      </c>
      <c r="E75" s="60">
        <f aca="true" t="shared" si="37" ref="E75:S75">SUM(E76)</f>
        <v>50000</v>
      </c>
      <c r="F75" s="60">
        <f t="shared" si="37"/>
        <v>0</v>
      </c>
      <c r="G75" s="60">
        <f t="shared" si="37"/>
        <v>50000</v>
      </c>
      <c r="H75" s="60">
        <f t="shared" si="37"/>
        <v>0</v>
      </c>
      <c r="I75" s="60">
        <f t="shared" si="37"/>
        <v>50000</v>
      </c>
      <c r="J75" s="60">
        <f t="shared" si="37"/>
        <v>0</v>
      </c>
      <c r="K75" s="60">
        <f t="shared" si="37"/>
        <v>50000</v>
      </c>
      <c r="L75" s="60">
        <f t="shared" si="37"/>
        <v>0</v>
      </c>
      <c r="M75" s="60">
        <f t="shared" si="37"/>
        <v>50000</v>
      </c>
      <c r="N75" s="60">
        <f t="shared" si="37"/>
        <v>0</v>
      </c>
      <c r="O75" s="60">
        <f t="shared" si="37"/>
        <v>50000</v>
      </c>
      <c r="P75" s="60">
        <f t="shared" si="37"/>
        <v>0</v>
      </c>
      <c r="Q75" s="60">
        <f t="shared" si="37"/>
        <v>50000</v>
      </c>
      <c r="R75" s="60">
        <f t="shared" si="37"/>
        <v>0</v>
      </c>
      <c r="S75" s="60">
        <f t="shared" si="37"/>
        <v>50000</v>
      </c>
      <c r="T75" s="60">
        <f aca="true" t="shared" si="38" ref="T75:Y75">SUM(T76:T77)</f>
        <v>86783</v>
      </c>
      <c r="U75" s="60">
        <f t="shared" si="38"/>
        <v>136783</v>
      </c>
      <c r="V75" s="60">
        <f t="shared" si="38"/>
        <v>0</v>
      </c>
      <c r="W75" s="60">
        <f t="shared" si="38"/>
        <v>136783</v>
      </c>
      <c r="X75" s="60">
        <f t="shared" si="38"/>
        <v>0</v>
      </c>
      <c r="Y75" s="60">
        <f t="shared" si="38"/>
        <v>136783</v>
      </c>
    </row>
    <row r="76" spans="1:25" s="22" customFormat="1" ht="21.75" customHeight="1">
      <c r="A76" s="61"/>
      <c r="B76" s="62"/>
      <c r="C76" s="63" t="s">
        <v>192</v>
      </c>
      <c r="D76" s="66" t="s">
        <v>22</v>
      </c>
      <c r="E76" s="60">
        <v>50000</v>
      </c>
      <c r="F76" s="60"/>
      <c r="G76" s="60">
        <f>SUM(E76:F76)</f>
        <v>50000</v>
      </c>
      <c r="H76" s="60"/>
      <c r="I76" s="60">
        <f>SUM(G76:H76)</f>
        <v>50000</v>
      </c>
      <c r="J76" s="60"/>
      <c r="K76" s="60">
        <f>SUM(I76:J76)</f>
        <v>50000</v>
      </c>
      <c r="L76" s="60"/>
      <c r="M76" s="60">
        <f>SUM(K76:L76)</f>
        <v>50000</v>
      </c>
      <c r="N76" s="60"/>
      <c r="O76" s="60">
        <f>SUM(M76:N76)</f>
        <v>50000</v>
      </c>
      <c r="P76" s="60"/>
      <c r="Q76" s="60">
        <f>SUM(O76:P76)</f>
        <v>50000</v>
      </c>
      <c r="R76" s="60"/>
      <c r="S76" s="60">
        <f>SUM(Q76:R76)</f>
        <v>50000</v>
      </c>
      <c r="T76" s="60">
        <v>20000</v>
      </c>
      <c r="U76" s="60">
        <f>SUM(S76:T76)</f>
        <v>70000</v>
      </c>
      <c r="V76" s="60"/>
      <c r="W76" s="60">
        <f>SUM(U76:V76)</f>
        <v>70000</v>
      </c>
      <c r="X76" s="60"/>
      <c r="Y76" s="60">
        <f>SUM(W76:X76)</f>
        <v>70000</v>
      </c>
    </row>
    <row r="77" spans="1:25" s="22" customFormat="1" ht="21.75" customHeight="1">
      <c r="A77" s="61"/>
      <c r="B77" s="62"/>
      <c r="C77" s="63" t="s">
        <v>193</v>
      </c>
      <c r="D77" s="66" t="s">
        <v>23</v>
      </c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>
        <v>0</v>
      </c>
      <c r="T77" s="60">
        <v>66783</v>
      </c>
      <c r="U77" s="60">
        <f>SUM(S77:T77)</f>
        <v>66783</v>
      </c>
      <c r="V77" s="60"/>
      <c r="W77" s="60">
        <f>SUM(U77:V77)</f>
        <v>66783</v>
      </c>
      <c r="X77" s="60"/>
      <c r="Y77" s="60">
        <f>SUM(W77:X77)</f>
        <v>66783</v>
      </c>
    </row>
    <row r="78" spans="1:25" s="22" customFormat="1" ht="20.25" customHeight="1">
      <c r="A78" s="61"/>
      <c r="B78" s="62" t="s">
        <v>254</v>
      </c>
      <c r="C78" s="69"/>
      <c r="D78" s="66" t="s">
        <v>255</v>
      </c>
      <c r="E78" s="60">
        <f aca="true" t="shared" si="39" ref="E78:Y78">SUM(E79)</f>
        <v>911249</v>
      </c>
      <c r="F78" s="60">
        <f t="shared" si="39"/>
        <v>0</v>
      </c>
      <c r="G78" s="60">
        <f t="shared" si="39"/>
        <v>911249</v>
      </c>
      <c r="H78" s="60">
        <f t="shared" si="39"/>
        <v>0</v>
      </c>
      <c r="I78" s="60">
        <f t="shared" si="39"/>
        <v>911249</v>
      </c>
      <c r="J78" s="60">
        <f t="shared" si="39"/>
        <v>0</v>
      </c>
      <c r="K78" s="60">
        <f t="shared" si="39"/>
        <v>911249</v>
      </c>
      <c r="L78" s="60">
        <f t="shared" si="39"/>
        <v>0</v>
      </c>
      <c r="M78" s="60">
        <f t="shared" si="39"/>
        <v>911249</v>
      </c>
      <c r="N78" s="60">
        <f t="shared" si="39"/>
        <v>0</v>
      </c>
      <c r="O78" s="60">
        <f t="shared" si="39"/>
        <v>911249</v>
      </c>
      <c r="P78" s="60">
        <f t="shared" si="39"/>
        <v>0</v>
      </c>
      <c r="Q78" s="60">
        <f t="shared" si="39"/>
        <v>911249</v>
      </c>
      <c r="R78" s="60">
        <f t="shared" si="39"/>
        <v>0</v>
      </c>
      <c r="S78" s="60">
        <f t="shared" si="39"/>
        <v>911249</v>
      </c>
      <c r="T78" s="60">
        <f t="shared" si="39"/>
        <v>0</v>
      </c>
      <c r="U78" s="60">
        <f t="shared" si="39"/>
        <v>911249</v>
      </c>
      <c r="V78" s="60">
        <f t="shared" si="39"/>
        <v>0</v>
      </c>
      <c r="W78" s="60">
        <f t="shared" si="39"/>
        <v>911249</v>
      </c>
      <c r="X78" s="60">
        <f t="shared" si="39"/>
        <v>0</v>
      </c>
      <c r="Y78" s="60">
        <f t="shared" si="39"/>
        <v>911249</v>
      </c>
    </row>
    <row r="79" spans="1:25" s="22" customFormat="1" ht="21.75" customHeight="1">
      <c r="A79" s="61"/>
      <c r="B79" s="62"/>
      <c r="C79" s="63">
        <v>2920</v>
      </c>
      <c r="D79" s="66" t="s">
        <v>70</v>
      </c>
      <c r="E79" s="60">
        <v>911249</v>
      </c>
      <c r="F79" s="60"/>
      <c r="G79" s="60">
        <f>SUM(E79:F79)</f>
        <v>911249</v>
      </c>
      <c r="H79" s="60"/>
      <c r="I79" s="60">
        <f>SUM(G79:H79)</f>
        <v>911249</v>
      </c>
      <c r="J79" s="60"/>
      <c r="K79" s="60">
        <f>SUM(I79:J79)</f>
        <v>911249</v>
      </c>
      <c r="L79" s="60"/>
      <c r="M79" s="60">
        <f>SUM(K79:L79)</f>
        <v>911249</v>
      </c>
      <c r="N79" s="60"/>
      <c r="O79" s="60">
        <f>SUM(M79:N79)</f>
        <v>911249</v>
      </c>
      <c r="P79" s="60"/>
      <c r="Q79" s="60">
        <f>SUM(O79:P79)</f>
        <v>911249</v>
      </c>
      <c r="R79" s="60"/>
      <c r="S79" s="60">
        <f>SUM(Q79:R79)</f>
        <v>911249</v>
      </c>
      <c r="T79" s="60"/>
      <c r="U79" s="60">
        <f>SUM(S79:T79)</f>
        <v>911249</v>
      </c>
      <c r="V79" s="60"/>
      <c r="W79" s="60">
        <f>SUM(U79:V79)</f>
        <v>911249</v>
      </c>
      <c r="X79" s="60"/>
      <c r="Y79" s="60">
        <f>SUM(W79:X79)</f>
        <v>911249</v>
      </c>
    </row>
    <row r="80" spans="1:25" s="22" customFormat="1" ht="24" customHeight="1">
      <c r="A80" s="31" t="s">
        <v>137</v>
      </c>
      <c r="B80" s="32"/>
      <c r="C80" s="33"/>
      <c r="D80" s="34" t="s">
        <v>138</v>
      </c>
      <c r="E80" s="46">
        <f>SUM(E81,E88,E90,E100)</f>
        <v>116625</v>
      </c>
      <c r="F80" s="46">
        <f>SUM(F81,F88,F90,F100)</f>
        <v>0</v>
      </c>
      <c r="G80" s="46">
        <f>SUM(G81,G88,G90,G100)</f>
        <v>116625</v>
      </c>
      <c r="H80" s="46">
        <f>SUM(H81,H88,H90,H100)</f>
        <v>0</v>
      </c>
      <c r="I80" s="46">
        <f>SUM(I81,I88,I90,I100,I92)</f>
        <v>116625</v>
      </c>
      <c r="J80" s="46">
        <f>SUM(J81,J88,J90,J100,J92)</f>
        <v>0</v>
      </c>
      <c r="K80" s="46">
        <f aca="true" t="shared" si="40" ref="K80:W80">SUM(K81,K88,K90,K100,K92,K96)</f>
        <v>116625</v>
      </c>
      <c r="L80" s="46">
        <f t="shared" si="40"/>
        <v>120070</v>
      </c>
      <c r="M80" s="46">
        <f t="shared" si="40"/>
        <v>236695</v>
      </c>
      <c r="N80" s="46">
        <f t="shared" si="40"/>
        <v>0</v>
      </c>
      <c r="O80" s="46">
        <f t="shared" si="40"/>
        <v>236695</v>
      </c>
      <c r="P80" s="46">
        <f t="shared" si="40"/>
        <v>75670</v>
      </c>
      <c r="Q80" s="46">
        <f t="shared" si="40"/>
        <v>312365</v>
      </c>
      <c r="R80" s="46">
        <f t="shared" si="40"/>
        <v>65857</v>
      </c>
      <c r="S80" s="46">
        <f t="shared" si="40"/>
        <v>378222</v>
      </c>
      <c r="T80" s="46">
        <f t="shared" si="40"/>
        <v>18867</v>
      </c>
      <c r="U80" s="46">
        <f t="shared" si="40"/>
        <v>397089</v>
      </c>
      <c r="V80" s="46">
        <f t="shared" si="40"/>
        <v>0</v>
      </c>
      <c r="W80" s="46">
        <f t="shared" si="40"/>
        <v>397089</v>
      </c>
      <c r="X80" s="46">
        <f>SUM(X81,X88,X90,X100,X92,X96)</f>
        <v>128501</v>
      </c>
      <c r="Y80" s="46">
        <f>SUM(Y81,Y88,Y90,Y100,Y92,Y96)</f>
        <v>525590</v>
      </c>
    </row>
    <row r="81" spans="1:25" s="22" customFormat="1" ht="24" customHeight="1">
      <c r="A81" s="56"/>
      <c r="B81" s="72" t="s">
        <v>139</v>
      </c>
      <c r="C81" s="76"/>
      <c r="D81" s="36" t="s">
        <v>74</v>
      </c>
      <c r="E81" s="60">
        <f aca="true" t="shared" si="41" ref="E81:R81">SUM(E82:E86)</f>
        <v>51807</v>
      </c>
      <c r="F81" s="60">
        <f t="shared" si="41"/>
        <v>0</v>
      </c>
      <c r="G81" s="60">
        <f t="shared" si="41"/>
        <v>51807</v>
      </c>
      <c r="H81" s="60">
        <f t="shared" si="41"/>
        <v>0</v>
      </c>
      <c r="I81" s="60">
        <f t="shared" si="41"/>
        <v>51807</v>
      </c>
      <c r="J81" s="60">
        <f t="shared" si="41"/>
        <v>0</v>
      </c>
      <c r="K81" s="60">
        <f t="shared" si="41"/>
        <v>51807</v>
      </c>
      <c r="L81" s="60">
        <f t="shared" si="41"/>
        <v>0</v>
      </c>
      <c r="M81" s="60">
        <f t="shared" si="41"/>
        <v>51807</v>
      </c>
      <c r="N81" s="60">
        <f t="shared" si="41"/>
        <v>0</v>
      </c>
      <c r="O81" s="60">
        <f t="shared" si="41"/>
        <v>51807</v>
      </c>
      <c r="P81" s="60">
        <f t="shared" si="41"/>
        <v>75670</v>
      </c>
      <c r="Q81" s="60">
        <f t="shared" si="41"/>
        <v>127477</v>
      </c>
      <c r="R81" s="60">
        <f t="shared" si="41"/>
        <v>0</v>
      </c>
      <c r="S81" s="60">
        <f aca="true" t="shared" si="42" ref="S81:Y81">SUM(S82:S87)</f>
        <v>127477</v>
      </c>
      <c r="T81" s="60">
        <f t="shared" si="42"/>
        <v>19711</v>
      </c>
      <c r="U81" s="60">
        <f t="shared" si="42"/>
        <v>147188</v>
      </c>
      <c r="V81" s="60">
        <f t="shared" si="42"/>
        <v>0</v>
      </c>
      <c r="W81" s="60">
        <f t="shared" si="42"/>
        <v>147188</v>
      </c>
      <c r="X81" s="60">
        <f t="shared" si="42"/>
        <v>0</v>
      </c>
      <c r="Y81" s="60">
        <f t="shared" si="42"/>
        <v>147188</v>
      </c>
    </row>
    <row r="82" spans="1:25" s="22" customFormat="1" ht="67.5">
      <c r="A82" s="72"/>
      <c r="B82" s="56"/>
      <c r="C82" s="73" t="s">
        <v>191</v>
      </c>
      <c r="D82" s="36" t="s">
        <v>78</v>
      </c>
      <c r="E82" s="60">
        <v>48807</v>
      </c>
      <c r="F82" s="60"/>
      <c r="G82" s="60">
        <f>SUM(E82:F82)</f>
        <v>48807</v>
      </c>
      <c r="H82" s="60"/>
      <c r="I82" s="60">
        <f>SUM(G82:H82)</f>
        <v>48807</v>
      </c>
      <c r="J82" s="60"/>
      <c r="K82" s="60">
        <f>SUM(I82:J82)</f>
        <v>48807</v>
      </c>
      <c r="L82" s="60"/>
      <c r="M82" s="60">
        <f>SUM(K82:L82)</f>
        <v>48807</v>
      </c>
      <c r="N82" s="60"/>
      <c r="O82" s="60">
        <f>SUM(M82:N82)</f>
        <v>48807</v>
      </c>
      <c r="P82" s="60"/>
      <c r="Q82" s="60">
        <f>SUM(O82:P82)</f>
        <v>48807</v>
      </c>
      <c r="R82" s="60"/>
      <c r="S82" s="60">
        <f>SUM(Q82:R82)</f>
        <v>48807</v>
      </c>
      <c r="T82" s="60"/>
      <c r="U82" s="60">
        <f aca="true" t="shared" si="43" ref="U82:U87">SUM(S82:T82)</f>
        <v>48807</v>
      </c>
      <c r="V82" s="60"/>
      <c r="W82" s="60">
        <f aca="true" t="shared" si="44" ref="W82:W87">SUM(U82:V82)</f>
        <v>48807</v>
      </c>
      <c r="X82" s="60"/>
      <c r="Y82" s="60">
        <f aca="true" t="shared" si="45" ref="Y82:Y87">SUM(W82:X82)</f>
        <v>48807</v>
      </c>
    </row>
    <row r="83" spans="1:25" s="22" customFormat="1" ht="20.25" customHeight="1">
      <c r="A83" s="72"/>
      <c r="B83" s="56"/>
      <c r="C83" s="107" t="s">
        <v>192</v>
      </c>
      <c r="D83" s="55" t="s">
        <v>22</v>
      </c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>
        <v>0</v>
      </c>
      <c r="T83" s="60">
        <v>328</v>
      </c>
      <c r="U83" s="60">
        <f t="shared" si="43"/>
        <v>328</v>
      </c>
      <c r="V83" s="60"/>
      <c r="W83" s="60">
        <f t="shared" si="44"/>
        <v>328</v>
      </c>
      <c r="X83" s="60"/>
      <c r="Y83" s="60">
        <f t="shared" si="45"/>
        <v>328</v>
      </c>
    </row>
    <row r="84" spans="1:25" s="22" customFormat="1" ht="20.25" customHeight="1">
      <c r="A84" s="72"/>
      <c r="B84" s="56"/>
      <c r="C84" s="107" t="s">
        <v>193</v>
      </c>
      <c r="D84" s="55" t="s">
        <v>23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>
        <v>0</v>
      </c>
      <c r="T84" s="60">
        <v>19362</v>
      </c>
      <c r="U84" s="60">
        <f t="shared" si="43"/>
        <v>19362</v>
      </c>
      <c r="V84" s="60"/>
      <c r="W84" s="60">
        <f t="shared" si="44"/>
        <v>19362</v>
      </c>
      <c r="X84" s="60"/>
      <c r="Y84" s="60">
        <f t="shared" si="45"/>
        <v>19362</v>
      </c>
    </row>
    <row r="85" spans="1:25" s="22" customFormat="1" ht="33.75">
      <c r="A85" s="72"/>
      <c r="B85" s="56"/>
      <c r="C85" s="107">
        <v>2030</v>
      </c>
      <c r="D85" s="66" t="s">
        <v>252</v>
      </c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>
        <v>0</v>
      </c>
      <c r="P85" s="60">
        <v>75670</v>
      </c>
      <c r="Q85" s="60">
        <f>SUM(O85:P85)</f>
        <v>75670</v>
      </c>
      <c r="R85" s="60"/>
      <c r="S85" s="60">
        <f>SUM(Q85:R85)</f>
        <v>75670</v>
      </c>
      <c r="T85" s="60"/>
      <c r="U85" s="60">
        <f t="shared" si="43"/>
        <v>75670</v>
      </c>
      <c r="V85" s="60"/>
      <c r="W85" s="60">
        <f t="shared" si="44"/>
        <v>75670</v>
      </c>
      <c r="X85" s="60"/>
      <c r="Y85" s="60">
        <f t="shared" si="45"/>
        <v>75670</v>
      </c>
    </row>
    <row r="86" spans="1:25" s="22" customFormat="1" ht="45">
      <c r="A86" s="72"/>
      <c r="B86" s="56"/>
      <c r="C86" s="107">
        <v>2310</v>
      </c>
      <c r="D86" s="36" t="s">
        <v>281</v>
      </c>
      <c r="E86" s="60">
        <v>3000</v>
      </c>
      <c r="F86" s="60"/>
      <c r="G86" s="60">
        <f>SUM(E86:F86)</f>
        <v>3000</v>
      </c>
      <c r="H86" s="60"/>
      <c r="I86" s="60">
        <f>SUM(G86:H86)</f>
        <v>3000</v>
      </c>
      <c r="J86" s="60"/>
      <c r="K86" s="60">
        <f>SUM(I86:J86)</f>
        <v>3000</v>
      </c>
      <c r="L86" s="60"/>
      <c r="M86" s="60">
        <f>SUM(K86:L86)</f>
        <v>3000</v>
      </c>
      <c r="N86" s="60"/>
      <c r="O86" s="60">
        <f>SUM(M86:N86)</f>
        <v>3000</v>
      </c>
      <c r="P86" s="60"/>
      <c r="Q86" s="60">
        <f>SUM(O86:P86)</f>
        <v>3000</v>
      </c>
      <c r="R86" s="60"/>
      <c r="S86" s="60">
        <f>SUM(Q86:R86)</f>
        <v>3000</v>
      </c>
      <c r="T86" s="60"/>
      <c r="U86" s="60">
        <f t="shared" si="43"/>
        <v>3000</v>
      </c>
      <c r="V86" s="60"/>
      <c r="W86" s="60">
        <f t="shared" si="44"/>
        <v>3000</v>
      </c>
      <c r="X86" s="60"/>
      <c r="Y86" s="60">
        <f t="shared" si="45"/>
        <v>3000</v>
      </c>
    </row>
    <row r="87" spans="1:25" s="22" customFormat="1" ht="22.5">
      <c r="A87" s="72"/>
      <c r="B87" s="56"/>
      <c r="C87" s="107">
        <v>2400</v>
      </c>
      <c r="D87" s="36" t="s">
        <v>284</v>
      </c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>
        <v>0</v>
      </c>
      <c r="T87" s="60">
        <v>21</v>
      </c>
      <c r="U87" s="60">
        <f t="shared" si="43"/>
        <v>21</v>
      </c>
      <c r="V87" s="60"/>
      <c r="W87" s="60">
        <f t="shared" si="44"/>
        <v>21</v>
      </c>
      <c r="X87" s="60"/>
      <c r="Y87" s="60">
        <f t="shared" si="45"/>
        <v>21</v>
      </c>
    </row>
    <row r="88" spans="1:25" s="22" customFormat="1" ht="24" customHeight="1">
      <c r="A88" s="61"/>
      <c r="B88" s="62">
        <v>80104</v>
      </c>
      <c r="C88" s="63"/>
      <c r="D88" s="36" t="s">
        <v>152</v>
      </c>
      <c r="E88" s="60">
        <f aca="true" t="shared" si="46" ref="E88:Y88">SUM(E89)</f>
        <v>6569</v>
      </c>
      <c r="F88" s="60">
        <f t="shared" si="46"/>
        <v>0</v>
      </c>
      <c r="G88" s="60">
        <f t="shared" si="46"/>
        <v>6569</v>
      </c>
      <c r="H88" s="60">
        <f t="shared" si="46"/>
        <v>0</v>
      </c>
      <c r="I88" s="60">
        <f t="shared" si="46"/>
        <v>6569</v>
      </c>
      <c r="J88" s="60">
        <f t="shared" si="46"/>
        <v>0</v>
      </c>
      <c r="K88" s="60">
        <f t="shared" si="46"/>
        <v>6569</v>
      </c>
      <c r="L88" s="60">
        <f t="shared" si="46"/>
        <v>0</v>
      </c>
      <c r="M88" s="60">
        <f t="shared" si="46"/>
        <v>6569</v>
      </c>
      <c r="N88" s="60">
        <f t="shared" si="46"/>
        <v>0</v>
      </c>
      <c r="O88" s="60">
        <f t="shared" si="46"/>
        <v>6569</v>
      </c>
      <c r="P88" s="60">
        <f t="shared" si="46"/>
        <v>0</v>
      </c>
      <c r="Q88" s="60">
        <f t="shared" si="46"/>
        <v>6569</v>
      </c>
      <c r="R88" s="60">
        <f t="shared" si="46"/>
        <v>0</v>
      </c>
      <c r="S88" s="60">
        <f t="shared" si="46"/>
        <v>6569</v>
      </c>
      <c r="T88" s="60">
        <f t="shared" si="46"/>
        <v>-4590</v>
      </c>
      <c r="U88" s="60">
        <f t="shared" si="46"/>
        <v>1979</v>
      </c>
      <c r="V88" s="60">
        <f t="shared" si="46"/>
        <v>0</v>
      </c>
      <c r="W88" s="60">
        <f t="shared" si="46"/>
        <v>1979</v>
      </c>
      <c r="X88" s="60">
        <f t="shared" si="46"/>
        <v>0</v>
      </c>
      <c r="Y88" s="60">
        <f t="shared" si="46"/>
        <v>1979</v>
      </c>
    </row>
    <row r="89" spans="1:25" s="22" customFormat="1" ht="67.5">
      <c r="A89" s="61"/>
      <c r="B89" s="62"/>
      <c r="C89" s="63" t="s">
        <v>191</v>
      </c>
      <c r="D89" s="36" t="s">
        <v>78</v>
      </c>
      <c r="E89" s="60">
        <v>6569</v>
      </c>
      <c r="F89" s="60"/>
      <c r="G89" s="60">
        <f>SUM(E89:F89)</f>
        <v>6569</v>
      </c>
      <c r="H89" s="60"/>
      <c r="I89" s="60">
        <f>SUM(G89:H89)</f>
        <v>6569</v>
      </c>
      <c r="J89" s="60"/>
      <c r="K89" s="60">
        <f>SUM(I89:J89)</f>
        <v>6569</v>
      </c>
      <c r="L89" s="60"/>
      <c r="M89" s="60">
        <f>SUM(K89:L89)</f>
        <v>6569</v>
      </c>
      <c r="N89" s="60"/>
      <c r="O89" s="60">
        <f>SUM(M89:N89)</f>
        <v>6569</v>
      </c>
      <c r="P89" s="60"/>
      <c r="Q89" s="60">
        <f>SUM(O89:P89)</f>
        <v>6569</v>
      </c>
      <c r="R89" s="60"/>
      <c r="S89" s="60">
        <f>SUM(Q89:R89)</f>
        <v>6569</v>
      </c>
      <c r="T89" s="60">
        <v>-4590</v>
      </c>
      <c r="U89" s="60">
        <f>SUM(S89:T89)</f>
        <v>1979</v>
      </c>
      <c r="V89" s="60"/>
      <c r="W89" s="60">
        <f>SUM(U89:V89)</f>
        <v>1979</v>
      </c>
      <c r="X89" s="60"/>
      <c r="Y89" s="60">
        <f>SUM(W89:X89)</f>
        <v>1979</v>
      </c>
    </row>
    <row r="90" spans="1:25" s="22" customFormat="1" ht="24" customHeight="1">
      <c r="A90" s="61"/>
      <c r="B90" s="62">
        <v>80110</v>
      </c>
      <c r="C90" s="63"/>
      <c r="D90" s="36" t="s">
        <v>75</v>
      </c>
      <c r="E90" s="60">
        <f aca="true" t="shared" si="47" ref="E90:R90">SUM(E91)</f>
        <v>7263</v>
      </c>
      <c r="F90" s="60">
        <f t="shared" si="47"/>
        <v>0</v>
      </c>
      <c r="G90" s="60">
        <f t="shared" si="47"/>
        <v>7263</v>
      </c>
      <c r="H90" s="60">
        <f t="shared" si="47"/>
        <v>0</v>
      </c>
      <c r="I90" s="60">
        <f t="shared" si="47"/>
        <v>7263</v>
      </c>
      <c r="J90" s="60">
        <f t="shared" si="47"/>
        <v>0</v>
      </c>
      <c r="K90" s="60">
        <f t="shared" si="47"/>
        <v>7263</v>
      </c>
      <c r="L90" s="60">
        <f t="shared" si="47"/>
        <v>0</v>
      </c>
      <c r="M90" s="60">
        <f t="shared" si="47"/>
        <v>7263</v>
      </c>
      <c r="N90" s="60">
        <f t="shared" si="47"/>
        <v>0</v>
      </c>
      <c r="O90" s="60">
        <f t="shared" si="47"/>
        <v>7263</v>
      </c>
      <c r="P90" s="60">
        <f t="shared" si="47"/>
        <v>0</v>
      </c>
      <c r="Q90" s="60">
        <f t="shared" si="47"/>
        <v>7263</v>
      </c>
      <c r="R90" s="60">
        <f t="shared" si="47"/>
        <v>0</v>
      </c>
      <c r="S90" s="60">
        <f aca="true" t="shared" si="48" ref="S90:Y90">SUM(S91:S95)</f>
        <v>7263</v>
      </c>
      <c r="T90" s="60">
        <f t="shared" si="48"/>
        <v>18</v>
      </c>
      <c r="U90" s="60">
        <f t="shared" si="48"/>
        <v>7281</v>
      </c>
      <c r="V90" s="60">
        <f t="shared" si="48"/>
        <v>0</v>
      </c>
      <c r="W90" s="60">
        <f t="shared" si="48"/>
        <v>7281</v>
      </c>
      <c r="X90" s="60">
        <f t="shared" si="48"/>
        <v>0</v>
      </c>
      <c r="Y90" s="60">
        <f t="shared" si="48"/>
        <v>7281</v>
      </c>
    </row>
    <row r="91" spans="1:25" s="22" customFormat="1" ht="67.5">
      <c r="A91" s="61"/>
      <c r="B91" s="62"/>
      <c r="C91" s="63" t="s">
        <v>191</v>
      </c>
      <c r="D91" s="36" t="s">
        <v>78</v>
      </c>
      <c r="E91" s="60">
        <v>7263</v>
      </c>
      <c r="F91" s="60"/>
      <c r="G91" s="60">
        <f>SUM(E91:F91)</f>
        <v>7263</v>
      </c>
      <c r="H91" s="60"/>
      <c r="I91" s="60">
        <f>SUM(G91:H91)</f>
        <v>7263</v>
      </c>
      <c r="J91" s="60"/>
      <c r="K91" s="60">
        <f>SUM(I91:J91)</f>
        <v>7263</v>
      </c>
      <c r="L91" s="60"/>
      <c r="M91" s="60">
        <f>SUM(K91:L91)</f>
        <v>7263</v>
      </c>
      <c r="N91" s="60"/>
      <c r="O91" s="60">
        <f>SUM(M91:N91)</f>
        <v>7263</v>
      </c>
      <c r="P91" s="60"/>
      <c r="Q91" s="60">
        <f>SUM(O91:P91)</f>
        <v>7263</v>
      </c>
      <c r="R91" s="60"/>
      <c r="S91" s="60">
        <f>SUM(Q91:R91)</f>
        <v>7263</v>
      </c>
      <c r="T91" s="60"/>
      <c r="U91" s="60">
        <f>SUM(S91:T91)</f>
        <v>7263</v>
      </c>
      <c r="V91" s="60"/>
      <c r="W91" s="60">
        <f>SUM(U91:V91)</f>
        <v>7263</v>
      </c>
      <c r="X91" s="60"/>
      <c r="Y91" s="60">
        <f>SUM(W91:X91)</f>
        <v>7263</v>
      </c>
    </row>
    <row r="92" spans="1:25" s="22" customFormat="1" ht="20.25" customHeight="1" hidden="1">
      <c r="A92" s="61"/>
      <c r="B92" s="62">
        <v>80148</v>
      </c>
      <c r="C92" s="63"/>
      <c r="D92" s="55" t="s">
        <v>318</v>
      </c>
      <c r="E92" s="60"/>
      <c r="F92" s="60"/>
      <c r="G92" s="60"/>
      <c r="H92" s="60"/>
      <c r="I92" s="60">
        <f aca="true" t="shared" si="49" ref="I92:T92">SUM(I93)</f>
        <v>0</v>
      </c>
      <c r="J92" s="60">
        <f t="shared" si="49"/>
        <v>0</v>
      </c>
      <c r="K92" s="60">
        <f t="shared" si="49"/>
        <v>0</v>
      </c>
      <c r="L92" s="60">
        <f t="shared" si="49"/>
        <v>0</v>
      </c>
      <c r="M92" s="60">
        <f t="shared" si="49"/>
        <v>0</v>
      </c>
      <c r="N92" s="60">
        <f t="shared" si="49"/>
        <v>0</v>
      </c>
      <c r="O92" s="60">
        <f t="shared" si="49"/>
        <v>0</v>
      </c>
      <c r="P92" s="60">
        <f t="shared" si="49"/>
        <v>0</v>
      </c>
      <c r="Q92" s="60">
        <f t="shared" si="49"/>
        <v>0</v>
      </c>
      <c r="R92" s="60">
        <f t="shared" si="49"/>
        <v>0</v>
      </c>
      <c r="S92" s="60">
        <f t="shared" si="49"/>
        <v>0</v>
      </c>
      <c r="T92" s="60">
        <f t="shared" si="49"/>
        <v>0</v>
      </c>
      <c r="U92" s="60">
        <f>SUM(S92:T92)</f>
        <v>0</v>
      </c>
      <c r="V92" s="60">
        <f>SUM(V93)</f>
        <v>0</v>
      </c>
      <c r="W92" s="60">
        <f>SUM(U92:V92)</f>
        <v>0</v>
      </c>
      <c r="X92" s="60">
        <f>SUM(X93)</f>
        <v>0</v>
      </c>
      <c r="Y92" s="60">
        <f>SUM(W92:X92)</f>
        <v>0</v>
      </c>
    </row>
    <row r="93" spans="1:25" s="22" customFormat="1" ht="22.5" customHeight="1" hidden="1">
      <c r="A93" s="61"/>
      <c r="B93" s="62"/>
      <c r="C93" s="63" t="s">
        <v>228</v>
      </c>
      <c r="D93" s="66" t="s">
        <v>229</v>
      </c>
      <c r="E93" s="60"/>
      <c r="F93" s="60"/>
      <c r="G93" s="60"/>
      <c r="H93" s="60"/>
      <c r="I93" s="60">
        <v>0</v>
      </c>
      <c r="J93" s="60"/>
      <c r="K93" s="60">
        <f>SUM(I93:J93)</f>
        <v>0</v>
      </c>
      <c r="L93" s="60"/>
      <c r="M93" s="60">
        <f>SUM(K93:L93)</f>
        <v>0</v>
      </c>
      <c r="N93" s="60"/>
      <c r="O93" s="60">
        <f>SUM(M93:N93)</f>
        <v>0</v>
      </c>
      <c r="P93" s="60"/>
      <c r="Q93" s="60">
        <f>SUM(O93:P93)</f>
        <v>0</v>
      </c>
      <c r="R93" s="60"/>
      <c r="S93" s="60">
        <f>SUM(Q93:R93)</f>
        <v>0</v>
      </c>
      <c r="T93" s="60"/>
      <c r="U93" s="60">
        <f>SUM(S93:T93)</f>
        <v>0</v>
      </c>
      <c r="V93" s="60"/>
      <c r="W93" s="60">
        <f>SUM(U93:V93)</f>
        <v>0</v>
      </c>
      <c r="X93" s="60"/>
      <c r="Y93" s="60">
        <f>SUM(W93:X93)</f>
        <v>0</v>
      </c>
    </row>
    <row r="94" spans="1:25" s="22" customFormat="1" ht="22.5" customHeight="1">
      <c r="A94" s="61"/>
      <c r="B94" s="62"/>
      <c r="C94" s="63" t="s">
        <v>192</v>
      </c>
      <c r="D94" s="55" t="s">
        <v>22</v>
      </c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>
        <v>0</v>
      </c>
      <c r="T94" s="60">
        <v>8</v>
      </c>
      <c r="U94" s="60">
        <f>SUM(S94:T94)</f>
        <v>8</v>
      </c>
      <c r="V94" s="60"/>
      <c r="W94" s="60">
        <f>SUM(U94:V94)</f>
        <v>8</v>
      </c>
      <c r="X94" s="60"/>
      <c r="Y94" s="60">
        <f>SUM(W94:X94)</f>
        <v>8</v>
      </c>
    </row>
    <row r="95" spans="1:25" s="22" customFormat="1" ht="22.5" customHeight="1">
      <c r="A95" s="61"/>
      <c r="B95" s="62"/>
      <c r="C95" s="63">
        <v>2400</v>
      </c>
      <c r="D95" s="36" t="s">
        <v>284</v>
      </c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>
        <v>0</v>
      </c>
      <c r="T95" s="60">
        <v>10</v>
      </c>
      <c r="U95" s="60">
        <f>SUM(S95:T95)</f>
        <v>10</v>
      </c>
      <c r="V95" s="60"/>
      <c r="W95" s="60">
        <f>SUM(U95:V95)</f>
        <v>10</v>
      </c>
      <c r="X95" s="60"/>
      <c r="Y95" s="60">
        <f>SUM(W95:X95)</f>
        <v>10</v>
      </c>
    </row>
    <row r="96" spans="1:25" s="22" customFormat="1" ht="22.5" customHeight="1">
      <c r="A96" s="61"/>
      <c r="B96" s="62">
        <v>80148</v>
      </c>
      <c r="C96" s="63"/>
      <c r="D96" s="66" t="s">
        <v>318</v>
      </c>
      <c r="E96" s="60"/>
      <c r="F96" s="60"/>
      <c r="G96" s="60"/>
      <c r="H96" s="60"/>
      <c r="I96" s="60"/>
      <c r="J96" s="60"/>
      <c r="K96" s="60">
        <f aca="true" t="shared" si="50" ref="K96:R96">SUM(K97)</f>
        <v>0</v>
      </c>
      <c r="L96" s="60">
        <f t="shared" si="50"/>
        <v>120070</v>
      </c>
      <c r="M96" s="60">
        <f t="shared" si="50"/>
        <v>120070</v>
      </c>
      <c r="N96" s="60">
        <f t="shared" si="50"/>
        <v>0</v>
      </c>
      <c r="O96" s="60">
        <f t="shared" si="50"/>
        <v>120070</v>
      </c>
      <c r="P96" s="60">
        <f t="shared" si="50"/>
        <v>0</v>
      </c>
      <c r="Q96" s="60">
        <f t="shared" si="50"/>
        <v>120070</v>
      </c>
      <c r="R96" s="60">
        <f t="shared" si="50"/>
        <v>0</v>
      </c>
      <c r="S96" s="60">
        <f aca="true" t="shared" si="51" ref="S96:Y96">SUM(S97:S99)</f>
        <v>120070</v>
      </c>
      <c r="T96" s="60">
        <f t="shared" si="51"/>
        <v>3728</v>
      </c>
      <c r="U96" s="60">
        <f t="shared" si="51"/>
        <v>123798</v>
      </c>
      <c r="V96" s="60">
        <f t="shared" si="51"/>
        <v>0</v>
      </c>
      <c r="W96" s="60">
        <f t="shared" si="51"/>
        <v>123798</v>
      </c>
      <c r="X96" s="60">
        <f t="shared" si="51"/>
        <v>0</v>
      </c>
      <c r="Y96" s="60">
        <f t="shared" si="51"/>
        <v>123798</v>
      </c>
    </row>
    <row r="97" spans="1:25" s="22" customFormat="1" ht="22.5" customHeight="1">
      <c r="A97" s="61"/>
      <c r="B97" s="62"/>
      <c r="C97" s="63" t="s">
        <v>228</v>
      </c>
      <c r="D97" s="66" t="s">
        <v>229</v>
      </c>
      <c r="E97" s="60"/>
      <c r="F97" s="60"/>
      <c r="G97" s="60"/>
      <c r="H97" s="60"/>
      <c r="I97" s="60"/>
      <c r="J97" s="60"/>
      <c r="K97" s="60">
        <v>0</v>
      </c>
      <c r="L97" s="60">
        <v>120070</v>
      </c>
      <c r="M97" s="60">
        <f>SUM(K97:L97)</f>
        <v>120070</v>
      </c>
      <c r="N97" s="60"/>
      <c r="O97" s="60">
        <f>SUM(M97:N97)</f>
        <v>120070</v>
      </c>
      <c r="P97" s="60"/>
      <c r="Q97" s="60">
        <f>SUM(O97:P97)</f>
        <v>120070</v>
      </c>
      <c r="R97" s="60"/>
      <c r="S97" s="60">
        <f>SUM(Q97:R97)</f>
        <v>120070</v>
      </c>
      <c r="T97" s="60">
        <v>800</v>
      </c>
      <c r="U97" s="60">
        <f>SUM(S97:T97)</f>
        <v>120870</v>
      </c>
      <c r="V97" s="60"/>
      <c r="W97" s="60">
        <f>SUM(U97:V97)</f>
        <v>120870</v>
      </c>
      <c r="X97" s="60"/>
      <c r="Y97" s="60">
        <f>SUM(W97:X97)</f>
        <v>120870</v>
      </c>
    </row>
    <row r="98" spans="1:25" s="22" customFormat="1" ht="22.5" customHeight="1">
      <c r="A98" s="61"/>
      <c r="B98" s="62"/>
      <c r="C98" s="63" t="s">
        <v>192</v>
      </c>
      <c r="D98" s="55" t="s">
        <v>22</v>
      </c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>
        <v>0</v>
      </c>
      <c r="T98" s="60">
        <v>2</v>
      </c>
      <c r="U98" s="60">
        <f>SUM(S98:T98)</f>
        <v>2</v>
      </c>
      <c r="V98" s="60"/>
      <c r="W98" s="60">
        <f>SUM(U98:V98)</f>
        <v>2</v>
      </c>
      <c r="X98" s="60"/>
      <c r="Y98" s="60">
        <f>SUM(W98:X98)</f>
        <v>2</v>
      </c>
    </row>
    <row r="99" spans="1:25" s="22" customFormat="1" ht="22.5" customHeight="1">
      <c r="A99" s="61"/>
      <c r="B99" s="62"/>
      <c r="C99" s="63">
        <v>2400</v>
      </c>
      <c r="D99" s="36" t="s">
        <v>284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>
        <v>0</v>
      </c>
      <c r="T99" s="60">
        <v>2926</v>
      </c>
      <c r="U99" s="60">
        <f>SUM(S99:T99)</f>
        <v>2926</v>
      </c>
      <c r="V99" s="60"/>
      <c r="W99" s="60">
        <f>SUM(U99:V99)</f>
        <v>2926</v>
      </c>
      <c r="X99" s="60"/>
      <c r="Y99" s="60">
        <f>SUM(W99:X99)</f>
        <v>2926</v>
      </c>
    </row>
    <row r="100" spans="1:25" s="22" customFormat="1" ht="24" customHeight="1">
      <c r="A100" s="61"/>
      <c r="B100" s="62">
        <v>80195</v>
      </c>
      <c r="C100" s="63"/>
      <c r="D100" s="55" t="s">
        <v>17</v>
      </c>
      <c r="E100" s="60">
        <f aca="true" t="shared" si="52" ref="E100:Y100">SUM(E101)</f>
        <v>50986</v>
      </c>
      <c r="F100" s="60">
        <f t="shared" si="52"/>
        <v>0</v>
      </c>
      <c r="G100" s="60">
        <f t="shared" si="52"/>
        <v>50986</v>
      </c>
      <c r="H100" s="60">
        <f t="shared" si="52"/>
        <v>0</v>
      </c>
      <c r="I100" s="60">
        <f t="shared" si="52"/>
        <v>50986</v>
      </c>
      <c r="J100" s="60">
        <f t="shared" si="52"/>
        <v>0</v>
      </c>
      <c r="K100" s="60">
        <f t="shared" si="52"/>
        <v>50986</v>
      </c>
      <c r="L100" s="60">
        <f t="shared" si="52"/>
        <v>0</v>
      </c>
      <c r="M100" s="60">
        <f t="shared" si="52"/>
        <v>50986</v>
      </c>
      <c r="N100" s="60">
        <f t="shared" si="52"/>
        <v>0</v>
      </c>
      <c r="O100" s="60">
        <f t="shared" si="52"/>
        <v>50986</v>
      </c>
      <c r="P100" s="60">
        <f t="shared" si="52"/>
        <v>0</v>
      </c>
      <c r="Q100" s="60">
        <f t="shared" si="52"/>
        <v>50986</v>
      </c>
      <c r="R100" s="60">
        <f t="shared" si="52"/>
        <v>65857</v>
      </c>
      <c r="S100" s="60">
        <f t="shared" si="52"/>
        <v>116843</v>
      </c>
      <c r="T100" s="60">
        <f t="shared" si="52"/>
        <v>0</v>
      </c>
      <c r="U100" s="60">
        <f t="shared" si="52"/>
        <v>116843</v>
      </c>
      <c r="V100" s="60">
        <f t="shared" si="52"/>
        <v>0</v>
      </c>
      <c r="W100" s="60">
        <f t="shared" si="52"/>
        <v>116843</v>
      </c>
      <c r="X100" s="60">
        <f t="shared" si="52"/>
        <v>128501</v>
      </c>
      <c r="Y100" s="60">
        <f t="shared" si="52"/>
        <v>245344</v>
      </c>
    </row>
    <row r="101" spans="1:25" s="22" customFormat="1" ht="33.75">
      <c r="A101" s="61"/>
      <c r="B101" s="62"/>
      <c r="C101" s="63">
        <v>2030</v>
      </c>
      <c r="D101" s="66" t="s">
        <v>252</v>
      </c>
      <c r="E101" s="60">
        <v>50986</v>
      </c>
      <c r="F101" s="60"/>
      <c r="G101" s="60">
        <f>SUM(E101:F101)</f>
        <v>50986</v>
      </c>
      <c r="H101" s="60"/>
      <c r="I101" s="60">
        <f>SUM(G101:H101)</f>
        <v>50986</v>
      </c>
      <c r="J101" s="60"/>
      <c r="K101" s="60">
        <f>SUM(I101:J101)</f>
        <v>50986</v>
      </c>
      <c r="L101" s="60"/>
      <c r="M101" s="60">
        <f>SUM(K101:L101)</f>
        <v>50986</v>
      </c>
      <c r="N101" s="60"/>
      <c r="O101" s="60">
        <f>SUM(M101:N101)</f>
        <v>50986</v>
      </c>
      <c r="P101" s="60"/>
      <c r="Q101" s="60">
        <f>SUM(O101:P101)</f>
        <v>50986</v>
      </c>
      <c r="R101" s="60">
        <v>65857</v>
      </c>
      <c r="S101" s="60">
        <f>SUM(Q101:R101)</f>
        <v>116843</v>
      </c>
      <c r="T101" s="60"/>
      <c r="U101" s="60">
        <f>SUM(S101:T101)</f>
        <v>116843</v>
      </c>
      <c r="V101" s="60"/>
      <c r="W101" s="60">
        <f>SUM(U101:V101)</f>
        <v>116843</v>
      </c>
      <c r="X101" s="60">
        <f>128369+132</f>
        <v>128501</v>
      </c>
      <c r="Y101" s="60">
        <f>SUM(W101:X101)</f>
        <v>245344</v>
      </c>
    </row>
    <row r="102" spans="1:25" s="5" customFormat="1" ht="24.75" customHeight="1">
      <c r="A102" s="27" t="s">
        <v>184</v>
      </c>
      <c r="B102" s="1"/>
      <c r="C102" s="2"/>
      <c r="D102" s="28" t="s">
        <v>221</v>
      </c>
      <c r="E102" s="46">
        <f aca="true" t="shared" si="53" ref="E102:W102">SUM(E103,E107,E109,E113,E119,)</f>
        <v>8818501</v>
      </c>
      <c r="F102" s="46">
        <f t="shared" si="53"/>
        <v>0</v>
      </c>
      <c r="G102" s="46">
        <f t="shared" si="53"/>
        <v>8818501</v>
      </c>
      <c r="H102" s="46">
        <f t="shared" si="53"/>
        <v>0</v>
      </c>
      <c r="I102" s="46">
        <f t="shared" si="53"/>
        <v>8818501</v>
      </c>
      <c r="J102" s="46">
        <f t="shared" si="53"/>
        <v>165700</v>
      </c>
      <c r="K102" s="46">
        <f t="shared" si="53"/>
        <v>8984201</v>
      </c>
      <c r="L102" s="46">
        <f t="shared" si="53"/>
        <v>0</v>
      </c>
      <c r="M102" s="46">
        <f t="shared" si="53"/>
        <v>8984201</v>
      </c>
      <c r="N102" s="46">
        <f t="shared" si="53"/>
        <v>0</v>
      </c>
      <c r="O102" s="46">
        <f t="shared" si="53"/>
        <v>8984201</v>
      </c>
      <c r="P102" s="46">
        <f t="shared" si="53"/>
        <v>173200</v>
      </c>
      <c r="Q102" s="46">
        <f t="shared" si="53"/>
        <v>9157401</v>
      </c>
      <c r="R102" s="46">
        <f t="shared" si="53"/>
        <v>13050</v>
      </c>
      <c r="S102" s="46">
        <f t="shared" si="53"/>
        <v>9170451</v>
      </c>
      <c r="T102" s="46">
        <f t="shared" si="53"/>
        <v>276699</v>
      </c>
      <c r="U102" s="46">
        <f t="shared" si="53"/>
        <v>9447150</v>
      </c>
      <c r="V102" s="46">
        <f t="shared" si="53"/>
        <v>-12350</v>
      </c>
      <c r="W102" s="46">
        <f t="shared" si="53"/>
        <v>9434800</v>
      </c>
      <c r="X102" s="46">
        <f>SUM(X103,X107,X109,X113,X119,)</f>
        <v>239100</v>
      </c>
      <c r="Y102" s="46">
        <f>SUM(Y103,Y107,Y109,Y113,Y119,)</f>
        <v>9673900</v>
      </c>
    </row>
    <row r="103" spans="1:25" s="22" customFormat="1" ht="45">
      <c r="A103" s="61"/>
      <c r="B103" s="40">
        <v>85212</v>
      </c>
      <c r="C103" s="68"/>
      <c r="D103" s="66" t="s">
        <v>262</v>
      </c>
      <c r="E103" s="60">
        <f aca="true" t="shared" si="54" ref="E103:R103">SUM(E104:E105)</f>
        <v>6436200</v>
      </c>
      <c r="F103" s="60">
        <f t="shared" si="54"/>
        <v>0</v>
      </c>
      <c r="G103" s="60">
        <f t="shared" si="54"/>
        <v>6436200</v>
      </c>
      <c r="H103" s="60">
        <f t="shared" si="54"/>
        <v>0</v>
      </c>
      <c r="I103" s="60">
        <f t="shared" si="54"/>
        <v>6436200</v>
      </c>
      <c r="J103" s="60">
        <f t="shared" si="54"/>
        <v>147200</v>
      </c>
      <c r="K103" s="60">
        <f t="shared" si="54"/>
        <v>6583400</v>
      </c>
      <c r="L103" s="60">
        <f t="shared" si="54"/>
        <v>0</v>
      </c>
      <c r="M103" s="60">
        <f t="shared" si="54"/>
        <v>6583400</v>
      </c>
      <c r="N103" s="60">
        <f t="shared" si="54"/>
        <v>0</v>
      </c>
      <c r="O103" s="60">
        <f t="shared" si="54"/>
        <v>6583400</v>
      </c>
      <c r="P103" s="60">
        <f t="shared" si="54"/>
        <v>0</v>
      </c>
      <c r="Q103" s="60">
        <f t="shared" si="54"/>
        <v>6583400</v>
      </c>
      <c r="R103" s="60">
        <f t="shared" si="54"/>
        <v>0</v>
      </c>
      <c r="S103" s="60">
        <f aca="true" t="shared" si="55" ref="S103:Y103">SUM(S104:S106)</f>
        <v>6583400</v>
      </c>
      <c r="T103" s="60">
        <f t="shared" si="55"/>
        <v>32500</v>
      </c>
      <c r="U103" s="60">
        <f t="shared" si="55"/>
        <v>6615900</v>
      </c>
      <c r="V103" s="60">
        <f t="shared" si="55"/>
        <v>0</v>
      </c>
      <c r="W103" s="60">
        <f t="shared" si="55"/>
        <v>6615900</v>
      </c>
      <c r="X103" s="60">
        <f t="shared" si="55"/>
        <v>0</v>
      </c>
      <c r="Y103" s="60">
        <f t="shared" si="55"/>
        <v>6615900</v>
      </c>
    </row>
    <row r="104" spans="1:25" s="22" customFormat="1" ht="56.25">
      <c r="A104" s="61"/>
      <c r="B104" s="40"/>
      <c r="C104" s="68">
        <v>2010</v>
      </c>
      <c r="D104" s="66" t="s">
        <v>251</v>
      </c>
      <c r="E104" s="60">
        <v>6416200</v>
      </c>
      <c r="F104" s="60"/>
      <c r="G104" s="60">
        <f>SUM(E104:F104)</f>
        <v>6416200</v>
      </c>
      <c r="H104" s="60"/>
      <c r="I104" s="60">
        <f>SUM(G104:H104)</f>
        <v>6416200</v>
      </c>
      <c r="J104" s="60">
        <v>147200</v>
      </c>
      <c r="K104" s="60">
        <f>SUM(I104:J104)</f>
        <v>6563400</v>
      </c>
      <c r="L104" s="60"/>
      <c r="M104" s="60">
        <f>SUM(K104:L104)</f>
        <v>6563400</v>
      </c>
      <c r="N104" s="60"/>
      <c r="O104" s="60">
        <f>SUM(M104:N104)</f>
        <v>6563400</v>
      </c>
      <c r="P104" s="60"/>
      <c r="Q104" s="60">
        <f>SUM(O104:P104)</f>
        <v>6563400</v>
      </c>
      <c r="R104" s="60"/>
      <c r="S104" s="60">
        <f>SUM(Q104:R104)</f>
        <v>6563400</v>
      </c>
      <c r="T104" s="60">
        <v>43500</v>
      </c>
      <c r="U104" s="60">
        <f>SUM(S104:T104)</f>
        <v>6606900</v>
      </c>
      <c r="V104" s="60"/>
      <c r="W104" s="60">
        <f>SUM(U104:V104)</f>
        <v>6606900</v>
      </c>
      <c r="X104" s="60"/>
      <c r="Y104" s="60">
        <f>SUM(W104:X104)</f>
        <v>6606900</v>
      </c>
    </row>
    <row r="105" spans="1:25" s="22" customFormat="1" ht="45">
      <c r="A105" s="61"/>
      <c r="B105" s="40"/>
      <c r="C105" s="68">
        <v>2360</v>
      </c>
      <c r="D105" s="66" t="s">
        <v>217</v>
      </c>
      <c r="E105" s="60">
        <v>20000</v>
      </c>
      <c r="F105" s="60"/>
      <c r="G105" s="60">
        <f>SUM(E105:F105)</f>
        <v>20000</v>
      </c>
      <c r="H105" s="60"/>
      <c r="I105" s="60">
        <f>SUM(G105:H105)</f>
        <v>20000</v>
      </c>
      <c r="J105" s="60"/>
      <c r="K105" s="60">
        <f>SUM(I105:J105)</f>
        <v>20000</v>
      </c>
      <c r="L105" s="60"/>
      <c r="M105" s="60">
        <f>SUM(K105:L105)</f>
        <v>20000</v>
      </c>
      <c r="N105" s="60"/>
      <c r="O105" s="60">
        <f>SUM(M105:N105)</f>
        <v>20000</v>
      </c>
      <c r="P105" s="60"/>
      <c r="Q105" s="60">
        <f>SUM(O105:P105)</f>
        <v>20000</v>
      </c>
      <c r="R105" s="60"/>
      <c r="S105" s="60">
        <f>SUM(Q105:R105)</f>
        <v>20000</v>
      </c>
      <c r="T105" s="60">
        <v>-20000</v>
      </c>
      <c r="U105" s="60">
        <f>SUM(S105:T105)</f>
        <v>0</v>
      </c>
      <c r="V105" s="60"/>
      <c r="W105" s="60">
        <f>SUM(U105:V105)</f>
        <v>0</v>
      </c>
      <c r="X105" s="60"/>
      <c r="Y105" s="60">
        <f>SUM(W105:X105)</f>
        <v>0</v>
      </c>
    </row>
    <row r="106" spans="1:27" s="22" customFormat="1" ht="56.25">
      <c r="A106" s="61"/>
      <c r="B106" s="40"/>
      <c r="C106" s="68">
        <v>6310</v>
      </c>
      <c r="D106" s="66" t="s">
        <v>393</v>
      </c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>
        <v>0</v>
      </c>
      <c r="T106" s="60">
        <v>9000</v>
      </c>
      <c r="U106" s="60">
        <f>SUM(S106:T106)</f>
        <v>9000</v>
      </c>
      <c r="V106" s="60"/>
      <c r="W106" s="60">
        <f>SUM(U106:V106)</f>
        <v>9000</v>
      </c>
      <c r="X106" s="60"/>
      <c r="Y106" s="60">
        <f>SUM(W106:X106)</f>
        <v>9000</v>
      </c>
      <c r="Z106" s="105"/>
      <c r="AA106" s="105"/>
    </row>
    <row r="107" spans="1:27" s="22" customFormat="1" ht="67.5">
      <c r="A107" s="61"/>
      <c r="B107" s="40">
        <v>85213</v>
      </c>
      <c r="C107" s="69"/>
      <c r="D107" s="36" t="s">
        <v>327</v>
      </c>
      <c r="E107" s="60">
        <f aca="true" t="shared" si="56" ref="E107:Y107">SUM(E108)</f>
        <v>71100</v>
      </c>
      <c r="F107" s="60">
        <f t="shared" si="56"/>
        <v>0</v>
      </c>
      <c r="G107" s="60">
        <f t="shared" si="56"/>
        <v>71100</v>
      </c>
      <c r="H107" s="60">
        <f t="shared" si="56"/>
        <v>0</v>
      </c>
      <c r="I107" s="60">
        <f t="shared" si="56"/>
        <v>71100</v>
      </c>
      <c r="J107" s="60">
        <f t="shared" si="56"/>
        <v>0</v>
      </c>
      <c r="K107" s="60">
        <f t="shared" si="56"/>
        <v>71100</v>
      </c>
      <c r="L107" s="60">
        <f t="shared" si="56"/>
        <v>0</v>
      </c>
      <c r="M107" s="60">
        <f t="shared" si="56"/>
        <v>71100</v>
      </c>
      <c r="N107" s="60">
        <f t="shared" si="56"/>
        <v>0</v>
      </c>
      <c r="O107" s="60">
        <f t="shared" si="56"/>
        <v>71100</v>
      </c>
      <c r="P107" s="60">
        <f t="shared" si="56"/>
        <v>0</v>
      </c>
      <c r="Q107" s="60">
        <f t="shared" si="56"/>
        <v>71100</v>
      </c>
      <c r="R107" s="60">
        <f t="shared" si="56"/>
        <v>0</v>
      </c>
      <c r="S107" s="60">
        <f t="shared" si="56"/>
        <v>71100</v>
      </c>
      <c r="T107" s="60">
        <f t="shared" si="56"/>
        <v>0</v>
      </c>
      <c r="U107" s="60">
        <f t="shared" si="56"/>
        <v>71100</v>
      </c>
      <c r="V107" s="60">
        <f t="shared" si="56"/>
        <v>-23300</v>
      </c>
      <c r="W107" s="60">
        <f t="shared" si="56"/>
        <v>47800</v>
      </c>
      <c r="X107" s="60">
        <f t="shared" si="56"/>
        <v>0</v>
      </c>
      <c r="Y107" s="60">
        <f t="shared" si="56"/>
        <v>47800</v>
      </c>
      <c r="Z107" s="132"/>
      <c r="AA107" s="132"/>
    </row>
    <row r="108" spans="1:25" s="22" customFormat="1" ht="56.25">
      <c r="A108" s="61"/>
      <c r="B108" s="40"/>
      <c r="C108" s="69">
        <v>2010</v>
      </c>
      <c r="D108" s="66" t="s">
        <v>251</v>
      </c>
      <c r="E108" s="60">
        <v>71100</v>
      </c>
      <c r="F108" s="60"/>
      <c r="G108" s="60">
        <f>SUM(E108:F108)</f>
        <v>71100</v>
      </c>
      <c r="H108" s="60"/>
      <c r="I108" s="60">
        <f>SUM(G108:H108)</f>
        <v>71100</v>
      </c>
      <c r="J108" s="60"/>
      <c r="K108" s="60">
        <f>SUM(I108:J108)</f>
        <v>71100</v>
      </c>
      <c r="L108" s="60"/>
      <c r="M108" s="60">
        <f>SUM(K108:L108)</f>
        <v>71100</v>
      </c>
      <c r="N108" s="60"/>
      <c r="O108" s="60">
        <f>SUM(M108:N108)</f>
        <v>71100</v>
      </c>
      <c r="P108" s="60"/>
      <c r="Q108" s="60">
        <f>SUM(O108:P108)</f>
        <v>71100</v>
      </c>
      <c r="R108" s="60"/>
      <c r="S108" s="60">
        <f>SUM(Q108:R108)</f>
        <v>71100</v>
      </c>
      <c r="T108" s="60"/>
      <c r="U108" s="60">
        <f>SUM(S108:T108)</f>
        <v>71100</v>
      </c>
      <c r="V108" s="60">
        <v>-23300</v>
      </c>
      <c r="W108" s="60">
        <f>SUM(U108:V108)</f>
        <v>47800</v>
      </c>
      <c r="X108" s="60"/>
      <c r="Y108" s="60">
        <f>SUM(W108:X108)</f>
        <v>47800</v>
      </c>
    </row>
    <row r="109" spans="1:25" s="22" customFormat="1" ht="26.25" customHeight="1">
      <c r="A109" s="61"/>
      <c r="B109" s="62" t="s">
        <v>185</v>
      </c>
      <c r="C109" s="69"/>
      <c r="D109" s="66" t="s">
        <v>79</v>
      </c>
      <c r="E109" s="60">
        <f aca="true" t="shared" si="57" ref="E109:R109">SUM(E111:E112)</f>
        <v>1191500</v>
      </c>
      <c r="F109" s="60">
        <f t="shared" si="57"/>
        <v>0</v>
      </c>
      <c r="G109" s="60">
        <f t="shared" si="57"/>
        <v>1191500</v>
      </c>
      <c r="H109" s="60">
        <f t="shared" si="57"/>
        <v>0</v>
      </c>
      <c r="I109" s="60">
        <f t="shared" si="57"/>
        <v>1191500</v>
      </c>
      <c r="J109" s="60">
        <f t="shared" si="57"/>
        <v>18500</v>
      </c>
      <c r="K109" s="60">
        <f t="shared" si="57"/>
        <v>1210000</v>
      </c>
      <c r="L109" s="60">
        <f t="shared" si="57"/>
        <v>0</v>
      </c>
      <c r="M109" s="60">
        <f t="shared" si="57"/>
        <v>1210000</v>
      </c>
      <c r="N109" s="60">
        <f t="shared" si="57"/>
        <v>0</v>
      </c>
      <c r="O109" s="60">
        <f t="shared" si="57"/>
        <v>1210000</v>
      </c>
      <c r="P109" s="60">
        <f t="shared" si="57"/>
        <v>0</v>
      </c>
      <c r="Q109" s="60">
        <f t="shared" si="57"/>
        <v>1210000</v>
      </c>
      <c r="R109" s="60">
        <f t="shared" si="57"/>
        <v>0</v>
      </c>
      <c r="S109" s="60">
        <f aca="true" t="shared" si="58" ref="S109:Y109">SUM(S110:S112)</f>
        <v>1210000</v>
      </c>
      <c r="T109" s="60">
        <f t="shared" si="58"/>
        <v>10000</v>
      </c>
      <c r="U109" s="60">
        <f t="shared" si="58"/>
        <v>1220000</v>
      </c>
      <c r="V109" s="60">
        <f t="shared" si="58"/>
        <v>-3000</v>
      </c>
      <c r="W109" s="60">
        <f t="shared" si="58"/>
        <v>1217000</v>
      </c>
      <c r="X109" s="60">
        <f t="shared" si="58"/>
        <v>152500</v>
      </c>
      <c r="Y109" s="60">
        <f t="shared" si="58"/>
        <v>1369500</v>
      </c>
    </row>
    <row r="110" spans="1:25" s="22" customFormat="1" ht="26.25" customHeight="1">
      <c r="A110" s="61"/>
      <c r="B110" s="62"/>
      <c r="C110" s="68" t="s">
        <v>228</v>
      </c>
      <c r="D110" s="66" t="s">
        <v>229</v>
      </c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>
        <v>0</v>
      </c>
      <c r="T110" s="60">
        <v>10000</v>
      </c>
      <c r="U110" s="60">
        <f>SUM(S110:T110)</f>
        <v>10000</v>
      </c>
      <c r="V110" s="60"/>
      <c r="W110" s="60">
        <f>SUM(U110:V110)</f>
        <v>10000</v>
      </c>
      <c r="X110" s="60"/>
      <c r="Y110" s="60">
        <f>SUM(W110:X110)</f>
        <v>10000</v>
      </c>
    </row>
    <row r="111" spans="1:25" s="22" customFormat="1" ht="56.25">
      <c r="A111" s="61"/>
      <c r="B111" s="62"/>
      <c r="C111" s="63">
        <v>2010</v>
      </c>
      <c r="D111" s="66" t="s">
        <v>251</v>
      </c>
      <c r="E111" s="60">
        <v>482100</v>
      </c>
      <c r="F111" s="60"/>
      <c r="G111" s="60">
        <f>SUM(E111:F111)</f>
        <v>482100</v>
      </c>
      <c r="H111" s="60"/>
      <c r="I111" s="60">
        <f>SUM(G111:H111)</f>
        <v>482100</v>
      </c>
      <c r="J111" s="60">
        <v>7900</v>
      </c>
      <c r="K111" s="60">
        <f>SUM(I111:J111)</f>
        <v>490000</v>
      </c>
      <c r="L111" s="60"/>
      <c r="M111" s="60">
        <f>SUM(K111:L111)</f>
        <v>490000</v>
      </c>
      <c r="N111" s="60"/>
      <c r="O111" s="60">
        <f>SUM(M111:N111)</f>
        <v>490000</v>
      </c>
      <c r="P111" s="60"/>
      <c r="Q111" s="60">
        <f>SUM(O111:P111)</f>
        <v>490000</v>
      </c>
      <c r="R111" s="60"/>
      <c r="S111" s="60">
        <f>SUM(Q111:R111)</f>
        <v>490000</v>
      </c>
      <c r="T111" s="60"/>
      <c r="U111" s="60">
        <f>SUM(S111:T111)</f>
        <v>490000</v>
      </c>
      <c r="V111" s="60">
        <v>-3000</v>
      </c>
      <c r="W111" s="60">
        <f>SUM(U111:V111)</f>
        <v>487000</v>
      </c>
      <c r="X111" s="60">
        <v>152500</v>
      </c>
      <c r="Y111" s="60">
        <f>SUM(W111:X111)</f>
        <v>639500</v>
      </c>
    </row>
    <row r="112" spans="1:25" s="22" customFormat="1" ht="33.75">
      <c r="A112" s="61"/>
      <c r="B112" s="62"/>
      <c r="C112" s="63">
        <v>2030</v>
      </c>
      <c r="D112" s="66" t="s">
        <v>252</v>
      </c>
      <c r="E112" s="60">
        <v>709400</v>
      </c>
      <c r="F112" s="60"/>
      <c r="G112" s="60">
        <f>SUM(E112:F112)</f>
        <v>709400</v>
      </c>
      <c r="H112" s="60"/>
      <c r="I112" s="60">
        <f>SUM(G112:H112)</f>
        <v>709400</v>
      </c>
      <c r="J112" s="60">
        <v>10600</v>
      </c>
      <c r="K112" s="60">
        <f>SUM(I112:J112)</f>
        <v>720000</v>
      </c>
      <c r="L112" s="60"/>
      <c r="M112" s="60">
        <f>SUM(K112:L112)</f>
        <v>720000</v>
      </c>
      <c r="N112" s="60"/>
      <c r="O112" s="60">
        <f>SUM(M112:N112)</f>
        <v>720000</v>
      </c>
      <c r="P112" s="60"/>
      <c r="Q112" s="60">
        <f>SUM(O112:P112)</f>
        <v>720000</v>
      </c>
      <c r="R112" s="60"/>
      <c r="S112" s="60">
        <f>SUM(Q112:R112)</f>
        <v>720000</v>
      </c>
      <c r="T112" s="60"/>
      <c r="U112" s="60">
        <f>SUM(S112:T112)</f>
        <v>720000</v>
      </c>
      <c r="V112" s="60"/>
      <c r="W112" s="60">
        <f>SUM(U112:V112)</f>
        <v>720000</v>
      </c>
      <c r="X112" s="60"/>
      <c r="Y112" s="60">
        <f>SUM(W112:X112)</f>
        <v>720000</v>
      </c>
    </row>
    <row r="113" spans="1:25" s="22" customFormat="1" ht="24" customHeight="1">
      <c r="A113" s="61"/>
      <c r="B113" s="62" t="s">
        <v>186</v>
      </c>
      <c r="C113" s="69"/>
      <c r="D113" s="66" t="s">
        <v>81</v>
      </c>
      <c r="E113" s="60">
        <f aca="true" t="shared" si="59" ref="E113:R113">SUM(E115:E118)</f>
        <v>718501</v>
      </c>
      <c r="F113" s="60">
        <f t="shared" si="59"/>
        <v>0</v>
      </c>
      <c r="G113" s="60">
        <f t="shared" si="59"/>
        <v>718501</v>
      </c>
      <c r="H113" s="60">
        <f t="shared" si="59"/>
        <v>0</v>
      </c>
      <c r="I113" s="60">
        <f t="shared" si="59"/>
        <v>718501</v>
      </c>
      <c r="J113" s="60">
        <f t="shared" si="59"/>
        <v>0</v>
      </c>
      <c r="K113" s="60">
        <f t="shared" si="59"/>
        <v>718501</v>
      </c>
      <c r="L113" s="60">
        <f t="shared" si="59"/>
        <v>0</v>
      </c>
      <c r="M113" s="60">
        <f t="shared" si="59"/>
        <v>718501</v>
      </c>
      <c r="N113" s="60">
        <f t="shared" si="59"/>
        <v>0</v>
      </c>
      <c r="O113" s="60">
        <f t="shared" si="59"/>
        <v>718501</v>
      </c>
      <c r="P113" s="60">
        <f t="shared" si="59"/>
        <v>0</v>
      </c>
      <c r="Q113" s="60">
        <f t="shared" si="59"/>
        <v>718501</v>
      </c>
      <c r="R113" s="60">
        <f t="shared" si="59"/>
        <v>13050</v>
      </c>
      <c r="S113" s="60">
        <f aca="true" t="shared" si="60" ref="S113:Y113">SUM(S114:S118)</f>
        <v>731551</v>
      </c>
      <c r="T113" s="60">
        <f t="shared" si="60"/>
        <v>-159001</v>
      </c>
      <c r="U113" s="60">
        <f t="shared" si="60"/>
        <v>572550</v>
      </c>
      <c r="V113" s="60">
        <f t="shared" si="60"/>
        <v>13950</v>
      </c>
      <c r="W113" s="60">
        <f t="shared" si="60"/>
        <v>586500</v>
      </c>
      <c r="X113" s="60">
        <f t="shared" si="60"/>
        <v>0</v>
      </c>
      <c r="Y113" s="60">
        <f t="shared" si="60"/>
        <v>586500</v>
      </c>
    </row>
    <row r="114" spans="1:25" s="22" customFormat="1" ht="67.5">
      <c r="A114" s="61"/>
      <c r="B114" s="62"/>
      <c r="C114" s="68" t="s">
        <v>191</v>
      </c>
      <c r="D114" s="36" t="s">
        <v>78</v>
      </c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>
        <v>0</v>
      </c>
      <c r="T114" s="60">
        <v>3000</v>
      </c>
      <c r="U114" s="60">
        <f>SUM(S114:T114)</f>
        <v>3000</v>
      </c>
      <c r="V114" s="60"/>
      <c r="W114" s="60">
        <f>SUM(U114:V114)</f>
        <v>3000</v>
      </c>
      <c r="X114" s="60"/>
      <c r="Y114" s="60">
        <f>SUM(W114:X114)</f>
        <v>3000</v>
      </c>
    </row>
    <row r="115" spans="1:25" s="22" customFormat="1" ht="21.75" customHeight="1">
      <c r="A115" s="61"/>
      <c r="B115" s="62"/>
      <c r="C115" s="68" t="s">
        <v>228</v>
      </c>
      <c r="D115" s="66" t="s">
        <v>229</v>
      </c>
      <c r="E115" s="60">
        <f>150000+10901</f>
        <v>160901</v>
      </c>
      <c r="F115" s="60"/>
      <c r="G115" s="60">
        <f>SUM(E115:F115)</f>
        <v>160901</v>
      </c>
      <c r="H115" s="60"/>
      <c r="I115" s="60">
        <f>SUM(G115:H115)</f>
        <v>160901</v>
      </c>
      <c r="J115" s="60"/>
      <c r="K115" s="60">
        <f>SUM(I115:J115)</f>
        <v>160901</v>
      </c>
      <c r="L115" s="60"/>
      <c r="M115" s="60">
        <f>SUM(K115:L115)</f>
        <v>160901</v>
      </c>
      <c r="N115" s="60"/>
      <c r="O115" s="60">
        <f>SUM(M115:N115)</f>
        <v>160901</v>
      </c>
      <c r="P115" s="60"/>
      <c r="Q115" s="60">
        <f>SUM(O115:P115)</f>
        <v>160901</v>
      </c>
      <c r="R115" s="60"/>
      <c r="S115" s="60">
        <f>SUM(Q115:R115)</f>
        <v>160901</v>
      </c>
      <c r="T115" s="60">
        <v>-160901</v>
      </c>
      <c r="U115" s="60">
        <f>SUM(S115:T115)</f>
        <v>0</v>
      </c>
      <c r="V115" s="60"/>
      <c r="W115" s="60">
        <f>SUM(U115:V115)</f>
        <v>0</v>
      </c>
      <c r="X115" s="60"/>
      <c r="Y115" s="60">
        <f>SUM(W115:X115)</f>
        <v>0</v>
      </c>
    </row>
    <row r="116" spans="1:25" s="22" customFormat="1" ht="21.75" customHeight="1">
      <c r="A116" s="61"/>
      <c r="B116" s="62"/>
      <c r="C116" s="68" t="s">
        <v>192</v>
      </c>
      <c r="D116" s="55" t="s">
        <v>22</v>
      </c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>
        <v>0</v>
      </c>
      <c r="T116" s="60">
        <v>900</v>
      </c>
      <c r="U116" s="60">
        <f>SUM(S116:T116)</f>
        <v>900</v>
      </c>
      <c r="V116" s="60"/>
      <c r="W116" s="60">
        <f>SUM(U116:V116)</f>
        <v>900</v>
      </c>
      <c r="X116" s="60"/>
      <c r="Y116" s="60">
        <f>SUM(W116:X116)</f>
        <v>900</v>
      </c>
    </row>
    <row r="117" spans="1:25" s="22" customFormat="1" ht="21.75" customHeight="1">
      <c r="A117" s="61"/>
      <c r="B117" s="62"/>
      <c r="C117" s="68" t="s">
        <v>193</v>
      </c>
      <c r="D117" s="66" t="s">
        <v>23</v>
      </c>
      <c r="E117" s="60">
        <v>2000</v>
      </c>
      <c r="F117" s="60"/>
      <c r="G117" s="60">
        <f>SUM(E117:F117)</f>
        <v>2000</v>
      </c>
      <c r="H117" s="60"/>
      <c r="I117" s="60">
        <f>SUM(G117:H117)</f>
        <v>2000</v>
      </c>
      <c r="J117" s="60"/>
      <c r="K117" s="60">
        <f>SUM(I117:J117)</f>
        <v>2000</v>
      </c>
      <c r="L117" s="60"/>
      <c r="M117" s="60">
        <f>SUM(K117:L117)</f>
        <v>2000</v>
      </c>
      <c r="N117" s="60"/>
      <c r="O117" s="60">
        <f>SUM(M117:N117)</f>
        <v>2000</v>
      </c>
      <c r="P117" s="60"/>
      <c r="Q117" s="60">
        <f>SUM(O117:P117)</f>
        <v>2000</v>
      </c>
      <c r="R117" s="60"/>
      <c r="S117" s="60">
        <f>SUM(Q117:R117)</f>
        <v>2000</v>
      </c>
      <c r="T117" s="60">
        <v>-2000</v>
      </c>
      <c r="U117" s="60">
        <f>SUM(S117:T117)</f>
        <v>0</v>
      </c>
      <c r="V117" s="60"/>
      <c r="W117" s="60">
        <f>SUM(U117:V117)</f>
        <v>0</v>
      </c>
      <c r="X117" s="60"/>
      <c r="Y117" s="60">
        <f>SUM(W117:X117)</f>
        <v>0</v>
      </c>
    </row>
    <row r="118" spans="1:25" s="22" customFormat="1" ht="33.75">
      <c r="A118" s="61"/>
      <c r="B118" s="62"/>
      <c r="C118" s="63">
        <v>2030</v>
      </c>
      <c r="D118" s="66" t="s">
        <v>252</v>
      </c>
      <c r="E118" s="60">
        <v>555600</v>
      </c>
      <c r="F118" s="60"/>
      <c r="G118" s="60">
        <f>SUM(E118:F118)</f>
        <v>555600</v>
      </c>
      <c r="H118" s="60"/>
      <c r="I118" s="60">
        <f>SUM(G118:H118)</f>
        <v>555600</v>
      </c>
      <c r="J118" s="60"/>
      <c r="K118" s="60">
        <f>SUM(I118:J118)</f>
        <v>555600</v>
      </c>
      <c r="L118" s="60"/>
      <c r="M118" s="60">
        <f>SUM(K118:L118)</f>
        <v>555600</v>
      </c>
      <c r="N118" s="60"/>
      <c r="O118" s="60">
        <f>SUM(M118:N118)</f>
        <v>555600</v>
      </c>
      <c r="P118" s="60"/>
      <c r="Q118" s="60">
        <f>SUM(O118:P118)</f>
        <v>555600</v>
      </c>
      <c r="R118" s="60">
        <v>13050</v>
      </c>
      <c r="S118" s="60">
        <f>SUM(Q118:R118)</f>
        <v>568650</v>
      </c>
      <c r="T118" s="60"/>
      <c r="U118" s="60">
        <f>SUM(S118:T118)</f>
        <v>568650</v>
      </c>
      <c r="V118" s="60">
        <v>13950</v>
      </c>
      <c r="W118" s="60">
        <f>SUM(U118:V118)</f>
        <v>582600</v>
      </c>
      <c r="X118" s="60"/>
      <c r="Y118" s="60">
        <f>SUM(W118:X118)</f>
        <v>582600</v>
      </c>
    </row>
    <row r="119" spans="1:25" s="22" customFormat="1" ht="24" customHeight="1">
      <c r="A119" s="61"/>
      <c r="B119" s="62">
        <v>85295</v>
      </c>
      <c r="C119" s="63"/>
      <c r="D119" s="66" t="s">
        <v>241</v>
      </c>
      <c r="E119" s="60">
        <f aca="true" t="shared" si="61" ref="E119:R119">SUM(E121)</f>
        <v>401200</v>
      </c>
      <c r="F119" s="60">
        <f t="shared" si="61"/>
        <v>0</v>
      </c>
      <c r="G119" s="60">
        <f t="shared" si="61"/>
        <v>401200</v>
      </c>
      <c r="H119" s="60">
        <f t="shared" si="61"/>
        <v>0</v>
      </c>
      <c r="I119" s="60">
        <f t="shared" si="61"/>
        <v>401200</v>
      </c>
      <c r="J119" s="60">
        <f t="shared" si="61"/>
        <v>0</v>
      </c>
      <c r="K119" s="60">
        <f t="shared" si="61"/>
        <v>401200</v>
      </c>
      <c r="L119" s="60">
        <f t="shared" si="61"/>
        <v>0</v>
      </c>
      <c r="M119" s="60">
        <f t="shared" si="61"/>
        <v>401200</v>
      </c>
      <c r="N119" s="60">
        <f t="shared" si="61"/>
        <v>0</v>
      </c>
      <c r="O119" s="60">
        <f t="shared" si="61"/>
        <v>401200</v>
      </c>
      <c r="P119" s="60">
        <f t="shared" si="61"/>
        <v>173200</v>
      </c>
      <c r="Q119" s="60">
        <f t="shared" si="61"/>
        <v>574400</v>
      </c>
      <c r="R119" s="60">
        <f t="shared" si="61"/>
        <v>0</v>
      </c>
      <c r="S119" s="60">
        <f aca="true" t="shared" si="62" ref="S119:Y119">SUM(S120:S121)</f>
        <v>574400</v>
      </c>
      <c r="T119" s="60">
        <f t="shared" si="62"/>
        <v>393200</v>
      </c>
      <c r="U119" s="60">
        <f t="shared" si="62"/>
        <v>967600</v>
      </c>
      <c r="V119" s="60">
        <f t="shared" si="62"/>
        <v>0</v>
      </c>
      <c r="W119" s="60">
        <f t="shared" si="62"/>
        <v>967600</v>
      </c>
      <c r="X119" s="60">
        <f t="shared" si="62"/>
        <v>86600</v>
      </c>
      <c r="Y119" s="60">
        <f t="shared" si="62"/>
        <v>1054200</v>
      </c>
    </row>
    <row r="120" spans="1:25" s="22" customFormat="1" ht="24" customHeight="1">
      <c r="A120" s="61"/>
      <c r="B120" s="62"/>
      <c r="C120" s="63" t="s">
        <v>228</v>
      </c>
      <c r="D120" s="66" t="s">
        <v>229</v>
      </c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>
        <v>0</v>
      </c>
      <c r="T120" s="60">
        <v>220000</v>
      </c>
      <c r="U120" s="60">
        <f>SUM(S120:T120)</f>
        <v>220000</v>
      </c>
      <c r="V120" s="60"/>
      <c r="W120" s="60">
        <f>SUM(U120:V120)</f>
        <v>220000</v>
      </c>
      <c r="X120" s="60"/>
      <c r="Y120" s="60">
        <f>SUM(W120:X120)</f>
        <v>220000</v>
      </c>
    </row>
    <row r="121" spans="1:25" s="22" customFormat="1" ht="33.75">
      <c r="A121" s="61"/>
      <c r="B121" s="62"/>
      <c r="C121" s="63">
        <v>2030</v>
      </c>
      <c r="D121" s="66" t="s">
        <v>252</v>
      </c>
      <c r="E121" s="60">
        <v>401200</v>
      </c>
      <c r="F121" s="60"/>
      <c r="G121" s="60">
        <f>SUM(E121:F121)</f>
        <v>401200</v>
      </c>
      <c r="H121" s="60"/>
      <c r="I121" s="60">
        <f>SUM(G121:H121)</f>
        <v>401200</v>
      </c>
      <c r="J121" s="60"/>
      <c r="K121" s="60">
        <f>SUM(I121:J121)</f>
        <v>401200</v>
      </c>
      <c r="L121" s="60"/>
      <c r="M121" s="60">
        <f>SUM(K121:L121)</f>
        <v>401200</v>
      </c>
      <c r="N121" s="60"/>
      <c r="O121" s="60">
        <f>SUM(M121:N121)</f>
        <v>401200</v>
      </c>
      <c r="P121" s="60">
        <v>173200</v>
      </c>
      <c r="Q121" s="60">
        <f>SUM(O121:P121)</f>
        <v>574400</v>
      </c>
      <c r="R121" s="60"/>
      <c r="S121" s="60">
        <f>SUM(Q121:R121)</f>
        <v>574400</v>
      </c>
      <c r="T121" s="60">
        <v>173200</v>
      </c>
      <c r="U121" s="60">
        <f>SUM(S121:T121)</f>
        <v>747600</v>
      </c>
      <c r="V121" s="60"/>
      <c r="W121" s="60">
        <f>SUM(U121:V121)</f>
        <v>747600</v>
      </c>
      <c r="X121" s="60">
        <v>86600</v>
      </c>
      <c r="Y121" s="60">
        <f>SUM(W121:X121)</f>
        <v>834200</v>
      </c>
    </row>
    <row r="122" spans="1:25" s="38" customFormat="1" ht="21.75" customHeight="1">
      <c r="A122" s="27">
        <v>854</v>
      </c>
      <c r="B122" s="29"/>
      <c r="C122" s="30"/>
      <c r="D122" s="34" t="s">
        <v>82</v>
      </c>
      <c r="E122" s="46"/>
      <c r="F122" s="46"/>
      <c r="G122" s="46"/>
      <c r="H122" s="46"/>
      <c r="I122" s="46"/>
      <c r="J122" s="46"/>
      <c r="K122" s="46"/>
      <c r="L122" s="46"/>
      <c r="M122" s="46">
        <f aca="true" t="shared" si="63" ref="M122:Y123">SUM(M123)</f>
        <v>0</v>
      </c>
      <c r="N122" s="46">
        <f t="shared" si="63"/>
        <v>253074</v>
      </c>
      <c r="O122" s="46">
        <f t="shared" si="63"/>
        <v>253074</v>
      </c>
      <c r="P122" s="46">
        <f t="shared" si="63"/>
        <v>0</v>
      </c>
      <c r="Q122" s="46">
        <f t="shared" si="63"/>
        <v>253074</v>
      </c>
      <c r="R122" s="46">
        <f t="shared" si="63"/>
        <v>0</v>
      </c>
      <c r="S122" s="46">
        <f t="shared" si="63"/>
        <v>253074</v>
      </c>
      <c r="T122" s="46">
        <f t="shared" si="63"/>
        <v>0</v>
      </c>
      <c r="U122" s="46">
        <f t="shared" si="63"/>
        <v>253074</v>
      </c>
      <c r="V122" s="46">
        <f t="shared" si="63"/>
        <v>27251</v>
      </c>
      <c r="W122" s="46">
        <f t="shared" si="63"/>
        <v>280325</v>
      </c>
      <c r="X122" s="46">
        <f t="shared" si="63"/>
        <v>246717</v>
      </c>
      <c r="Y122" s="46">
        <f t="shared" si="63"/>
        <v>527042</v>
      </c>
    </row>
    <row r="123" spans="1:25" s="22" customFormat="1" ht="20.25" customHeight="1">
      <c r="A123" s="61"/>
      <c r="B123" s="77">
        <v>85415</v>
      </c>
      <c r="C123" s="76"/>
      <c r="D123" s="36" t="s">
        <v>279</v>
      </c>
      <c r="E123" s="60"/>
      <c r="F123" s="60"/>
      <c r="G123" s="60"/>
      <c r="H123" s="60"/>
      <c r="I123" s="60"/>
      <c r="J123" s="60"/>
      <c r="K123" s="60"/>
      <c r="L123" s="60"/>
      <c r="M123" s="60">
        <f t="shared" si="63"/>
        <v>0</v>
      </c>
      <c r="N123" s="60">
        <f t="shared" si="63"/>
        <v>253074</v>
      </c>
      <c r="O123" s="60">
        <f t="shared" si="63"/>
        <v>253074</v>
      </c>
      <c r="P123" s="60">
        <f t="shared" si="63"/>
        <v>0</v>
      </c>
      <c r="Q123" s="60">
        <f t="shared" si="63"/>
        <v>253074</v>
      </c>
      <c r="R123" s="60">
        <f t="shared" si="63"/>
        <v>0</v>
      </c>
      <c r="S123" s="60">
        <f t="shared" si="63"/>
        <v>253074</v>
      </c>
      <c r="T123" s="60">
        <f t="shared" si="63"/>
        <v>0</v>
      </c>
      <c r="U123" s="60">
        <f t="shared" si="63"/>
        <v>253074</v>
      </c>
      <c r="V123" s="60">
        <f t="shared" si="63"/>
        <v>27251</v>
      </c>
      <c r="W123" s="60">
        <f t="shared" si="63"/>
        <v>280325</v>
      </c>
      <c r="X123" s="60">
        <f t="shared" si="63"/>
        <v>246717</v>
      </c>
      <c r="Y123" s="60">
        <f t="shared" si="63"/>
        <v>527042</v>
      </c>
    </row>
    <row r="124" spans="1:25" s="22" customFormat="1" ht="33.75">
      <c r="A124" s="61"/>
      <c r="B124" s="62"/>
      <c r="C124" s="63">
        <v>2030</v>
      </c>
      <c r="D124" s="66" t="s">
        <v>252</v>
      </c>
      <c r="E124" s="60"/>
      <c r="F124" s="60"/>
      <c r="G124" s="60"/>
      <c r="H124" s="60"/>
      <c r="I124" s="60"/>
      <c r="J124" s="60"/>
      <c r="K124" s="60"/>
      <c r="L124" s="60"/>
      <c r="M124" s="60">
        <v>0</v>
      </c>
      <c r="N124" s="60">
        <v>253074</v>
      </c>
      <c r="O124" s="60">
        <f>SUM(M124:N124)</f>
        <v>253074</v>
      </c>
      <c r="P124" s="60"/>
      <c r="Q124" s="60">
        <f>SUM(O124:P124)</f>
        <v>253074</v>
      </c>
      <c r="R124" s="60"/>
      <c r="S124" s="60">
        <f>SUM(Q124:R124)</f>
        <v>253074</v>
      </c>
      <c r="T124" s="60"/>
      <c r="U124" s="60">
        <f>SUM(S124:T124)</f>
        <v>253074</v>
      </c>
      <c r="V124" s="60">
        <v>27251</v>
      </c>
      <c r="W124" s="60">
        <f>SUM(U124:V124)</f>
        <v>280325</v>
      </c>
      <c r="X124" s="60">
        <f>235595+11122</f>
        <v>246717</v>
      </c>
      <c r="Y124" s="60">
        <f>SUM(W124:X124)</f>
        <v>527042</v>
      </c>
    </row>
    <row r="125" spans="1:25" s="6" customFormat="1" ht="24" customHeight="1">
      <c r="A125" s="27">
        <v>900</v>
      </c>
      <c r="B125" s="29"/>
      <c r="C125" s="30"/>
      <c r="D125" s="28" t="s">
        <v>84</v>
      </c>
      <c r="E125" s="46">
        <f aca="true" t="shared" si="64" ref="E125:R125">SUM(E130)</f>
        <v>6000</v>
      </c>
      <c r="F125" s="46">
        <f t="shared" si="64"/>
        <v>0</v>
      </c>
      <c r="G125" s="46">
        <f t="shared" si="64"/>
        <v>6000</v>
      </c>
      <c r="H125" s="46">
        <f t="shared" si="64"/>
        <v>0</v>
      </c>
      <c r="I125" s="46">
        <f t="shared" si="64"/>
        <v>6000</v>
      </c>
      <c r="J125" s="46">
        <f t="shared" si="64"/>
        <v>0</v>
      </c>
      <c r="K125" s="46">
        <f t="shared" si="64"/>
        <v>6000</v>
      </c>
      <c r="L125" s="46">
        <f t="shared" si="64"/>
        <v>0</v>
      </c>
      <c r="M125" s="46">
        <f t="shared" si="64"/>
        <v>6000</v>
      </c>
      <c r="N125" s="46">
        <f t="shared" si="64"/>
        <v>0</v>
      </c>
      <c r="O125" s="46">
        <f t="shared" si="64"/>
        <v>6000</v>
      </c>
      <c r="P125" s="46">
        <f t="shared" si="64"/>
        <v>0</v>
      </c>
      <c r="Q125" s="46">
        <f t="shared" si="64"/>
        <v>6000</v>
      </c>
      <c r="R125" s="46">
        <f t="shared" si="64"/>
        <v>0</v>
      </c>
      <c r="S125" s="46">
        <f aca="true" t="shared" si="65" ref="S125:Y125">SUM(S126,S130,S128)</f>
        <v>6000</v>
      </c>
      <c r="T125" s="46">
        <f t="shared" si="65"/>
        <v>13200</v>
      </c>
      <c r="U125" s="46">
        <f t="shared" si="65"/>
        <v>19200</v>
      </c>
      <c r="V125" s="46">
        <f t="shared" si="65"/>
        <v>0</v>
      </c>
      <c r="W125" s="46">
        <f t="shared" si="65"/>
        <v>19200</v>
      </c>
      <c r="X125" s="46">
        <f t="shared" si="65"/>
        <v>0</v>
      </c>
      <c r="Y125" s="46">
        <f t="shared" si="65"/>
        <v>19200</v>
      </c>
    </row>
    <row r="126" spans="1:25" s="22" customFormat="1" ht="24" customHeight="1">
      <c r="A126" s="61"/>
      <c r="B126" s="62">
        <v>90001</v>
      </c>
      <c r="C126" s="63"/>
      <c r="D126" s="66" t="s">
        <v>85</v>
      </c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>
        <f aca="true" t="shared" si="66" ref="S126:Y126">SUM(S127)</f>
        <v>0</v>
      </c>
      <c r="T126" s="60">
        <f t="shared" si="66"/>
        <v>10000</v>
      </c>
      <c r="U126" s="60">
        <f t="shared" si="66"/>
        <v>10000</v>
      </c>
      <c r="V126" s="60">
        <f t="shared" si="66"/>
        <v>0</v>
      </c>
      <c r="W126" s="60">
        <f t="shared" si="66"/>
        <v>10000</v>
      </c>
      <c r="X126" s="60">
        <f t="shared" si="66"/>
        <v>0</v>
      </c>
      <c r="Y126" s="60">
        <f t="shared" si="66"/>
        <v>10000</v>
      </c>
    </row>
    <row r="127" spans="1:25" s="22" customFormat="1" ht="24" customHeight="1">
      <c r="A127" s="61"/>
      <c r="B127" s="62"/>
      <c r="C127" s="63" t="s">
        <v>193</v>
      </c>
      <c r="D127" s="66" t="s">
        <v>23</v>
      </c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>
        <v>0</v>
      </c>
      <c r="T127" s="60">
        <v>10000</v>
      </c>
      <c r="U127" s="60">
        <f>SUM(S127:T127)</f>
        <v>10000</v>
      </c>
      <c r="V127" s="60"/>
      <c r="W127" s="60">
        <f>SUM(U127:V127)</f>
        <v>10000</v>
      </c>
      <c r="X127" s="60"/>
      <c r="Y127" s="60">
        <f>SUM(W127:X127)</f>
        <v>10000</v>
      </c>
    </row>
    <row r="128" spans="1:25" s="22" customFormat="1" ht="33.75">
      <c r="A128" s="61"/>
      <c r="B128" s="62">
        <v>90020</v>
      </c>
      <c r="C128" s="63"/>
      <c r="D128" s="66" t="s">
        <v>404</v>
      </c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>
        <f aca="true" t="shared" si="67" ref="S128:Y128">SUM(S129)</f>
        <v>0</v>
      </c>
      <c r="T128" s="60">
        <f t="shared" si="67"/>
        <v>3200</v>
      </c>
      <c r="U128" s="60">
        <f t="shared" si="67"/>
        <v>3200</v>
      </c>
      <c r="V128" s="60">
        <f t="shared" si="67"/>
        <v>0</v>
      </c>
      <c r="W128" s="60">
        <f t="shared" si="67"/>
        <v>3200</v>
      </c>
      <c r="X128" s="60">
        <f t="shared" si="67"/>
        <v>0</v>
      </c>
      <c r="Y128" s="60">
        <f t="shared" si="67"/>
        <v>3200</v>
      </c>
    </row>
    <row r="129" spans="1:25" s="22" customFormat="1" ht="24" customHeight="1">
      <c r="A129" s="61"/>
      <c r="B129" s="62"/>
      <c r="C129" s="63" t="s">
        <v>405</v>
      </c>
      <c r="D129" s="66" t="s">
        <v>406</v>
      </c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>
        <v>0</v>
      </c>
      <c r="T129" s="60">
        <v>3200</v>
      </c>
      <c r="U129" s="60">
        <f>SUM(S129:T129)</f>
        <v>3200</v>
      </c>
      <c r="V129" s="60"/>
      <c r="W129" s="60">
        <f>SUM(U129:V129)</f>
        <v>3200</v>
      </c>
      <c r="X129" s="60"/>
      <c r="Y129" s="60">
        <f>SUM(W129:X129)</f>
        <v>3200</v>
      </c>
    </row>
    <row r="130" spans="1:25" s="22" customFormat="1" ht="27" customHeight="1">
      <c r="A130" s="61"/>
      <c r="B130" s="62">
        <v>90095</v>
      </c>
      <c r="C130" s="63"/>
      <c r="D130" s="66" t="s">
        <v>17</v>
      </c>
      <c r="E130" s="60">
        <f aca="true" t="shared" si="68" ref="E130:Y130">SUM(E131)</f>
        <v>6000</v>
      </c>
      <c r="F130" s="60">
        <f t="shared" si="68"/>
        <v>0</v>
      </c>
      <c r="G130" s="60">
        <f t="shared" si="68"/>
        <v>6000</v>
      </c>
      <c r="H130" s="60">
        <f t="shared" si="68"/>
        <v>0</v>
      </c>
      <c r="I130" s="60">
        <f t="shared" si="68"/>
        <v>6000</v>
      </c>
      <c r="J130" s="60">
        <f t="shared" si="68"/>
        <v>0</v>
      </c>
      <c r="K130" s="60">
        <f t="shared" si="68"/>
        <v>6000</v>
      </c>
      <c r="L130" s="60">
        <f t="shared" si="68"/>
        <v>0</v>
      </c>
      <c r="M130" s="60">
        <f t="shared" si="68"/>
        <v>6000</v>
      </c>
      <c r="N130" s="60">
        <f t="shared" si="68"/>
        <v>0</v>
      </c>
      <c r="O130" s="60">
        <f t="shared" si="68"/>
        <v>6000</v>
      </c>
      <c r="P130" s="60">
        <f t="shared" si="68"/>
        <v>0</v>
      </c>
      <c r="Q130" s="60">
        <f t="shared" si="68"/>
        <v>6000</v>
      </c>
      <c r="R130" s="60">
        <f t="shared" si="68"/>
        <v>0</v>
      </c>
      <c r="S130" s="60">
        <f t="shared" si="68"/>
        <v>6000</v>
      </c>
      <c r="T130" s="60">
        <f t="shared" si="68"/>
        <v>0</v>
      </c>
      <c r="U130" s="60">
        <f t="shared" si="68"/>
        <v>6000</v>
      </c>
      <c r="V130" s="60">
        <f t="shared" si="68"/>
        <v>0</v>
      </c>
      <c r="W130" s="60">
        <f t="shared" si="68"/>
        <v>6000</v>
      </c>
      <c r="X130" s="60">
        <f t="shared" si="68"/>
        <v>0</v>
      </c>
      <c r="Y130" s="60">
        <f t="shared" si="68"/>
        <v>6000</v>
      </c>
    </row>
    <row r="131" spans="1:25" s="22" customFormat="1" ht="24.75" customHeight="1">
      <c r="A131" s="61"/>
      <c r="B131" s="62"/>
      <c r="C131" s="63" t="s">
        <v>207</v>
      </c>
      <c r="D131" s="66" t="s">
        <v>305</v>
      </c>
      <c r="E131" s="60">
        <v>6000</v>
      </c>
      <c r="F131" s="60"/>
      <c r="G131" s="60">
        <f>SUM(E131:F131)</f>
        <v>6000</v>
      </c>
      <c r="H131" s="60"/>
      <c r="I131" s="60">
        <f>SUM(G131:H131)</f>
        <v>6000</v>
      </c>
      <c r="J131" s="60"/>
      <c r="K131" s="60">
        <f>SUM(I131:J131)</f>
        <v>6000</v>
      </c>
      <c r="L131" s="60"/>
      <c r="M131" s="60">
        <f>SUM(K131:L131)</f>
        <v>6000</v>
      </c>
      <c r="N131" s="60"/>
      <c r="O131" s="60">
        <f>SUM(M131:N131)</f>
        <v>6000</v>
      </c>
      <c r="P131" s="60"/>
      <c r="Q131" s="60">
        <f>SUM(O131:P131)</f>
        <v>6000</v>
      </c>
      <c r="R131" s="60"/>
      <c r="S131" s="60">
        <f>SUM(Q131:R131)</f>
        <v>6000</v>
      </c>
      <c r="T131" s="60"/>
      <c r="U131" s="60">
        <f>SUM(S131:T131)</f>
        <v>6000</v>
      </c>
      <c r="V131" s="60"/>
      <c r="W131" s="60">
        <f>SUM(U131:V131)</f>
        <v>6000</v>
      </c>
      <c r="X131" s="60"/>
      <c r="Y131" s="60">
        <f>SUM(W131:X131)</f>
        <v>6000</v>
      </c>
    </row>
    <row r="132" spans="1:25" s="6" customFormat="1" ht="24" customHeight="1">
      <c r="A132" s="27" t="s">
        <v>86</v>
      </c>
      <c r="B132" s="1"/>
      <c r="C132" s="2"/>
      <c r="D132" s="28" t="s">
        <v>92</v>
      </c>
      <c r="E132" s="46">
        <f>SUM(E135)</f>
        <v>45900</v>
      </c>
      <c r="F132" s="46">
        <f>SUM(F135)</f>
        <v>0</v>
      </c>
      <c r="G132" s="46">
        <f aca="true" t="shared" si="69" ref="G132:W132">SUM(G135,G133)</f>
        <v>45900</v>
      </c>
      <c r="H132" s="46">
        <f t="shared" si="69"/>
        <v>7100</v>
      </c>
      <c r="I132" s="46">
        <f t="shared" si="69"/>
        <v>53000</v>
      </c>
      <c r="J132" s="46">
        <f t="shared" si="69"/>
        <v>0</v>
      </c>
      <c r="K132" s="46">
        <f t="shared" si="69"/>
        <v>53000</v>
      </c>
      <c r="L132" s="46">
        <f t="shared" si="69"/>
        <v>0</v>
      </c>
      <c r="M132" s="46">
        <f t="shared" si="69"/>
        <v>53000</v>
      </c>
      <c r="N132" s="46">
        <f t="shared" si="69"/>
        <v>0</v>
      </c>
      <c r="O132" s="46">
        <f t="shared" si="69"/>
        <v>53000</v>
      </c>
      <c r="P132" s="46">
        <f t="shared" si="69"/>
        <v>0</v>
      </c>
      <c r="Q132" s="46">
        <f t="shared" si="69"/>
        <v>53000</v>
      </c>
      <c r="R132" s="46">
        <f t="shared" si="69"/>
        <v>0</v>
      </c>
      <c r="S132" s="46">
        <f t="shared" si="69"/>
        <v>53000</v>
      </c>
      <c r="T132" s="46">
        <f t="shared" si="69"/>
        <v>0</v>
      </c>
      <c r="U132" s="46">
        <f t="shared" si="69"/>
        <v>53000</v>
      </c>
      <c r="V132" s="46">
        <f t="shared" si="69"/>
        <v>0</v>
      </c>
      <c r="W132" s="46">
        <f t="shared" si="69"/>
        <v>53000</v>
      </c>
      <c r="X132" s="46">
        <f>SUM(X135,X133)</f>
        <v>0</v>
      </c>
      <c r="Y132" s="46">
        <f>SUM(Y135,Y133)</f>
        <v>53000</v>
      </c>
    </row>
    <row r="133" spans="1:25" s="22" customFormat="1" ht="18" customHeight="1">
      <c r="A133" s="61"/>
      <c r="B133" s="40">
        <v>92105</v>
      </c>
      <c r="C133" s="69"/>
      <c r="D133" s="66" t="s">
        <v>342</v>
      </c>
      <c r="E133" s="60"/>
      <c r="F133" s="60"/>
      <c r="G133" s="60">
        <f aca="true" t="shared" si="70" ref="G133:Y133">SUM(G134)</f>
        <v>0</v>
      </c>
      <c r="H133" s="60">
        <f t="shared" si="70"/>
        <v>7100</v>
      </c>
      <c r="I133" s="60">
        <f t="shared" si="70"/>
        <v>7100</v>
      </c>
      <c r="J133" s="60">
        <f t="shared" si="70"/>
        <v>0</v>
      </c>
      <c r="K133" s="60">
        <f t="shared" si="70"/>
        <v>7100</v>
      </c>
      <c r="L133" s="60">
        <f t="shared" si="70"/>
        <v>0</v>
      </c>
      <c r="M133" s="60">
        <f t="shared" si="70"/>
        <v>7100</v>
      </c>
      <c r="N133" s="60">
        <f t="shared" si="70"/>
        <v>0</v>
      </c>
      <c r="O133" s="60">
        <f t="shared" si="70"/>
        <v>7100</v>
      </c>
      <c r="P133" s="60">
        <f t="shared" si="70"/>
        <v>0</v>
      </c>
      <c r="Q133" s="60">
        <f t="shared" si="70"/>
        <v>7100</v>
      </c>
      <c r="R133" s="60">
        <f t="shared" si="70"/>
        <v>0</v>
      </c>
      <c r="S133" s="60">
        <f t="shared" si="70"/>
        <v>7100</v>
      </c>
      <c r="T133" s="60">
        <f t="shared" si="70"/>
        <v>0</v>
      </c>
      <c r="U133" s="60">
        <f t="shared" si="70"/>
        <v>7100</v>
      </c>
      <c r="V133" s="60">
        <f t="shared" si="70"/>
        <v>0</v>
      </c>
      <c r="W133" s="60">
        <f t="shared" si="70"/>
        <v>7100</v>
      </c>
      <c r="X133" s="60">
        <f t="shared" si="70"/>
        <v>0</v>
      </c>
      <c r="Y133" s="60">
        <f t="shared" si="70"/>
        <v>7100</v>
      </c>
    </row>
    <row r="134" spans="1:25" s="22" customFormat="1" ht="45">
      <c r="A134" s="61"/>
      <c r="B134" s="40"/>
      <c r="C134" s="69">
        <v>2320</v>
      </c>
      <c r="D134" s="66" t="s">
        <v>253</v>
      </c>
      <c r="E134" s="60"/>
      <c r="F134" s="60"/>
      <c r="G134" s="60">
        <v>0</v>
      </c>
      <c r="H134" s="60">
        <f>300+500+300+1000+500+500+3500+500</f>
        <v>7100</v>
      </c>
      <c r="I134" s="60">
        <f>SUM(G134:H134)</f>
        <v>7100</v>
      </c>
      <c r="J134" s="60"/>
      <c r="K134" s="60">
        <f>SUM(I134:J134)</f>
        <v>7100</v>
      </c>
      <c r="L134" s="60"/>
      <c r="M134" s="60">
        <f>SUM(K134:L134)</f>
        <v>7100</v>
      </c>
      <c r="N134" s="60"/>
      <c r="O134" s="60">
        <f>SUM(M134:N134)</f>
        <v>7100</v>
      </c>
      <c r="P134" s="60"/>
      <c r="Q134" s="60">
        <f>SUM(O134:P134)</f>
        <v>7100</v>
      </c>
      <c r="R134" s="60"/>
      <c r="S134" s="60">
        <f>SUM(Q134:R134)</f>
        <v>7100</v>
      </c>
      <c r="T134" s="60"/>
      <c r="U134" s="60">
        <f>SUM(S134:T134)</f>
        <v>7100</v>
      </c>
      <c r="V134" s="60"/>
      <c r="W134" s="60">
        <f>SUM(U134:V134)</f>
        <v>7100</v>
      </c>
      <c r="X134" s="60"/>
      <c r="Y134" s="60">
        <f>SUM(W134:X134)</f>
        <v>7100</v>
      </c>
    </row>
    <row r="135" spans="1:25" s="22" customFormat="1" ht="18" customHeight="1">
      <c r="A135" s="61"/>
      <c r="B135" s="62" t="s">
        <v>87</v>
      </c>
      <c r="C135" s="69"/>
      <c r="D135" s="66" t="s">
        <v>88</v>
      </c>
      <c r="E135" s="60">
        <f aca="true" t="shared" si="71" ref="E135:Y135">SUM(E136)</f>
        <v>45900</v>
      </c>
      <c r="F135" s="60">
        <f t="shared" si="71"/>
        <v>0</v>
      </c>
      <c r="G135" s="60">
        <f t="shared" si="71"/>
        <v>45900</v>
      </c>
      <c r="H135" s="60">
        <f t="shared" si="71"/>
        <v>0</v>
      </c>
      <c r="I135" s="60">
        <f t="shared" si="71"/>
        <v>45900</v>
      </c>
      <c r="J135" s="60">
        <f t="shared" si="71"/>
        <v>0</v>
      </c>
      <c r="K135" s="60">
        <f t="shared" si="71"/>
        <v>45900</v>
      </c>
      <c r="L135" s="60">
        <f t="shared" si="71"/>
        <v>0</v>
      </c>
      <c r="M135" s="60">
        <f t="shared" si="71"/>
        <v>45900</v>
      </c>
      <c r="N135" s="60">
        <f t="shared" si="71"/>
        <v>0</v>
      </c>
      <c r="O135" s="60">
        <f t="shared" si="71"/>
        <v>45900</v>
      </c>
      <c r="P135" s="60">
        <f t="shared" si="71"/>
        <v>0</v>
      </c>
      <c r="Q135" s="60">
        <f t="shared" si="71"/>
        <v>45900</v>
      </c>
      <c r="R135" s="60">
        <f t="shared" si="71"/>
        <v>0</v>
      </c>
      <c r="S135" s="60">
        <f t="shared" si="71"/>
        <v>45900</v>
      </c>
      <c r="T135" s="60">
        <f t="shared" si="71"/>
        <v>0</v>
      </c>
      <c r="U135" s="60">
        <f t="shared" si="71"/>
        <v>45900</v>
      </c>
      <c r="V135" s="60">
        <f t="shared" si="71"/>
        <v>0</v>
      </c>
      <c r="W135" s="60">
        <f t="shared" si="71"/>
        <v>45900</v>
      </c>
      <c r="X135" s="60">
        <f t="shared" si="71"/>
        <v>0</v>
      </c>
      <c r="Y135" s="60">
        <f t="shared" si="71"/>
        <v>45900</v>
      </c>
    </row>
    <row r="136" spans="1:25" s="22" customFormat="1" ht="45">
      <c r="A136" s="62"/>
      <c r="B136" s="62"/>
      <c r="C136" s="63">
        <v>2320</v>
      </c>
      <c r="D136" s="66" t="s">
        <v>253</v>
      </c>
      <c r="E136" s="60">
        <v>45900</v>
      </c>
      <c r="F136" s="60"/>
      <c r="G136" s="60">
        <f>SUM(E136:F136)</f>
        <v>45900</v>
      </c>
      <c r="H136" s="60"/>
      <c r="I136" s="60">
        <f>SUM(G136:H136)</f>
        <v>45900</v>
      </c>
      <c r="J136" s="60"/>
      <c r="K136" s="60">
        <f>SUM(I136:J136)</f>
        <v>45900</v>
      </c>
      <c r="L136" s="60"/>
      <c r="M136" s="60">
        <f>SUM(K136:L136)</f>
        <v>45900</v>
      </c>
      <c r="N136" s="60"/>
      <c r="O136" s="60">
        <f>SUM(M136:N136)</f>
        <v>45900</v>
      </c>
      <c r="P136" s="60"/>
      <c r="Q136" s="60">
        <f>SUM(O136:P136)</f>
        <v>45900</v>
      </c>
      <c r="R136" s="60"/>
      <c r="S136" s="60">
        <f>SUM(Q136:R136)</f>
        <v>45900</v>
      </c>
      <c r="T136" s="60"/>
      <c r="U136" s="60">
        <f>SUM(S136:T136)</f>
        <v>45900</v>
      </c>
      <c r="V136" s="60"/>
      <c r="W136" s="60">
        <f>SUM(U136:V136)</f>
        <v>45900</v>
      </c>
      <c r="X136" s="60"/>
      <c r="Y136" s="60">
        <f>SUM(W136:X136)</f>
        <v>45900</v>
      </c>
    </row>
    <row r="137" spans="1:25" s="22" customFormat="1" ht="19.5" customHeight="1">
      <c r="A137" s="31" t="s">
        <v>172</v>
      </c>
      <c r="B137" s="32"/>
      <c r="C137" s="33"/>
      <c r="D137" s="34" t="s">
        <v>89</v>
      </c>
      <c r="E137" s="60"/>
      <c r="F137" s="60"/>
      <c r="G137" s="46">
        <f aca="true" t="shared" si="72" ref="G137:P138">SUM(G138)</f>
        <v>0</v>
      </c>
      <c r="H137" s="46">
        <f t="shared" si="72"/>
        <v>4400</v>
      </c>
      <c r="I137" s="46">
        <f t="shared" si="72"/>
        <v>4400</v>
      </c>
      <c r="J137" s="46">
        <f t="shared" si="72"/>
        <v>0</v>
      </c>
      <c r="K137" s="46">
        <f t="shared" si="72"/>
        <v>4400</v>
      </c>
      <c r="L137" s="46">
        <f t="shared" si="72"/>
        <v>0</v>
      </c>
      <c r="M137" s="46">
        <f t="shared" si="72"/>
        <v>4400</v>
      </c>
      <c r="N137" s="46">
        <f t="shared" si="72"/>
        <v>0</v>
      </c>
      <c r="O137" s="46">
        <f t="shared" si="72"/>
        <v>4400</v>
      </c>
      <c r="P137" s="46">
        <f t="shared" si="72"/>
        <v>0</v>
      </c>
      <c r="Q137" s="46">
        <f aca="true" t="shared" si="73" ref="Q137:Y138">SUM(Q138)</f>
        <v>4400</v>
      </c>
      <c r="R137" s="46">
        <f t="shared" si="73"/>
        <v>0</v>
      </c>
      <c r="S137" s="46">
        <f t="shared" si="73"/>
        <v>4400</v>
      </c>
      <c r="T137" s="46">
        <f t="shared" si="73"/>
        <v>0</v>
      </c>
      <c r="U137" s="46">
        <f t="shared" si="73"/>
        <v>4400</v>
      </c>
      <c r="V137" s="46">
        <f t="shared" si="73"/>
        <v>0</v>
      </c>
      <c r="W137" s="46">
        <f t="shared" si="73"/>
        <v>4400</v>
      </c>
      <c r="X137" s="46">
        <f t="shared" si="73"/>
        <v>0</v>
      </c>
      <c r="Y137" s="46">
        <f t="shared" si="73"/>
        <v>4400</v>
      </c>
    </row>
    <row r="138" spans="1:25" s="22" customFormat="1" ht="24.75" customHeight="1">
      <c r="A138" s="62"/>
      <c r="B138" s="62">
        <v>92605</v>
      </c>
      <c r="C138" s="62"/>
      <c r="D138" s="36" t="s">
        <v>90</v>
      </c>
      <c r="E138" s="60"/>
      <c r="F138" s="60"/>
      <c r="G138" s="60">
        <f t="shared" si="72"/>
        <v>0</v>
      </c>
      <c r="H138" s="60">
        <f t="shared" si="72"/>
        <v>4400</v>
      </c>
      <c r="I138" s="60">
        <f t="shared" si="72"/>
        <v>4400</v>
      </c>
      <c r="J138" s="60">
        <f t="shared" si="72"/>
        <v>0</v>
      </c>
      <c r="K138" s="60">
        <f t="shared" si="72"/>
        <v>4400</v>
      </c>
      <c r="L138" s="60">
        <f t="shared" si="72"/>
        <v>0</v>
      </c>
      <c r="M138" s="60">
        <f t="shared" si="72"/>
        <v>4400</v>
      </c>
      <c r="N138" s="60">
        <f t="shared" si="72"/>
        <v>0</v>
      </c>
      <c r="O138" s="60">
        <f t="shared" si="72"/>
        <v>4400</v>
      </c>
      <c r="P138" s="60">
        <f t="shared" si="72"/>
        <v>0</v>
      </c>
      <c r="Q138" s="60">
        <f t="shared" si="73"/>
        <v>4400</v>
      </c>
      <c r="R138" s="60">
        <f t="shared" si="73"/>
        <v>0</v>
      </c>
      <c r="S138" s="60">
        <f t="shared" si="73"/>
        <v>4400</v>
      </c>
      <c r="T138" s="60">
        <f t="shared" si="73"/>
        <v>0</v>
      </c>
      <c r="U138" s="60">
        <f t="shared" si="73"/>
        <v>4400</v>
      </c>
      <c r="V138" s="60">
        <f t="shared" si="73"/>
        <v>0</v>
      </c>
      <c r="W138" s="60">
        <f t="shared" si="73"/>
        <v>4400</v>
      </c>
      <c r="X138" s="60">
        <f t="shared" si="73"/>
        <v>0</v>
      </c>
      <c r="Y138" s="60">
        <f t="shared" si="73"/>
        <v>4400</v>
      </c>
    </row>
    <row r="139" spans="1:25" s="22" customFormat="1" ht="45">
      <c r="A139" s="62"/>
      <c r="B139" s="62"/>
      <c r="C139" s="62">
        <v>2320</v>
      </c>
      <c r="D139" s="66" t="s">
        <v>253</v>
      </c>
      <c r="E139" s="60"/>
      <c r="F139" s="60"/>
      <c r="G139" s="60">
        <v>0</v>
      </c>
      <c r="H139" s="60">
        <f>1500+400+500+2000</f>
        <v>4400</v>
      </c>
      <c r="I139" s="60">
        <f>SUM(G139:H139)</f>
        <v>4400</v>
      </c>
      <c r="J139" s="60"/>
      <c r="K139" s="60">
        <f>SUM(I139:J139)</f>
        <v>4400</v>
      </c>
      <c r="L139" s="60"/>
      <c r="M139" s="60">
        <f>SUM(K139:L139)</f>
        <v>4400</v>
      </c>
      <c r="N139" s="60"/>
      <c r="O139" s="60">
        <f>SUM(M139:N139)</f>
        <v>4400</v>
      </c>
      <c r="P139" s="60"/>
      <c r="Q139" s="60">
        <f>SUM(O139:P139)</f>
        <v>4400</v>
      </c>
      <c r="R139" s="60"/>
      <c r="S139" s="60">
        <f>SUM(Q139:R139)</f>
        <v>4400</v>
      </c>
      <c r="T139" s="60"/>
      <c r="U139" s="60">
        <f>SUM(S139:T139)</f>
        <v>4400</v>
      </c>
      <c r="V139" s="60"/>
      <c r="W139" s="60">
        <f>SUM(U139:V139)</f>
        <v>4400</v>
      </c>
      <c r="X139" s="60"/>
      <c r="Y139" s="60">
        <f>SUM(W139:X139)</f>
        <v>4400</v>
      </c>
    </row>
    <row r="140" spans="1:26" ht="26.25" customHeight="1">
      <c r="A140" s="13"/>
      <c r="B140" s="14"/>
      <c r="C140" s="15"/>
      <c r="D140" s="16" t="s">
        <v>91</v>
      </c>
      <c r="E140" s="46">
        <f>SUM(E7,E13,E22,E28,E31,E39,E70,E102,E125,E132,E80)</f>
        <v>50762500</v>
      </c>
      <c r="F140" s="46">
        <f>SUM(F7,F13,F22,F28,F31,F39,F70,F102,F125,F132,F80)</f>
        <v>779550</v>
      </c>
      <c r="G140" s="46">
        <f aca="true" t="shared" si="74" ref="G140:L140">SUM(G7,G13,G22,G28,G31,G39,G70,G102,G125,G132,G80,G137)</f>
        <v>51542050</v>
      </c>
      <c r="H140" s="46">
        <f t="shared" si="74"/>
        <v>11500</v>
      </c>
      <c r="I140" s="46">
        <f t="shared" si="74"/>
        <v>51553550</v>
      </c>
      <c r="J140" s="46">
        <f t="shared" si="74"/>
        <v>165286</v>
      </c>
      <c r="K140" s="46">
        <f t="shared" si="74"/>
        <v>51718836</v>
      </c>
      <c r="L140" s="46">
        <f t="shared" si="74"/>
        <v>2671236</v>
      </c>
      <c r="M140" s="46">
        <f aca="true" t="shared" si="75" ref="M140:V140">SUM(M7,M13,M22,M28,M31,M39,M70,M102,M125,M132,M80,M137,M122)</f>
        <v>54390072</v>
      </c>
      <c r="N140" s="46">
        <f t="shared" si="75"/>
        <v>253074</v>
      </c>
      <c r="O140" s="46">
        <f t="shared" si="75"/>
        <v>54643146</v>
      </c>
      <c r="P140" s="46">
        <f t="shared" si="75"/>
        <v>2483742</v>
      </c>
      <c r="Q140" s="46">
        <f t="shared" si="75"/>
        <v>57126888</v>
      </c>
      <c r="R140" s="46">
        <f t="shared" si="75"/>
        <v>78907</v>
      </c>
      <c r="S140" s="46">
        <f t="shared" si="75"/>
        <v>57205795</v>
      </c>
      <c r="T140" s="46">
        <f t="shared" si="75"/>
        <v>1186627</v>
      </c>
      <c r="U140" s="46">
        <f t="shared" si="75"/>
        <v>58392422</v>
      </c>
      <c r="V140" s="46">
        <f t="shared" si="75"/>
        <v>14901</v>
      </c>
      <c r="W140" s="46">
        <f>SUM(W7,W13,W22,W28,W31,W39,W70,W102,W125,W132,W80,W137,W122,)</f>
        <v>58407323</v>
      </c>
      <c r="X140" s="46">
        <f>SUM(X7,X13,X22,X28,X31,X39,X70,X102,X125,X132,X80,X137,X122,)</f>
        <v>838678</v>
      </c>
      <c r="Y140" s="46">
        <f>SUM(Y7,Y13,Y22,Y28,Y31,Y39,Y70,Y102,Y125,Y132,Y80,Y137,Y122,)</f>
        <v>59246001</v>
      </c>
      <c r="Z140" s="123"/>
    </row>
    <row r="142" spans="4:20" ht="12.75">
      <c r="D142" s="94"/>
      <c r="L142" s="26">
        <v>-120070</v>
      </c>
      <c r="T142" s="26" t="e">
        <f>SUM(T140-#REF!)</f>
        <v>#REF!</v>
      </c>
    </row>
    <row r="143" spans="4:16" ht="12.75">
      <c r="D143" s="94"/>
      <c r="L143" s="26">
        <v>-805536</v>
      </c>
      <c r="P143" s="26">
        <v>99720</v>
      </c>
    </row>
    <row r="144" ht="12.75">
      <c r="D144" s="94"/>
    </row>
    <row r="145" ht="12.75">
      <c r="D145" s="94"/>
    </row>
    <row r="146" spans="4:24" ht="12.75">
      <c r="D146" s="94"/>
      <c r="X146" s="186"/>
    </row>
    <row r="147" ht="12.75">
      <c r="D147" s="94"/>
    </row>
    <row r="148" ht="12.75">
      <c r="D148" s="94"/>
    </row>
    <row r="149" spans="4:26" ht="12.75">
      <c r="D149" s="93"/>
      <c r="U149" s="141"/>
      <c r="W149" s="141"/>
      <c r="Y149" s="141"/>
      <c r="Z149" s="142"/>
    </row>
    <row r="150" spans="21:26" ht="12.75">
      <c r="U150" s="141"/>
      <c r="W150" s="141"/>
      <c r="X150" s="186"/>
      <c r="Y150" s="141"/>
      <c r="Z150" s="142"/>
    </row>
    <row r="151" spans="10:26" ht="12.75">
      <c r="J151" s="42"/>
      <c r="L151" s="42"/>
      <c r="N151" s="42"/>
      <c r="P151" s="138"/>
      <c r="R151" s="138"/>
      <c r="T151" s="138"/>
      <c r="U151" s="141"/>
      <c r="V151" s="138"/>
      <c r="W151" s="141"/>
      <c r="X151" s="138"/>
      <c r="Y151" s="141"/>
      <c r="Z151" s="142"/>
    </row>
    <row r="152" spans="16:26" ht="12.75">
      <c r="P152" s="138"/>
      <c r="R152" s="138"/>
      <c r="T152" s="138"/>
      <c r="U152" s="141"/>
      <c r="V152" s="138"/>
      <c r="W152" s="141"/>
      <c r="X152" s="138"/>
      <c r="Y152" s="141"/>
      <c r="Z152" s="142"/>
    </row>
    <row r="153" spans="16:26" ht="12.75">
      <c r="P153" s="138">
        <v>192361</v>
      </c>
      <c r="R153" s="138"/>
      <c r="T153" s="138"/>
      <c r="U153" s="141"/>
      <c r="V153" s="138"/>
      <c r="W153" s="141"/>
      <c r="X153" s="138"/>
      <c r="Y153" s="141"/>
      <c r="Z153" s="142"/>
    </row>
    <row r="154" spans="16:20" ht="12.75">
      <c r="P154" s="42">
        <f>SUM(P143:P153)</f>
        <v>292081</v>
      </c>
      <c r="R154" s="42"/>
      <c r="T154" s="26">
        <v>-4590</v>
      </c>
    </row>
    <row r="155" spans="10:26" ht="12.75">
      <c r="J155" s="42"/>
      <c r="L155" s="42"/>
      <c r="N155" s="42"/>
      <c r="P155" s="42"/>
      <c r="R155" s="42"/>
      <c r="U155" s="141"/>
      <c r="W155" s="141"/>
      <c r="Y155" s="141"/>
      <c r="Z155" s="142"/>
    </row>
    <row r="156" spans="17:26" ht="12.75">
      <c r="Q156" s="26">
        <f>SUM(P151,P152,P153,)</f>
        <v>192361</v>
      </c>
      <c r="U156" s="141"/>
      <c r="W156" s="141"/>
      <c r="Y156" s="141"/>
      <c r="Z156" s="142"/>
    </row>
    <row r="157" spans="17:26" ht="12.75">
      <c r="Q157" s="26">
        <f>SUM(P143:P150)</f>
        <v>99720</v>
      </c>
      <c r="U157" s="141"/>
      <c r="W157" s="141"/>
      <c r="Y157" s="141"/>
      <c r="Z157" s="142"/>
    </row>
    <row r="158" spans="11:19" ht="12.75">
      <c r="K158" s="42"/>
      <c r="M158" s="42"/>
      <c r="O158" s="42"/>
      <c r="Q158" s="42">
        <f>SUM(Q156:Q157)</f>
        <v>292081</v>
      </c>
      <c r="S158" s="42"/>
    </row>
    <row r="160" spans="10:19" ht="12.75">
      <c r="J160" s="42"/>
      <c r="K160" s="42"/>
      <c r="L160" s="42"/>
      <c r="M160" s="42"/>
      <c r="N160" s="42"/>
      <c r="O160" s="42"/>
      <c r="P160" s="42"/>
      <c r="Q160" s="42"/>
      <c r="R160" s="42"/>
      <c r="S160" s="42"/>
    </row>
    <row r="162" spans="10:19" ht="12.75">
      <c r="J162" s="42"/>
      <c r="K162" s="42"/>
      <c r="L162" s="42"/>
      <c r="M162" s="42"/>
      <c r="N162" s="42"/>
      <c r="O162" s="42"/>
      <c r="P162" s="42"/>
      <c r="Q162" s="42"/>
      <c r="R162" s="42"/>
      <c r="S162" s="42"/>
    </row>
    <row r="163" spans="5:19" ht="12.75"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</row>
    <row r="164" spans="5:25" ht="12.75"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U164" s="141"/>
      <c r="W164" s="141"/>
      <c r="Y164" s="141"/>
    </row>
    <row r="165" spans="5:25" ht="12.75"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U165" s="141"/>
      <c r="W165" s="141"/>
      <c r="Y165" s="141"/>
    </row>
    <row r="166" spans="5:25" ht="12.75"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U166" s="141"/>
      <c r="W166" s="141"/>
      <c r="Y166" s="141"/>
    </row>
    <row r="167" spans="5:25" ht="12.75"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U167" s="141"/>
      <c r="W167" s="141"/>
      <c r="Y167" s="141"/>
    </row>
    <row r="168" spans="5:25" ht="12.75"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U168" s="141"/>
      <c r="W168" s="141"/>
      <c r="Y168" s="141"/>
    </row>
    <row r="169" spans="5:25" ht="12.75"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U169" s="141"/>
      <c r="W169" s="141"/>
      <c r="Y169" s="141"/>
    </row>
    <row r="170" spans="5:25" ht="12.75"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U170" s="141"/>
      <c r="W170" s="141"/>
      <c r="Y170" s="141"/>
    </row>
    <row r="171" spans="5:25" ht="12.75"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U171" s="141"/>
      <c r="W171" s="141"/>
      <c r="Y171" s="141"/>
    </row>
    <row r="172" spans="5:25" ht="12.75"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U172" s="141"/>
      <c r="W172" s="141"/>
      <c r="Y172" s="141"/>
    </row>
    <row r="173" spans="5:25" ht="12.75"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U173" s="141"/>
      <c r="W173" s="141"/>
      <c r="Y173" s="141"/>
    </row>
    <row r="174" spans="5:25" ht="12.75"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U174" s="141"/>
      <c r="W174" s="141"/>
      <c r="Y174" s="141"/>
    </row>
    <row r="175" spans="5:25" ht="12.75"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U175" s="141"/>
      <c r="W175" s="141"/>
      <c r="Y175" s="141"/>
    </row>
    <row r="176" spans="5:25" ht="12.75"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U176" s="141"/>
      <c r="W176" s="141"/>
      <c r="Y176" s="141"/>
    </row>
    <row r="177" spans="5:25" ht="12.75"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>
        <f>SUM(T145:T176)</f>
        <v>-4590</v>
      </c>
      <c r="U177" s="42"/>
      <c r="V177" s="42"/>
      <c r="W177" s="42"/>
      <c r="X177" s="42"/>
      <c r="Y177" s="42"/>
    </row>
  </sheetData>
  <sheetProtection/>
  <mergeCells count="1">
    <mergeCell ref="A5:Y5"/>
  </mergeCells>
  <printOptions horizontalCentered="1"/>
  <pageMargins left="0.33" right="0.4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&amp;C&amp;8Dochody - str.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59"/>
  <sheetViews>
    <sheetView zoomScalePageLayoutView="0" workbookViewId="0" topLeftCell="A449">
      <selection activeCell="AB457" sqref="AB457"/>
    </sheetView>
  </sheetViews>
  <sheetFormatPr defaultColWidth="9.00390625" defaultRowHeight="12.75"/>
  <cols>
    <col min="1" max="1" width="4.375" style="6" customWidth="1"/>
    <col min="2" max="2" width="7.25390625" style="6" bestFit="1" customWidth="1"/>
    <col min="3" max="3" width="4.375" style="6" bestFit="1" customWidth="1"/>
    <col min="4" max="4" width="35.875" style="6" customWidth="1"/>
    <col min="5" max="5" width="17.125" style="26" hidden="1" customWidth="1"/>
    <col min="6" max="6" width="11.875" style="26" hidden="1" customWidth="1"/>
    <col min="7" max="8" width="0.12890625" style="26" hidden="1" customWidth="1"/>
    <col min="9" max="9" width="39.625" style="26" hidden="1" customWidth="1"/>
    <col min="10" max="10" width="10.375" style="26" hidden="1" customWidth="1"/>
    <col min="11" max="11" width="15.00390625" style="26" hidden="1" customWidth="1"/>
    <col min="12" max="12" width="9.875" style="26" hidden="1" customWidth="1"/>
    <col min="13" max="13" width="39.75390625" style="26" hidden="1" customWidth="1"/>
    <col min="14" max="14" width="8.375" style="26" hidden="1" customWidth="1"/>
    <col min="15" max="15" width="12.25390625" style="26" hidden="1" customWidth="1"/>
    <col min="16" max="16" width="11.25390625" style="26" hidden="1" customWidth="1"/>
    <col min="17" max="17" width="43.25390625" style="26" hidden="1" customWidth="1"/>
    <col min="18" max="18" width="9.875" style="26" hidden="1" customWidth="1"/>
    <col min="19" max="19" width="40.75390625" style="26" hidden="1" customWidth="1"/>
    <col min="20" max="20" width="11.25390625" style="26" hidden="1" customWidth="1"/>
    <col min="21" max="21" width="41.75390625" style="26" hidden="1" customWidth="1"/>
    <col min="22" max="22" width="9.25390625" style="26" hidden="1" customWidth="1"/>
    <col min="23" max="23" width="15.00390625" style="26" hidden="1" customWidth="1"/>
    <col min="24" max="25" width="0.12890625" style="26" hidden="1" customWidth="1"/>
    <col min="26" max="26" width="12.75390625" style="26" hidden="1" customWidth="1"/>
    <col min="27" max="27" width="14.75390625" style="26" customWidth="1"/>
    <col min="28" max="28" width="12.75390625" style="26" customWidth="1"/>
    <col min="29" max="29" width="14.75390625" style="26" customWidth="1"/>
    <col min="30" max="30" width="9.75390625" style="41" bestFit="1" customWidth="1"/>
    <col min="31" max="31" width="12.75390625" style="41" customWidth="1"/>
    <col min="32" max="32" width="11.875" style="0" customWidth="1"/>
    <col min="33" max="33" width="12.75390625" style="0" customWidth="1"/>
  </cols>
  <sheetData>
    <row r="1" spans="1:29" ht="12.75">
      <c r="A1" s="97"/>
      <c r="B1" s="97"/>
      <c r="C1" s="97"/>
      <c r="D1" s="97"/>
      <c r="E1" s="45" t="s">
        <v>223</v>
      </c>
      <c r="F1" s="45" t="s">
        <v>223</v>
      </c>
      <c r="G1" s="45" t="s">
        <v>359</v>
      </c>
      <c r="H1" s="45"/>
      <c r="I1" s="45" t="s">
        <v>212</v>
      </c>
      <c r="J1" s="45"/>
      <c r="K1" s="45" t="s">
        <v>384</v>
      </c>
      <c r="L1" s="45"/>
      <c r="M1" s="45" t="s">
        <v>379</v>
      </c>
      <c r="N1" s="45"/>
      <c r="O1" s="45"/>
      <c r="P1" s="45"/>
      <c r="Q1" s="45" t="s">
        <v>344</v>
      </c>
      <c r="R1" s="45"/>
      <c r="S1" s="45" t="s">
        <v>271</v>
      </c>
      <c r="T1" s="45"/>
      <c r="U1" s="45" t="s">
        <v>3</v>
      </c>
      <c r="V1" s="45"/>
      <c r="W1" s="45" t="s">
        <v>313</v>
      </c>
      <c r="X1" s="45"/>
      <c r="Y1" s="45" t="s">
        <v>412</v>
      </c>
      <c r="Z1" s="45"/>
      <c r="AA1" s="45" t="s">
        <v>456</v>
      </c>
      <c r="AB1" s="45"/>
      <c r="AC1" s="45"/>
    </row>
    <row r="2" spans="1:29" ht="12.75">
      <c r="A2" s="97"/>
      <c r="B2" s="97"/>
      <c r="C2" s="97"/>
      <c r="D2" s="97"/>
      <c r="E2" s="45" t="s">
        <v>265</v>
      </c>
      <c r="F2" s="45" t="s">
        <v>376</v>
      </c>
      <c r="G2" s="45" t="s">
        <v>358</v>
      </c>
      <c r="H2" s="45"/>
      <c r="I2" s="45" t="s">
        <v>283</v>
      </c>
      <c r="J2" s="45"/>
      <c r="K2" s="45" t="s">
        <v>389</v>
      </c>
      <c r="L2" s="45"/>
      <c r="M2" s="45" t="s">
        <v>381</v>
      </c>
      <c r="N2" s="45"/>
      <c r="O2" s="45"/>
      <c r="P2" s="45"/>
      <c r="Q2" s="45" t="s">
        <v>345</v>
      </c>
      <c r="R2" s="45"/>
      <c r="S2" s="45" t="s">
        <v>272</v>
      </c>
      <c r="T2" s="45"/>
      <c r="U2" s="45" t="s">
        <v>125</v>
      </c>
      <c r="V2" s="45"/>
      <c r="W2" s="45" t="s">
        <v>312</v>
      </c>
      <c r="X2" s="45"/>
      <c r="Y2" s="45" t="s">
        <v>411</v>
      </c>
      <c r="Z2" s="45"/>
      <c r="AA2" s="45" t="s">
        <v>458</v>
      </c>
      <c r="AB2" s="45"/>
      <c r="AC2" s="45"/>
    </row>
    <row r="3" spans="1:29" ht="12.75">
      <c r="A3" s="97"/>
      <c r="B3" s="97"/>
      <c r="C3" s="97"/>
      <c r="D3" s="97"/>
      <c r="E3" s="45" t="s">
        <v>176</v>
      </c>
      <c r="F3" s="45" t="s">
        <v>176</v>
      </c>
      <c r="G3" s="45" t="s">
        <v>338</v>
      </c>
      <c r="H3" s="45"/>
      <c r="I3" s="45" t="s">
        <v>359</v>
      </c>
      <c r="J3" s="45"/>
      <c r="K3" s="45" t="s">
        <v>212</v>
      </c>
      <c r="L3" s="45"/>
      <c r="M3" s="45" t="s">
        <v>384</v>
      </c>
      <c r="N3" s="45"/>
      <c r="O3" s="45"/>
      <c r="P3" s="45"/>
      <c r="Q3" s="45" t="s">
        <v>0</v>
      </c>
      <c r="R3" s="45"/>
      <c r="S3" s="45" t="s">
        <v>344</v>
      </c>
      <c r="T3" s="45"/>
      <c r="U3" s="45" t="s">
        <v>271</v>
      </c>
      <c r="V3" s="45"/>
      <c r="W3" s="45" t="s">
        <v>3</v>
      </c>
      <c r="X3" s="45"/>
      <c r="Y3" s="45" t="s">
        <v>313</v>
      </c>
      <c r="Z3" s="45"/>
      <c r="AA3" s="45" t="s">
        <v>412</v>
      </c>
      <c r="AB3" s="45"/>
      <c r="AC3" s="45"/>
    </row>
    <row r="4" spans="1:29" ht="12.75">
      <c r="A4" s="97"/>
      <c r="B4" s="97"/>
      <c r="C4" s="97"/>
      <c r="D4" s="97"/>
      <c r="E4" s="45" t="s">
        <v>266</v>
      </c>
      <c r="F4" s="45" t="s">
        <v>377</v>
      </c>
      <c r="G4" s="45" t="s">
        <v>339</v>
      </c>
      <c r="H4" s="45"/>
      <c r="I4" s="45" t="s">
        <v>282</v>
      </c>
      <c r="J4" s="45"/>
      <c r="K4" s="45" t="s">
        <v>72</v>
      </c>
      <c r="L4" s="45"/>
      <c r="M4" s="45" t="s">
        <v>382</v>
      </c>
      <c r="N4" s="45"/>
      <c r="O4" s="45"/>
      <c r="P4" s="45"/>
      <c r="Q4" s="45" t="s">
        <v>336</v>
      </c>
      <c r="R4" s="45"/>
      <c r="S4" s="45" t="s">
        <v>322</v>
      </c>
      <c r="T4" s="45"/>
      <c r="U4" s="45" t="s">
        <v>123</v>
      </c>
      <c r="V4" s="45"/>
      <c r="W4" s="45" t="s">
        <v>328</v>
      </c>
      <c r="X4" s="45"/>
      <c r="Y4" s="45" t="s">
        <v>309</v>
      </c>
      <c r="Z4" s="45"/>
      <c r="AA4" s="45" t="s">
        <v>415</v>
      </c>
      <c r="AB4" s="45"/>
      <c r="AC4" s="45"/>
    </row>
    <row r="5" spans="1:29" ht="21" customHeight="1">
      <c r="A5" s="192" t="s">
        <v>365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</row>
    <row r="6" spans="1:31" s="6" customFormat="1" ht="24.75" customHeight="1">
      <c r="A6" s="33" t="s">
        <v>9</v>
      </c>
      <c r="B6" s="33" t="s">
        <v>12</v>
      </c>
      <c r="C6" s="33" t="s">
        <v>13</v>
      </c>
      <c r="D6" s="33" t="s">
        <v>14</v>
      </c>
      <c r="E6" s="47" t="s">
        <v>173</v>
      </c>
      <c r="F6" s="47" t="s">
        <v>173</v>
      </c>
      <c r="G6" s="47" t="s">
        <v>173</v>
      </c>
      <c r="H6" s="47" t="s">
        <v>232</v>
      </c>
      <c r="I6" s="124" t="s">
        <v>174</v>
      </c>
      <c r="J6" s="47" t="s">
        <v>232</v>
      </c>
      <c r="K6" s="124" t="s">
        <v>173</v>
      </c>
      <c r="L6" s="47" t="s">
        <v>232</v>
      </c>
      <c r="M6" s="124" t="s">
        <v>174</v>
      </c>
      <c r="N6" s="47" t="s">
        <v>232</v>
      </c>
      <c r="O6" s="124" t="s">
        <v>174</v>
      </c>
      <c r="P6" s="47" t="s">
        <v>232</v>
      </c>
      <c r="Q6" s="124" t="s">
        <v>174</v>
      </c>
      <c r="R6" s="47" t="s">
        <v>232</v>
      </c>
      <c r="S6" s="124" t="s">
        <v>173</v>
      </c>
      <c r="T6" s="47" t="s">
        <v>232</v>
      </c>
      <c r="U6" s="124" t="s">
        <v>174</v>
      </c>
      <c r="V6" s="47" t="s">
        <v>232</v>
      </c>
      <c r="W6" s="124" t="s">
        <v>174</v>
      </c>
      <c r="X6" s="47" t="s">
        <v>232</v>
      </c>
      <c r="Y6" s="124" t="s">
        <v>173</v>
      </c>
      <c r="Z6" s="47" t="s">
        <v>232</v>
      </c>
      <c r="AA6" s="124" t="s">
        <v>174</v>
      </c>
      <c r="AB6" s="47" t="s">
        <v>232</v>
      </c>
      <c r="AC6" s="124" t="s">
        <v>235</v>
      </c>
      <c r="AD6" s="23"/>
      <c r="AE6" s="23"/>
    </row>
    <row r="7" spans="1:31" s="9" customFormat="1" ht="24.75" customHeight="1">
      <c r="A7" s="31" t="s">
        <v>15</v>
      </c>
      <c r="B7" s="48"/>
      <c r="C7" s="49"/>
      <c r="D7" s="34" t="s">
        <v>16</v>
      </c>
      <c r="E7" s="35">
        <f aca="true" t="shared" si="0" ref="E7:R7">SUM(E8,E10)</f>
        <v>308700</v>
      </c>
      <c r="F7" s="35">
        <f t="shared" si="0"/>
        <v>0</v>
      </c>
      <c r="G7" s="35">
        <f t="shared" si="0"/>
        <v>308700</v>
      </c>
      <c r="H7" s="35">
        <f t="shared" si="0"/>
        <v>0</v>
      </c>
      <c r="I7" s="35">
        <f t="shared" si="0"/>
        <v>308700</v>
      </c>
      <c r="J7" s="35">
        <f t="shared" si="0"/>
        <v>0</v>
      </c>
      <c r="K7" s="35">
        <f t="shared" si="0"/>
        <v>308700</v>
      </c>
      <c r="L7" s="35">
        <f t="shared" si="0"/>
        <v>0</v>
      </c>
      <c r="M7" s="35">
        <f t="shared" si="0"/>
        <v>308700</v>
      </c>
      <c r="N7" s="35">
        <f t="shared" si="0"/>
        <v>0</v>
      </c>
      <c r="O7" s="35">
        <f t="shared" si="0"/>
        <v>308700</v>
      </c>
      <c r="P7" s="35">
        <f t="shared" si="0"/>
        <v>0</v>
      </c>
      <c r="Q7" s="35">
        <f t="shared" si="0"/>
        <v>308700</v>
      </c>
      <c r="R7" s="35">
        <f t="shared" si="0"/>
        <v>0</v>
      </c>
      <c r="S7" s="35">
        <f>SUM(S8,S10,S14)</f>
        <v>308700</v>
      </c>
      <c r="T7" s="35">
        <f>SUM(T8,T10,T14)</f>
        <v>192361</v>
      </c>
      <c r="U7" s="35">
        <f aca="true" t="shared" si="1" ref="U7:Z7">SUM(U8,U10,U14,U12)</f>
        <v>501061</v>
      </c>
      <c r="V7" s="35">
        <f t="shared" si="1"/>
        <v>0</v>
      </c>
      <c r="W7" s="35">
        <f t="shared" si="1"/>
        <v>501061</v>
      </c>
      <c r="X7" s="35">
        <f t="shared" si="1"/>
        <v>0</v>
      </c>
      <c r="Y7" s="35">
        <f t="shared" si="1"/>
        <v>501061</v>
      </c>
      <c r="Z7" s="35">
        <f t="shared" si="1"/>
        <v>0</v>
      </c>
      <c r="AA7" s="35">
        <f aca="true" t="shared" si="2" ref="AA7:AA44">SUM(Y7:Z7)</f>
        <v>501061</v>
      </c>
      <c r="AB7" s="35">
        <f>SUM(AB8,AB10,AB14,AB12)</f>
        <v>224360</v>
      </c>
      <c r="AC7" s="35">
        <f aca="true" t="shared" si="3" ref="AC7:AC45">SUM(AA7:AB7)</f>
        <v>725421</v>
      </c>
      <c r="AD7" s="129"/>
      <c r="AE7" s="129"/>
    </row>
    <row r="8" spans="1:31" s="22" customFormat="1" ht="21.75" customHeight="1">
      <c r="A8" s="56"/>
      <c r="B8" s="72" t="s">
        <v>93</v>
      </c>
      <c r="C8" s="59"/>
      <c r="D8" s="36" t="s">
        <v>94</v>
      </c>
      <c r="E8" s="70">
        <f aca="true" t="shared" si="4" ref="E8:AB8">SUM(E9)</f>
        <v>8700</v>
      </c>
      <c r="F8" s="70">
        <f t="shared" si="4"/>
        <v>0</v>
      </c>
      <c r="G8" s="70">
        <f t="shared" si="4"/>
        <v>8700</v>
      </c>
      <c r="H8" s="70">
        <f t="shared" si="4"/>
        <v>0</v>
      </c>
      <c r="I8" s="70">
        <f t="shared" si="4"/>
        <v>8700</v>
      </c>
      <c r="J8" s="70">
        <f t="shared" si="4"/>
        <v>0</v>
      </c>
      <c r="K8" s="70">
        <f t="shared" si="4"/>
        <v>8700</v>
      </c>
      <c r="L8" s="70">
        <f t="shared" si="4"/>
        <v>0</v>
      </c>
      <c r="M8" s="70">
        <f t="shared" si="4"/>
        <v>8700</v>
      </c>
      <c r="N8" s="70">
        <f t="shared" si="4"/>
        <v>0</v>
      </c>
      <c r="O8" s="70">
        <f t="shared" si="4"/>
        <v>8700</v>
      </c>
      <c r="P8" s="70">
        <f t="shared" si="4"/>
        <v>0</v>
      </c>
      <c r="Q8" s="70">
        <f t="shared" si="4"/>
        <v>8700</v>
      </c>
      <c r="R8" s="70">
        <f t="shared" si="4"/>
        <v>0</v>
      </c>
      <c r="S8" s="70">
        <f t="shared" si="4"/>
        <v>8700</v>
      </c>
      <c r="T8" s="70">
        <f t="shared" si="4"/>
        <v>0</v>
      </c>
      <c r="U8" s="70">
        <f t="shared" si="4"/>
        <v>8700</v>
      </c>
      <c r="V8" s="70">
        <f t="shared" si="4"/>
        <v>0</v>
      </c>
      <c r="W8" s="70">
        <f t="shared" si="4"/>
        <v>8700</v>
      </c>
      <c r="X8" s="70">
        <f t="shared" si="4"/>
        <v>0</v>
      </c>
      <c r="Y8" s="70">
        <f t="shared" si="4"/>
        <v>8700</v>
      </c>
      <c r="Z8" s="70">
        <f t="shared" si="4"/>
        <v>0</v>
      </c>
      <c r="AA8" s="70">
        <f t="shared" si="2"/>
        <v>8700</v>
      </c>
      <c r="AB8" s="70">
        <f t="shared" si="4"/>
        <v>0</v>
      </c>
      <c r="AC8" s="70">
        <f t="shared" si="3"/>
        <v>8700</v>
      </c>
      <c r="AD8" s="105"/>
      <c r="AE8" s="105"/>
    </row>
    <row r="9" spans="1:31" s="22" customFormat="1" ht="24">
      <c r="A9" s="73"/>
      <c r="B9" s="74"/>
      <c r="C9" s="59">
        <v>2850</v>
      </c>
      <c r="D9" s="36" t="s">
        <v>95</v>
      </c>
      <c r="E9" s="70">
        <v>8700</v>
      </c>
      <c r="F9" s="70"/>
      <c r="G9" s="70">
        <f>SUM(E9:F9)</f>
        <v>8700</v>
      </c>
      <c r="H9" s="70"/>
      <c r="I9" s="70">
        <f>SUM(G9:H9)</f>
        <v>8700</v>
      </c>
      <c r="J9" s="70"/>
      <c r="K9" s="70">
        <f>SUM(I9:J9)</f>
        <v>8700</v>
      </c>
      <c r="L9" s="70"/>
      <c r="M9" s="70">
        <f>SUM(K9:L9)</f>
        <v>8700</v>
      </c>
      <c r="N9" s="70"/>
      <c r="O9" s="70">
        <f>SUM(M9:N9)</f>
        <v>8700</v>
      </c>
      <c r="P9" s="70"/>
      <c r="Q9" s="70">
        <f>SUM(O9:P9)</f>
        <v>8700</v>
      </c>
      <c r="R9" s="70"/>
      <c r="S9" s="70">
        <f>SUM(Q9:R9)</f>
        <v>8700</v>
      </c>
      <c r="T9" s="70"/>
      <c r="U9" s="70">
        <f>SUM(S9:T9)</f>
        <v>8700</v>
      </c>
      <c r="V9" s="70"/>
      <c r="W9" s="70">
        <f>SUM(U9:V9)</f>
        <v>8700</v>
      </c>
      <c r="X9" s="70"/>
      <c r="Y9" s="70">
        <f>SUM(W9:X9)</f>
        <v>8700</v>
      </c>
      <c r="Z9" s="70"/>
      <c r="AA9" s="70">
        <f t="shared" si="2"/>
        <v>8700</v>
      </c>
      <c r="AB9" s="70"/>
      <c r="AC9" s="70">
        <f t="shared" si="3"/>
        <v>8700</v>
      </c>
      <c r="AD9" s="105"/>
      <c r="AE9" s="105"/>
    </row>
    <row r="10" spans="1:31" s="22" customFormat="1" ht="22.5" customHeight="1">
      <c r="A10" s="73"/>
      <c r="B10" s="74" t="s">
        <v>316</v>
      </c>
      <c r="C10" s="59"/>
      <c r="D10" s="36" t="s">
        <v>317</v>
      </c>
      <c r="E10" s="70">
        <f aca="true" t="shared" si="5" ref="E10:AB10">SUM(E11)</f>
        <v>300000</v>
      </c>
      <c r="F10" s="70">
        <f t="shared" si="5"/>
        <v>0</v>
      </c>
      <c r="G10" s="70">
        <f t="shared" si="5"/>
        <v>300000</v>
      </c>
      <c r="H10" s="70">
        <f t="shared" si="5"/>
        <v>0</v>
      </c>
      <c r="I10" s="70">
        <f t="shared" si="5"/>
        <v>300000</v>
      </c>
      <c r="J10" s="70">
        <f t="shared" si="5"/>
        <v>0</v>
      </c>
      <c r="K10" s="70">
        <f t="shared" si="5"/>
        <v>300000</v>
      </c>
      <c r="L10" s="70">
        <f t="shared" si="5"/>
        <v>0</v>
      </c>
      <c r="M10" s="70">
        <f t="shared" si="5"/>
        <v>300000</v>
      </c>
      <c r="N10" s="70">
        <f t="shared" si="5"/>
        <v>0</v>
      </c>
      <c r="O10" s="70">
        <f t="shared" si="5"/>
        <v>300000</v>
      </c>
      <c r="P10" s="70">
        <f t="shared" si="5"/>
        <v>0</v>
      </c>
      <c r="Q10" s="70">
        <f t="shared" si="5"/>
        <v>300000</v>
      </c>
      <c r="R10" s="70">
        <f t="shared" si="5"/>
        <v>0</v>
      </c>
      <c r="S10" s="70">
        <f t="shared" si="5"/>
        <v>300000</v>
      </c>
      <c r="T10" s="70">
        <f t="shared" si="5"/>
        <v>0</v>
      </c>
      <c r="U10" s="70">
        <f t="shared" si="5"/>
        <v>300000</v>
      </c>
      <c r="V10" s="70">
        <f t="shared" si="5"/>
        <v>-300000</v>
      </c>
      <c r="W10" s="70">
        <f t="shared" si="5"/>
        <v>0</v>
      </c>
      <c r="X10" s="70">
        <f t="shared" si="5"/>
        <v>0</v>
      </c>
      <c r="Y10" s="70">
        <f t="shared" si="5"/>
        <v>0</v>
      </c>
      <c r="Z10" s="70">
        <f t="shared" si="5"/>
        <v>0</v>
      </c>
      <c r="AA10" s="70">
        <f t="shared" si="2"/>
        <v>0</v>
      </c>
      <c r="AB10" s="70">
        <f t="shared" si="5"/>
        <v>0</v>
      </c>
      <c r="AC10" s="70">
        <f t="shared" si="3"/>
        <v>0</v>
      </c>
      <c r="AD10" s="105"/>
      <c r="AE10" s="105"/>
    </row>
    <row r="11" spans="1:31" s="22" customFormat="1" ht="21" customHeight="1">
      <c r="A11" s="73"/>
      <c r="B11" s="74"/>
      <c r="C11" s="59">
        <v>4300</v>
      </c>
      <c r="D11" s="36" t="s">
        <v>103</v>
      </c>
      <c r="E11" s="70">
        <v>300000</v>
      </c>
      <c r="F11" s="70"/>
      <c r="G11" s="70">
        <f>SUM(E11:F11)</f>
        <v>300000</v>
      </c>
      <c r="H11" s="70"/>
      <c r="I11" s="70">
        <f>SUM(G11:H11)</f>
        <v>300000</v>
      </c>
      <c r="J11" s="70"/>
      <c r="K11" s="70">
        <f>SUM(I11:J11)</f>
        <v>300000</v>
      </c>
      <c r="L11" s="70"/>
      <c r="M11" s="70">
        <f>SUM(K11:L11)</f>
        <v>300000</v>
      </c>
      <c r="N11" s="70"/>
      <c r="O11" s="70">
        <f>SUM(M11:N11)</f>
        <v>300000</v>
      </c>
      <c r="P11" s="70"/>
      <c r="Q11" s="70">
        <f>SUM(O11:P11)</f>
        <v>300000</v>
      </c>
      <c r="R11" s="70"/>
      <c r="S11" s="70">
        <f>SUM(Q11:R11)</f>
        <v>300000</v>
      </c>
      <c r="T11" s="70"/>
      <c r="U11" s="70">
        <f>SUM(S11:T11)</f>
        <v>300000</v>
      </c>
      <c r="V11" s="70">
        <v>-300000</v>
      </c>
      <c r="W11" s="70">
        <f>SUM(U11:V11)</f>
        <v>0</v>
      </c>
      <c r="X11" s="70"/>
      <c r="Y11" s="70">
        <f>SUM(W11:X11)</f>
        <v>0</v>
      </c>
      <c r="Z11" s="70"/>
      <c r="AA11" s="70">
        <f t="shared" si="2"/>
        <v>0</v>
      </c>
      <c r="AB11" s="70"/>
      <c r="AC11" s="70">
        <f t="shared" si="3"/>
        <v>0</v>
      </c>
      <c r="AD11" s="105"/>
      <c r="AE11" s="105"/>
    </row>
    <row r="12" spans="1:31" s="22" customFormat="1" ht="24">
      <c r="A12" s="73"/>
      <c r="B12" s="74" t="s">
        <v>325</v>
      </c>
      <c r="C12" s="59"/>
      <c r="D12" s="36" t="s">
        <v>326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>
        <f aca="true" t="shared" si="6" ref="U12:AB12">SUM(U13)</f>
        <v>0</v>
      </c>
      <c r="V12" s="70">
        <f t="shared" si="6"/>
        <v>300000</v>
      </c>
      <c r="W12" s="70">
        <f t="shared" si="6"/>
        <v>300000</v>
      </c>
      <c r="X12" s="70">
        <f t="shared" si="6"/>
        <v>0</v>
      </c>
      <c r="Y12" s="70">
        <f t="shared" si="6"/>
        <v>300000</v>
      </c>
      <c r="Z12" s="70">
        <f t="shared" si="6"/>
        <v>0</v>
      </c>
      <c r="AA12" s="70">
        <f t="shared" si="2"/>
        <v>300000</v>
      </c>
      <c r="AB12" s="70">
        <f t="shared" si="6"/>
        <v>0</v>
      </c>
      <c r="AC12" s="70">
        <f t="shared" si="3"/>
        <v>300000</v>
      </c>
      <c r="AD12" s="105"/>
      <c r="AE12" s="105"/>
    </row>
    <row r="13" spans="1:31" s="22" customFormat="1" ht="21" customHeight="1">
      <c r="A13" s="73"/>
      <c r="B13" s="74"/>
      <c r="C13" s="59">
        <v>4300</v>
      </c>
      <c r="D13" s="36" t="s">
        <v>103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>
        <v>0</v>
      </c>
      <c r="V13" s="70">
        <v>300000</v>
      </c>
      <c r="W13" s="70">
        <f>SUM(U13:V13)</f>
        <v>300000</v>
      </c>
      <c r="X13" s="70"/>
      <c r="Y13" s="70">
        <f>SUM(W13:X13)</f>
        <v>300000</v>
      </c>
      <c r="Z13" s="70"/>
      <c r="AA13" s="70">
        <f t="shared" si="2"/>
        <v>300000</v>
      </c>
      <c r="AB13" s="70"/>
      <c r="AC13" s="70">
        <f t="shared" si="3"/>
        <v>300000</v>
      </c>
      <c r="AD13" s="105"/>
      <c r="AE13" s="105"/>
    </row>
    <row r="14" spans="1:31" s="22" customFormat="1" ht="21" customHeight="1">
      <c r="A14" s="73"/>
      <c r="B14" s="74" t="s">
        <v>289</v>
      </c>
      <c r="C14" s="59"/>
      <c r="D14" s="36" t="s">
        <v>17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>
        <f aca="true" t="shared" si="7" ref="S14:Z14">SUM(S15:S18)</f>
        <v>0</v>
      </c>
      <c r="T14" s="70">
        <f t="shared" si="7"/>
        <v>192361</v>
      </c>
      <c r="U14" s="70">
        <f t="shared" si="7"/>
        <v>192361</v>
      </c>
      <c r="V14" s="70">
        <f t="shared" si="7"/>
        <v>0</v>
      </c>
      <c r="W14" s="70">
        <f t="shared" si="7"/>
        <v>192361</v>
      </c>
      <c r="X14" s="70">
        <f t="shared" si="7"/>
        <v>0</v>
      </c>
      <c r="Y14" s="70">
        <f t="shared" si="7"/>
        <v>192361</v>
      </c>
      <c r="Z14" s="70">
        <f t="shared" si="7"/>
        <v>0</v>
      </c>
      <c r="AA14" s="70">
        <f t="shared" si="2"/>
        <v>192361</v>
      </c>
      <c r="AB14" s="70">
        <f>SUM(AB15:AB19)</f>
        <v>224360</v>
      </c>
      <c r="AC14" s="70">
        <f>SUM(AC15:AC19)</f>
        <v>416721</v>
      </c>
      <c r="AD14" s="105"/>
      <c r="AE14" s="105"/>
    </row>
    <row r="15" spans="1:31" s="22" customFormat="1" ht="21" customHeight="1">
      <c r="A15" s="73"/>
      <c r="B15" s="74"/>
      <c r="C15" s="59">
        <v>4210</v>
      </c>
      <c r="D15" s="36" t="s">
        <v>96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>
        <v>0</v>
      </c>
      <c r="T15" s="70">
        <v>772</v>
      </c>
      <c r="U15" s="70">
        <f>SUM(S15:T15)</f>
        <v>772</v>
      </c>
      <c r="V15" s="70"/>
      <c r="W15" s="70">
        <f>SUM(U15:V15)</f>
        <v>772</v>
      </c>
      <c r="X15" s="70"/>
      <c r="Y15" s="70">
        <f>SUM(W15:X15)</f>
        <v>772</v>
      </c>
      <c r="Z15" s="70"/>
      <c r="AA15" s="70">
        <f t="shared" si="2"/>
        <v>772</v>
      </c>
      <c r="AB15" s="70">
        <v>900</v>
      </c>
      <c r="AC15" s="70">
        <f t="shared" si="3"/>
        <v>1672</v>
      </c>
      <c r="AD15" s="105"/>
      <c r="AE15" s="105"/>
    </row>
    <row r="16" spans="1:31" s="22" customFormat="1" ht="21" customHeight="1">
      <c r="A16" s="73"/>
      <c r="B16" s="74"/>
      <c r="C16" s="59">
        <v>4300</v>
      </c>
      <c r="D16" s="36" t="s">
        <v>103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>
        <v>0</v>
      </c>
      <c r="T16" s="70">
        <v>1000</v>
      </c>
      <c r="U16" s="70">
        <f>SUM(S16:T16)</f>
        <v>1000</v>
      </c>
      <c r="V16" s="70"/>
      <c r="W16" s="70">
        <f>SUM(U16:V16)</f>
        <v>1000</v>
      </c>
      <c r="X16" s="70"/>
      <c r="Y16" s="70">
        <f>SUM(W16:X16)</f>
        <v>1000</v>
      </c>
      <c r="Z16" s="70"/>
      <c r="AA16" s="70">
        <f t="shared" si="2"/>
        <v>1000</v>
      </c>
      <c r="AB16" s="70">
        <v>2599</v>
      </c>
      <c r="AC16" s="70">
        <f t="shared" si="3"/>
        <v>3599</v>
      </c>
      <c r="AD16" s="105"/>
      <c r="AE16" s="105"/>
    </row>
    <row r="17" spans="1:31" s="22" customFormat="1" ht="21" customHeight="1">
      <c r="A17" s="73"/>
      <c r="B17" s="74"/>
      <c r="C17" s="59">
        <v>4430</v>
      </c>
      <c r="D17" s="36" t="s">
        <v>118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>
        <v>0</v>
      </c>
      <c r="T17" s="70">
        <v>188589</v>
      </c>
      <c r="U17" s="70">
        <f>SUM(S17:T17)</f>
        <v>188589</v>
      </c>
      <c r="V17" s="70"/>
      <c r="W17" s="70">
        <f>SUM(U17:V17)</f>
        <v>188589</v>
      </c>
      <c r="X17" s="70"/>
      <c r="Y17" s="70">
        <f>SUM(W17:X17)</f>
        <v>188589</v>
      </c>
      <c r="Z17" s="70"/>
      <c r="AA17" s="70">
        <f t="shared" si="2"/>
        <v>188589</v>
      </c>
      <c r="AB17" s="70">
        <v>219961</v>
      </c>
      <c r="AC17" s="70">
        <f t="shared" si="3"/>
        <v>408550</v>
      </c>
      <c r="AD17" s="105"/>
      <c r="AE17" s="105"/>
    </row>
    <row r="18" spans="1:31" s="22" customFormat="1" ht="24">
      <c r="A18" s="73"/>
      <c r="B18" s="74"/>
      <c r="C18" s="59">
        <v>4740</v>
      </c>
      <c r="D18" s="36" t="s">
        <v>270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>
        <v>0</v>
      </c>
      <c r="T18" s="70">
        <v>2000</v>
      </c>
      <c r="U18" s="70">
        <f>SUM(S18:T18)</f>
        <v>2000</v>
      </c>
      <c r="V18" s="70"/>
      <c r="W18" s="70">
        <f>SUM(U18:V18)</f>
        <v>2000</v>
      </c>
      <c r="X18" s="70"/>
      <c r="Y18" s="70">
        <f>SUM(W18:X18)</f>
        <v>2000</v>
      </c>
      <c r="Z18" s="70"/>
      <c r="AA18" s="70">
        <f t="shared" si="2"/>
        <v>2000</v>
      </c>
      <c r="AB18" s="70">
        <v>300</v>
      </c>
      <c r="AC18" s="70">
        <f t="shared" si="3"/>
        <v>2300</v>
      </c>
      <c r="AD18" s="105"/>
      <c r="AE18" s="105"/>
    </row>
    <row r="19" spans="1:31" s="22" customFormat="1" ht="26.25" customHeight="1">
      <c r="A19" s="73"/>
      <c r="B19" s="74"/>
      <c r="C19" s="59">
        <v>4750</v>
      </c>
      <c r="D19" s="36" t="s">
        <v>277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>
        <v>0</v>
      </c>
      <c r="AB19" s="70">
        <v>600</v>
      </c>
      <c r="AC19" s="70">
        <f t="shared" si="3"/>
        <v>600</v>
      </c>
      <c r="AD19" s="105"/>
      <c r="AE19" s="105"/>
    </row>
    <row r="20" spans="1:31" s="38" customFormat="1" ht="21" customHeight="1">
      <c r="A20" s="121" t="s">
        <v>407</v>
      </c>
      <c r="B20" s="122"/>
      <c r="C20" s="49"/>
      <c r="D20" s="34" t="s">
        <v>8</v>
      </c>
      <c r="E20" s="35">
        <f aca="true" t="shared" si="8" ref="E20:N21">SUM(E21)</f>
        <v>0</v>
      </c>
      <c r="F20" s="35">
        <f t="shared" si="8"/>
        <v>20000</v>
      </c>
      <c r="G20" s="35">
        <f t="shared" si="8"/>
        <v>20000</v>
      </c>
      <c r="H20" s="35">
        <f t="shared" si="8"/>
        <v>0</v>
      </c>
      <c r="I20" s="35">
        <f t="shared" si="8"/>
        <v>20000</v>
      </c>
      <c r="J20" s="35">
        <f t="shared" si="8"/>
        <v>0</v>
      </c>
      <c r="K20" s="35">
        <f t="shared" si="8"/>
        <v>20000</v>
      </c>
      <c r="L20" s="35">
        <f t="shared" si="8"/>
        <v>0</v>
      </c>
      <c r="M20" s="35">
        <f t="shared" si="8"/>
        <v>20000</v>
      </c>
      <c r="N20" s="35">
        <f t="shared" si="8"/>
        <v>0</v>
      </c>
      <c r="O20" s="35">
        <f aca="true" t="shared" si="9" ref="O20:X21">SUM(O21)</f>
        <v>20000</v>
      </c>
      <c r="P20" s="35">
        <f t="shared" si="9"/>
        <v>0</v>
      </c>
      <c r="Q20" s="35">
        <f t="shared" si="9"/>
        <v>20000</v>
      </c>
      <c r="R20" s="35">
        <f t="shared" si="9"/>
        <v>0</v>
      </c>
      <c r="S20" s="35">
        <f t="shared" si="9"/>
        <v>20000</v>
      </c>
      <c r="T20" s="35">
        <f t="shared" si="9"/>
        <v>0</v>
      </c>
      <c r="U20" s="35">
        <f t="shared" si="9"/>
        <v>20000</v>
      </c>
      <c r="V20" s="35">
        <f t="shared" si="9"/>
        <v>0</v>
      </c>
      <c r="W20" s="35">
        <f t="shared" si="9"/>
        <v>20000</v>
      </c>
      <c r="X20" s="35">
        <f t="shared" si="9"/>
        <v>-20000</v>
      </c>
      <c r="Y20" s="35">
        <f>SUM(Y21)</f>
        <v>0</v>
      </c>
      <c r="Z20" s="35">
        <f>SUM(Z21)</f>
        <v>0</v>
      </c>
      <c r="AA20" s="35">
        <f t="shared" si="2"/>
        <v>0</v>
      </c>
      <c r="AB20" s="35">
        <f>SUM(AB21)</f>
        <v>0</v>
      </c>
      <c r="AC20" s="35">
        <f t="shared" si="3"/>
        <v>0</v>
      </c>
      <c r="AD20" s="37"/>
      <c r="AE20" s="37"/>
    </row>
    <row r="21" spans="1:31" s="22" customFormat="1" ht="21" customHeight="1">
      <c r="A21" s="73"/>
      <c r="B21" s="74" t="s">
        <v>408</v>
      </c>
      <c r="C21" s="59"/>
      <c r="D21" s="36" t="s">
        <v>17</v>
      </c>
      <c r="E21" s="70">
        <f t="shared" si="8"/>
        <v>0</v>
      </c>
      <c r="F21" s="70">
        <f t="shared" si="8"/>
        <v>20000</v>
      </c>
      <c r="G21" s="70">
        <f t="shared" si="8"/>
        <v>20000</v>
      </c>
      <c r="H21" s="70">
        <f t="shared" si="8"/>
        <v>0</v>
      </c>
      <c r="I21" s="70">
        <f t="shared" si="8"/>
        <v>20000</v>
      </c>
      <c r="J21" s="70">
        <f t="shared" si="8"/>
        <v>0</v>
      </c>
      <c r="K21" s="70">
        <f t="shared" si="8"/>
        <v>20000</v>
      </c>
      <c r="L21" s="70">
        <f t="shared" si="8"/>
        <v>0</v>
      </c>
      <c r="M21" s="70">
        <f t="shared" si="8"/>
        <v>20000</v>
      </c>
      <c r="N21" s="70">
        <f t="shared" si="8"/>
        <v>0</v>
      </c>
      <c r="O21" s="70">
        <f t="shared" si="9"/>
        <v>20000</v>
      </c>
      <c r="P21" s="70">
        <f t="shared" si="9"/>
        <v>0</v>
      </c>
      <c r="Q21" s="70">
        <f t="shared" si="9"/>
        <v>20000</v>
      </c>
      <c r="R21" s="70">
        <f t="shared" si="9"/>
        <v>0</v>
      </c>
      <c r="S21" s="70">
        <f t="shared" si="9"/>
        <v>20000</v>
      </c>
      <c r="T21" s="70">
        <f t="shared" si="9"/>
        <v>0</v>
      </c>
      <c r="U21" s="70">
        <f t="shared" si="9"/>
        <v>20000</v>
      </c>
      <c r="V21" s="70">
        <f t="shared" si="9"/>
        <v>0</v>
      </c>
      <c r="W21" s="70">
        <f t="shared" si="9"/>
        <v>20000</v>
      </c>
      <c r="X21" s="70">
        <f t="shared" si="9"/>
        <v>-20000</v>
      </c>
      <c r="Y21" s="70">
        <f>SUM(Y22)</f>
        <v>0</v>
      </c>
      <c r="Z21" s="70">
        <f>SUM(Z22)</f>
        <v>0</v>
      </c>
      <c r="AA21" s="70">
        <f t="shared" si="2"/>
        <v>0</v>
      </c>
      <c r="AB21" s="70">
        <f>SUM(AB22)</f>
        <v>0</v>
      </c>
      <c r="AC21" s="70">
        <f t="shared" si="3"/>
        <v>0</v>
      </c>
      <c r="AD21" s="105"/>
      <c r="AE21" s="105"/>
    </row>
    <row r="22" spans="1:33" s="22" customFormat="1" ht="21" customHeight="1">
      <c r="A22" s="73"/>
      <c r="B22" s="74"/>
      <c r="C22" s="56">
        <v>6050</v>
      </c>
      <c r="D22" s="36" t="s">
        <v>97</v>
      </c>
      <c r="E22" s="70">
        <v>0</v>
      </c>
      <c r="F22" s="70">
        <v>20000</v>
      </c>
      <c r="G22" s="70">
        <f>SUM(E22:F22)</f>
        <v>20000</v>
      </c>
      <c r="H22" s="70"/>
      <c r="I22" s="70">
        <f>SUM(G22:H22)</f>
        <v>20000</v>
      </c>
      <c r="J22" s="70"/>
      <c r="K22" s="70">
        <f>SUM(I22:J22)</f>
        <v>20000</v>
      </c>
      <c r="L22" s="70"/>
      <c r="M22" s="70">
        <f>SUM(K22:L22)</f>
        <v>20000</v>
      </c>
      <c r="N22" s="70"/>
      <c r="O22" s="70">
        <f>SUM(M22:N22)</f>
        <v>20000</v>
      </c>
      <c r="P22" s="70"/>
      <c r="Q22" s="70">
        <f>SUM(O22:P22)</f>
        <v>20000</v>
      </c>
      <c r="R22" s="70"/>
      <c r="S22" s="70">
        <f>SUM(Q22:R22)</f>
        <v>20000</v>
      </c>
      <c r="T22" s="70"/>
      <c r="U22" s="70">
        <f>SUM(S22:T22)</f>
        <v>20000</v>
      </c>
      <c r="V22" s="70"/>
      <c r="W22" s="70">
        <f>SUM(U22:V22)</f>
        <v>20000</v>
      </c>
      <c r="X22" s="70">
        <v>-20000</v>
      </c>
      <c r="Y22" s="70">
        <f>SUM(W22:X22)</f>
        <v>0</v>
      </c>
      <c r="Z22" s="70"/>
      <c r="AA22" s="70">
        <f t="shared" si="2"/>
        <v>0</v>
      </c>
      <c r="AB22" s="70"/>
      <c r="AC22" s="70">
        <f t="shared" si="3"/>
        <v>0</v>
      </c>
      <c r="AD22" s="105"/>
      <c r="AE22" s="105"/>
      <c r="AF22" s="105"/>
      <c r="AG22" s="105"/>
    </row>
    <row r="23" spans="1:31" s="5" customFormat="1" ht="24.75" customHeight="1">
      <c r="A23" s="31" t="s">
        <v>98</v>
      </c>
      <c r="B23" s="32"/>
      <c r="C23" s="33"/>
      <c r="D23" s="34" t="s">
        <v>99</v>
      </c>
      <c r="E23" s="35">
        <f aca="true" t="shared" si="10" ref="E23:N23">E28</f>
        <v>3755700</v>
      </c>
      <c r="F23" s="35">
        <f t="shared" si="10"/>
        <v>-4000</v>
      </c>
      <c r="G23" s="35">
        <f t="shared" si="10"/>
        <v>3751700</v>
      </c>
      <c r="H23" s="35">
        <f t="shared" si="10"/>
        <v>0</v>
      </c>
      <c r="I23" s="35">
        <f t="shared" si="10"/>
        <v>3751700</v>
      </c>
      <c r="J23" s="35">
        <f t="shared" si="10"/>
        <v>215000</v>
      </c>
      <c r="K23" s="35">
        <f t="shared" si="10"/>
        <v>3966700</v>
      </c>
      <c r="L23" s="35">
        <f t="shared" si="10"/>
        <v>0</v>
      </c>
      <c r="M23" s="35">
        <f t="shared" si="10"/>
        <v>3966700</v>
      </c>
      <c r="N23" s="35">
        <f t="shared" si="10"/>
        <v>0</v>
      </c>
      <c r="O23" s="35">
        <f>SUM(O28)</f>
        <v>3966700</v>
      </c>
      <c r="P23" s="35">
        <f>SUM(P28)</f>
        <v>1455030</v>
      </c>
      <c r="Q23" s="35">
        <f>SUM(Q28)</f>
        <v>5421730</v>
      </c>
      <c r="R23" s="35">
        <f>SUM(R28)</f>
        <v>0</v>
      </c>
      <c r="S23" s="35">
        <f>SUM(S28,S24)</f>
        <v>5421730</v>
      </c>
      <c r="T23" s="35">
        <f>SUM(T28,T24)</f>
        <v>1083492</v>
      </c>
      <c r="U23" s="35">
        <f>SUM(U28,U24)</f>
        <v>6505222</v>
      </c>
      <c r="V23" s="35">
        <f>SUM(V28,V24)</f>
        <v>0</v>
      </c>
      <c r="W23" s="35">
        <f>SUM(W28,W24,W26)</f>
        <v>6505222</v>
      </c>
      <c r="X23" s="35">
        <f>SUM(X28,X24,X26)</f>
        <v>2794195</v>
      </c>
      <c r="Y23" s="35">
        <f>SUM(Y28,Y24,Y26)</f>
        <v>9299417</v>
      </c>
      <c r="Z23" s="35">
        <f>SUM(Z28,Z24,Z26)</f>
        <v>170585</v>
      </c>
      <c r="AA23" s="35">
        <f t="shared" si="2"/>
        <v>9470002</v>
      </c>
      <c r="AB23" s="35">
        <f>SUM(AB28,AB24,AB26)</f>
        <v>0</v>
      </c>
      <c r="AC23" s="35">
        <f t="shared" si="3"/>
        <v>9470002</v>
      </c>
      <c r="AD23" s="130"/>
      <c r="AE23" s="130"/>
    </row>
    <row r="24" spans="1:31" s="22" customFormat="1" ht="24.75" customHeight="1">
      <c r="A24" s="56"/>
      <c r="B24" s="77">
        <v>60013</v>
      </c>
      <c r="C24" s="76"/>
      <c r="D24" s="36" t="s">
        <v>38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>
        <f aca="true" t="shared" si="11" ref="S24:AB24">SUM(S25)</f>
        <v>0</v>
      </c>
      <c r="T24" s="70">
        <f t="shared" si="11"/>
        <v>80000</v>
      </c>
      <c r="U24" s="70">
        <f t="shared" si="11"/>
        <v>80000</v>
      </c>
      <c r="V24" s="70">
        <f t="shared" si="11"/>
        <v>0</v>
      </c>
      <c r="W24" s="70">
        <f t="shared" si="11"/>
        <v>80000</v>
      </c>
      <c r="X24" s="70">
        <f t="shared" si="11"/>
        <v>0</v>
      </c>
      <c r="Y24" s="70">
        <f t="shared" si="11"/>
        <v>80000</v>
      </c>
      <c r="Z24" s="70">
        <f t="shared" si="11"/>
        <v>0</v>
      </c>
      <c r="AA24" s="70">
        <f t="shared" si="2"/>
        <v>80000</v>
      </c>
      <c r="AB24" s="70">
        <f t="shared" si="11"/>
        <v>0</v>
      </c>
      <c r="AC24" s="70">
        <f t="shared" si="3"/>
        <v>80000</v>
      </c>
      <c r="AD24" s="105"/>
      <c r="AE24" s="105"/>
    </row>
    <row r="25" spans="1:33" s="22" customFormat="1" ht="46.5" customHeight="1">
      <c r="A25" s="56"/>
      <c r="B25" s="77"/>
      <c r="C25" s="76">
        <v>6300</v>
      </c>
      <c r="D25" s="36" t="s">
        <v>39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>
        <v>0</v>
      </c>
      <c r="T25" s="70">
        <v>80000</v>
      </c>
      <c r="U25" s="70">
        <f>SUM(S25:T25)</f>
        <v>80000</v>
      </c>
      <c r="V25" s="70"/>
      <c r="W25" s="70">
        <f>SUM(U25:V25)</f>
        <v>80000</v>
      </c>
      <c r="X25" s="70"/>
      <c r="Y25" s="70">
        <f>SUM(W25:X25)</f>
        <v>80000</v>
      </c>
      <c r="Z25" s="70"/>
      <c r="AA25" s="70">
        <f t="shared" si="2"/>
        <v>80000</v>
      </c>
      <c r="AB25" s="70"/>
      <c r="AC25" s="70">
        <f t="shared" si="3"/>
        <v>80000</v>
      </c>
      <c r="AD25" s="105"/>
      <c r="AE25" s="105"/>
      <c r="AF25" s="105"/>
      <c r="AG25" s="105"/>
    </row>
    <row r="26" spans="1:33" s="22" customFormat="1" ht="22.5" customHeight="1">
      <c r="A26" s="56"/>
      <c r="B26" s="77">
        <v>60014</v>
      </c>
      <c r="C26" s="76"/>
      <c r="D26" s="36" t="s">
        <v>370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>
        <f>SUM(W27)</f>
        <v>0</v>
      </c>
      <c r="X26" s="70">
        <f>SUM(X27)</f>
        <v>128100</v>
      </c>
      <c r="Y26" s="70">
        <f>SUM(Y27)</f>
        <v>128100</v>
      </c>
      <c r="Z26" s="70">
        <f>SUM(Z27)</f>
        <v>0</v>
      </c>
      <c r="AA26" s="70">
        <f t="shared" si="2"/>
        <v>128100</v>
      </c>
      <c r="AB26" s="70">
        <f>SUM(AB27)</f>
        <v>0</v>
      </c>
      <c r="AC26" s="70">
        <f t="shared" si="3"/>
        <v>128100</v>
      </c>
      <c r="AD26" s="105"/>
      <c r="AE26" s="105"/>
      <c r="AF26" s="105"/>
      <c r="AG26" s="105"/>
    </row>
    <row r="27" spans="1:33" s="22" customFormat="1" ht="47.25" customHeight="1">
      <c r="A27" s="56"/>
      <c r="B27" s="77"/>
      <c r="C27" s="76">
        <v>6300</v>
      </c>
      <c r="D27" s="36" t="s">
        <v>39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>
        <v>0</v>
      </c>
      <c r="X27" s="70">
        <f>34500+20000+51200+22400</f>
        <v>128100</v>
      </c>
      <c r="Y27" s="70">
        <f>SUM(W27:X27)</f>
        <v>128100</v>
      </c>
      <c r="Z27" s="70"/>
      <c r="AA27" s="70">
        <f t="shared" si="2"/>
        <v>128100</v>
      </c>
      <c r="AB27" s="70"/>
      <c r="AC27" s="70">
        <f t="shared" si="3"/>
        <v>128100</v>
      </c>
      <c r="AD27" s="105"/>
      <c r="AE27" s="105"/>
      <c r="AF27" s="105"/>
      <c r="AG27" s="105"/>
    </row>
    <row r="28" spans="1:31" s="22" customFormat="1" ht="21.75" customHeight="1">
      <c r="A28" s="56"/>
      <c r="B28" s="72" t="s">
        <v>100</v>
      </c>
      <c r="C28" s="76"/>
      <c r="D28" s="36" t="s">
        <v>101</v>
      </c>
      <c r="E28" s="70">
        <f aca="true" t="shared" si="12" ref="E28:Z28">SUM(E29:E33)</f>
        <v>3755700</v>
      </c>
      <c r="F28" s="70">
        <f t="shared" si="12"/>
        <v>-4000</v>
      </c>
      <c r="G28" s="70">
        <f t="shared" si="12"/>
        <v>3751700</v>
      </c>
      <c r="H28" s="70">
        <f t="shared" si="12"/>
        <v>0</v>
      </c>
      <c r="I28" s="70">
        <f t="shared" si="12"/>
        <v>3751700</v>
      </c>
      <c r="J28" s="70">
        <f t="shared" si="12"/>
        <v>215000</v>
      </c>
      <c r="K28" s="70">
        <f t="shared" si="12"/>
        <v>3966700</v>
      </c>
      <c r="L28" s="70">
        <f t="shared" si="12"/>
        <v>0</v>
      </c>
      <c r="M28" s="70">
        <f t="shared" si="12"/>
        <v>3966700</v>
      </c>
      <c r="N28" s="70">
        <f t="shared" si="12"/>
        <v>0</v>
      </c>
      <c r="O28" s="70">
        <f t="shared" si="12"/>
        <v>3966700</v>
      </c>
      <c r="P28" s="70">
        <f t="shared" si="12"/>
        <v>1455030</v>
      </c>
      <c r="Q28" s="70">
        <f t="shared" si="12"/>
        <v>5421730</v>
      </c>
      <c r="R28" s="70">
        <f t="shared" si="12"/>
        <v>0</v>
      </c>
      <c r="S28" s="70">
        <f t="shared" si="12"/>
        <v>5421730</v>
      </c>
      <c r="T28" s="70">
        <f t="shared" si="12"/>
        <v>1003492</v>
      </c>
      <c r="U28" s="70">
        <f t="shared" si="12"/>
        <v>6425222</v>
      </c>
      <c r="V28" s="70">
        <f t="shared" si="12"/>
        <v>0</v>
      </c>
      <c r="W28" s="70">
        <f t="shared" si="12"/>
        <v>6425222</v>
      </c>
      <c r="X28" s="70">
        <f t="shared" si="12"/>
        <v>2666095</v>
      </c>
      <c r="Y28" s="70">
        <f t="shared" si="12"/>
        <v>9091317</v>
      </c>
      <c r="Z28" s="70">
        <f t="shared" si="12"/>
        <v>170585</v>
      </c>
      <c r="AA28" s="70">
        <f t="shared" si="2"/>
        <v>9261902</v>
      </c>
      <c r="AB28" s="70">
        <f>SUM(AB29:AB33)</f>
        <v>0</v>
      </c>
      <c r="AC28" s="70">
        <f t="shared" si="3"/>
        <v>9261902</v>
      </c>
      <c r="AD28" s="105"/>
      <c r="AE28" s="105"/>
    </row>
    <row r="29" spans="1:31" s="22" customFormat="1" ht="21.75" customHeight="1">
      <c r="A29" s="56"/>
      <c r="B29" s="77"/>
      <c r="C29" s="56">
        <v>4210</v>
      </c>
      <c r="D29" s="36" t="s">
        <v>96</v>
      </c>
      <c r="E29" s="70">
        <v>31780</v>
      </c>
      <c r="F29" s="70"/>
      <c r="G29" s="70">
        <f>SUM(E29:F29)</f>
        <v>31780</v>
      </c>
      <c r="H29" s="70"/>
      <c r="I29" s="70">
        <f>SUM(G29:H29)</f>
        <v>31780</v>
      </c>
      <c r="J29" s="70"/>
      <c r="K29" s="70">
        <f>SUM(I29:J29)</f>
        <v>31780</v>
      </c>
      <c r="L29" s="70"/>
      <c r="M29" s="70">
        <f>SUM(K29:L29)</f>
        <v>31780</v>
      </c>
      <c r="N29" s="70"/>
      <c r="O29" s="70">
        <f>SUM(M29:N29)</f>
        <v>31780</v>
      </c>
      <c r="P29" s="70"/>
      <c r="Q29" s="70">
        <f>SUM(O29:P29)</f>
        <v>31780</v>
      </c>
      <c r="R29" s="70"/>
      <c r="S29" s="70">
        <f>SUM(Q29:R29)</f>
        <v>31780</v>
      </c>
      <c r="T29" s="70">
        <v>-3008</v>
      </c>
      <c r="U29" s="70">
        <f>SUM(S29:T29)</f>
        <v>28772</v>
      </c>
      <c r="V29" s="70">
        <v>-500</v>
      </c>
      <c r="W29" s="70">
        <f>SUM(U29:V29)</f>
        <v>28272</v>
      </c>
      <c r="X29" s="70">
        <v>-1200</v>
      </c>
      <c r="Y29" s="70">
        <f>SUM(W29:X29)</f>
        <v>27072</v>
      </c>
      <c r="Z29" s="70">
        <v>14985</v>
      </c>
      <c r="AA29" s="70">
        <f t="shared" si="2"/>
        <v>42057</v>
      </c>
      <c r="AB29" s="70"/>
      <c r="AC29" s="70">
        <f t="shared" si="3"/>
        <v>42057</v>
      </c>
      <c r="AD29" s="105"/>
      <c r="AE29" s="105"/>
    </row>
    <row r="30" spans="1:31" s="22" customFormat="1" ht="21.75" customHeight="1">
      <c r="A30" s="56"/>
      <c r="B30" s="77"/>
      <c r="C30" s="56">
        <v>4270</v>
      </c>
      <c r="D30" s="36" t="s">
        <v>102</v>
      </c>
      <c r="E30" s="70">
        <f>110000+15000+25000</f>
        <v>150000</v>
      </c>
      <c r="F30" s="70"/>
      <c r="G30" s="70">
        <f>SUM(E30:F30)</f>
        <v>150000</v>
      </c>
      <c r="H30" s="70"/>
      <c r="I30" s="70">
        <f>SUM(G30:H30)</f>
        <v>150000</v>
      </c>
      <c r="J30" s="70"/>
      <c r="K30" s="70">
        <f>SUM(I30:J30)</f>
        <v>150000</v>
      </c>
      <c r="L30" s="70"/>
      <c r="M30" s="70">
        <f>SUM(K30:L30)</f>
        <v>150000</v>
      </c>
      <c r="N30" s="70"/>
      <c r="O30" s="70">
        <f>SUM(M30:N30)</f>
        <v>150000</v>
      </c>
      <c r="P30" s="70"/>
      <c r="Q30" s="70">
        <f>SUM(O30:P30)</f>
        <v>150000</v>
      </c>
      <c r="R30" s="70"/>
      <c r="S30" s="70">
        <f>SUM(Q30:R30)</f>
        <v>150000</v>
      </c>
      <c r="T30" s="70"/>
      <c r="U30" s="70">
        <f>SUM(S30:T30)</f>
        <v>150000</v>
      </c>
      <c r="V30" s="70"/>
      <c r="W30" s="70">
        <f>SUM(U30:V30)</f>
        <v>150000</v>
      </c>
      <c r="X30" s="70"/>
      <c r="Y30" s="70">
        <f>SUM(W30:X30)</f>
        <v>150000</v>
      </c>
      <c r="Z30" s="70"/>
      <c r="AA30" s="70">
        <f t="shared" si="2"/>
        <v>150000</v>
      </c>
      <c r="AB30" s="70"/>
      <c r="AC30" s="70">
        <f t="shared" si="3"/>
        <v>150000</v>
      </c>
      <c r="AD30" s="105"/>
      <c r="AE30" s="105"/>
    </row>
    <row r="31" spans="1:31" s="22" customFormat="1" ht="21.75" customHeight="1">
      <c r="A31" s="56"/>
      <c r="B31" s="77"/>
      <c r="C31" s="56">
        <v>4300</v>
      </c>
      <c r="D31" s="36" t="s">
        <v>103</v>
      </c>
      <c r="E31" s="70">
        <f>70000+80000+200000+51650</f>
        <v>401650</v>
      </c>
      <c r="F31" s="70">
        <v>100000</v>
      </c>
      <c r="G31" s="70">
        <f>SUM(E31:F31)</f>
        <v>501650</v>
      </c>
      <c r="H31" s="70"/>
      <c r="I31" s="70">
        <f>SUM(G31:H31)</f>
        <v>501650</v>
      </c>
      <c r="J31" s="70"/>
      <c r="K31" s="70">
        <f>SUM(I31:J31)</f>
        <v>501650</v>
      </c>
      <c r="L31" s="70"/>
      <c r="M31" s="70">
        <f>SUM(K31:L31)</f>
        <v>501650</v>
      </c>
      <c r="N31" s="70"/>
      <c r="O31" s="70">
        <f>SUM(M31:N31)</f>
        <v>501650</v>
      </c>
      <c r="P31" s="70">
        <f>-3600+9150</f>
        <v>5550</v>
      </c>
      <c r="Q31" s="70">
        <f>SUM(O31:P31)</f>
        <v>507200</v>
      </c>
      <c r="R31" s="70"/>
      <c r="S31" s="70">
        <f>SUM(Q31:R31)</f>
        <v>507200</v>
      </c>
      <c r="T31" s="60">
        <f>-2500+60000</f>
        <v>57500</v>
      </c>
      <c r="U31" s="70">
        <f>SUM(S31:T31)</f>
        <v>564700</v>
      </c>
      <c r="V31" s="60">
        <v>500</v>
      </c>
      <c r="W31" s="70">
        <f>SUM(U31:V31)</f>
        <v>565200</v>
      </c>
      <c r="X31" s="60">
        <v>2200</v>
      </c>
      <c r="Y31" s="70">
        <f>SUM(W31:X31)</f>
        <v>567400</v>
      </c>
      <c r="Z31" s="60">
        <v>47550</v>
      </c>
      <c r="AA31" s="70">
        <f t="shared" si="2"/>
        <v>614950</v>
      </c>
      <c r="AB31" s="60"/>
      <c r="AC31" s="70">
        <f t="shared" si="3"/>
        <v>614950</v>
      </c>
      <c r="AD31" s="105"/>
      <c r="AE31" s="105"/>
    </row>
    <row r="32" spans="1:33" s="22" customFormat="1" ht="21.75" customHeight="1">
      <c r="A32" s="56"/>
      <c r="B32" s="77"/>
      <c r="C32" s="56">
        <v>6050</v>
      </c>
      <c r="D32" s="36" t="s">
        <v>97</v>
      </c>
      <c r="E32" s="70">
        <f>1170000+150000+65000+615000+250000+346000+300000+25000+170000+66270</f>
        <v>3157270</v>
      </c>
      <c r="F32" s="70">
        <f>-265000-400000-250000-346000-100000-300000+300000+80000+15000+80000+20000+220000+40000+15000+144000+20000+30000+20000+20000+15000+190000+260000+90000+125000+60000+28000-150000-65000</f>
        <v>-104000</v>
      </c>
      <c r="G32" s="70">
        <f>SUM(E32:F32)</f>
        <v>3053270</v>
      </c>
      <c r="H32" s="70"/>
      <c r="I32" s="70">
        <f>SUM(G32:H32)</f>
        <v>3053270</v>
      </c>
      <c r="J32" s="70">
        <v>215000</v>
      </c>
      <c r="K32" s="70">
        <f>SUM(I32:J32)</f>
        <v>3268270</v>
      </c>
      <c r="L32" s="70"/>
      <c r="M32" s="70">
        <f>SUM(K32:L32)</f>
        <v>3268270</v>
      </c>
      <c r="N32" s="70"/>
      <c r="O32" s="70">
        <f>SUM(M32:N32)</f>
        <v>3268270</v>
      </c>
      <c r="P32" s="70">
        <f>252000+198000+550880-9150+30850+28900+100000+20000-13000-7000+128000+170000</f>
        <v>1449480</v>
      </c>
      <c r="Q32" s="70">
        <f>SUM(O32:P32)</f>
        <v>4717750</v>
      </c>
      <c r="R32" s="70"/>
      <c r="S32" s="70">
        <f>SUM(Q32:R32)</f>
        <v>4717750</v>
      </c>
      <c r="T32" s="70">
        <f>3000+178000+580000-230000+310000-310000+10000+48000-48000+5000+360000-120000+24000-24000+4000+97000+20000+25000+17000</f>
        <v>949000</v>
      </c>
      <c r="U32" s="70">
        <f>SUM(S32:T32)</f>
        <v>5666750</v>
      </c>
      <c r="V32" s="70"/>
      <c r="W32" s="70">
        <f>SUM(U32:V32)</f>
        <v>5666750</v>
      </c>
      <c r="X32" s="70">
        <f>284000+335000-20300+2000+4000+218000-15500+3795+32000-1400+141000-7500+343000-740880+1590880-177000-157000+819000+12000</f>
        <v>2665095</v>
      </c>
      <c r="Y32" s="70">
        <f>SUM(W32:X32)</f>
        <v>8331845</v>
      </c>
      <c r="Z32" s="70">
        <v>108050</v>
      </c>
      <c r="AA32" s="70">
        <f t="shared" si="2"/>
        <v>8439895</v>
      </c>
      <c r="AB32" s="70"/>
      <c r="AC32" s="70">
        <f t="shared" si="3"/>
        <v>8439895</v>
      </c>
      <c r="AD32" s="105"/>
      <c r="AE32" s="105"/>
      <c r="AF32" s="105"/>
      <c r="AG32" s="105"/>
    </row>
    <row r="33" spans="1:33" s="22" customFormat="1" ht="24">
      <c r="A33" s="56"/>
      <c r="B33" s="77"/>
      <c r="C33" s="56">
        <v>6060</v>
      </c>
      <c r="D33" s="36" t="s">
        <v>120</v>
      </c>
      <c r="E33" s="70">
        <v>15000</v>
      </c>
      <c r="F33" s="70"/>
      <c r="G33" s="70">
        <f>SUM(E33:F33)</f>
        <v>15000</v>
      </c>
      <c r="H33" s="70"/>
      <c r="I33" s="70">
        <f>SUM(G33:H33)</f>
        <v>15000</v>
      </c>
      <c r="J33" s="70"/>
      <c r="K33" s="70">
        <f>SUM(I33:J33)</f>
        <v>15000</v>
      </c>
      <c r="L33" s="70"/>
      <c r="M33" s="70">
        <f>SUM(K33:L33)</f>
        <v>15000</v>
      </c>
      <c r="N33" s="70"/>
      <c r="O33" s="70">
        <f>SUM(M33:N33)</f>
        <v>15000</v>
      </c>
      <c r="P33" s="70"/>
      <c r="Q33" s="70">
        <f>SUM(O33:P33)</f>
        <v>15000</v>
      </c>
      <c r="R33" s="70"/>
      <c r="S33" s="70">
        <f>SUM(Q33:R33)</f>
        <v>15000</v>
      </c>
      <c r="T33" s="70"/>
      <c r="U33" s="70">
        <f>SUM(S33:T33)</f>
        <v>15000</v>
      </c>
      <c r="V33" s="70"/>
      <c r="W33" s="70">
        <f>SUM(U33:V33)</f>
        <v>15000</v>
      </c>
      <c r="X33" s="70"/>
      <c r="Y33" s="70">
        <f>SUM(W33:X33)</f>
        <v>15000</v>
      </c>
      <c r="Z33" s="70"/>
      <c r="AA33" s="70">
        <f t="shared" si="2"/>
        <v>15000</v>
      </c>
      <c r="AB33" s="70"/>
      <c r="AC33" s="70">
        <f t="shared" si="3"/>
        <v>15000</v>
      </c>
      <c r="AD33" s="105"/>
      <c r="AE33" s="105"/>
      <c r="AF33" s="105"/>
      <c r="AG33" s="105"/>
    </row>
    <row r="34" spans="1:31" s="5" customFormat="1" ht="24.75" customHeight="1">
      <c r="A34" s="31" t="s">
        <v>19</v>
      </c>
      <c r="B34" s="32"/>
      <c r="C34" s="33"/>
      <c r="D34" s="34" t="s">
        <v>20</v>
      </c>
      <c r="E34" s="35">
        <f aca="true" t="shared" si="13" ref="E34:Z34">SUM(E35,E37,E46,E51)</f>
        <v>1261768</v>
      </c>
      <c r="F34" s="35">
        <f t="shared" si="13"/>
        <v>966400</v>
      </c>
      <c r="G34" s="35">
        <f t="shared" si="13"/>
        <v>2228168</v>
      </c>
      <c r="H34" s="35">
        <f t="shared" si="13"/>
        <v>52000</v>
      </c>
      <c r="I34" s="35">
        <f t="shared" si="13"/>
        <v>2280168</v>
      </c>
      <c r="J34" s="35">
        <f t="shared" si="13"/>
        <v>0</v>
      </c>
      <c r="K34" s="35">
        <f t="shared" si="13"/>
        <v>2280168</v>
      </c>
      <c r="L34" s="35">
        <f t="shared" si="13"/>
        <v>0</v>
      </c>
      <c r="M34" s="35">
        <f t="shared" si="13"/>
        <v>2280168</v>
      </c>
      <c r="N34" s="35">
        <f t="shared" si="13"/>
        <v>0</v>
      </c>
      <c r="O34" s="35">
        <f t="shared" si="13"/>
        <v>2280168</v>
      </c>
      <c r="P34" s="35">
        <f t="shared" si="13"/>
        <v>0</v>
      </c>
      <c r="Q34" s="35">
        <f t="shared" si="13"/>
        <v>2280168</v>
      </c>
      <c r="R34" s="35">
        <f t="shared" si="13"/>
        <v>3621</v>
      </c>
      <c r="S34" s="35">
        <f t="shared" si="13"/>
        <v>2283789</v>
      </c>
      <c r="T34" s="35">
        <f t="shared" si="13"/>
        <v>480000</v>
      </c>
      <c r="U34" s="35">
        <f t="shared" si="13"/>
        <v>2763789</v>
      </c>
      <c r="V34" s="35">
        <f t="shared" si="13"/>
        <v>0</v>
      </c>
      <c r="W34" s="35">
        <f t="shared" si="13"/>
        <v>2763789</v>
      </c>
      <c r="X34" s="35">
        <f t="shared" si="13"/>
        <v>187664</v>
      </c>
      <c r="Y34" s="35">
        <f t="shared" si="13"/>
        <v>2951453</v>
      </c>
      <c r="Z34" s="35">
        <f t="shared" si="13"/>
        <v>583576</v>
      </c>
      <c r="AA34" s="35">
        <f t="shared" si="2"/>
        <v>3535029</v>
      </c>
      <c r="AB34" s="35">
        <f>SUM(AB35,AB37,AB46,AB51)</f>
        <v>0</v>
      </c>
      <c r="AC34" s="35">
        <f t="shared" si="3"/>
        <v>3535029</v>
      </c>
      <c r="AD34" s="130"/>
      <c r="AE34" s="130"/>
    </row>
    <row r="35" spans="1:31" s="22" customFormat="1" ht="24.75" customHeight="1">
      <c r="A35" s="56"/>
      <c r="B35" s="77">
        <v>70004</v>
      </c>
      <c r="C35" s="76"/>
      <c r="D35" s="36" t="s">
        <v>236</v>
      </c>
      <c r="E35" s="70">
        <f aca="true" t="shared" si="14" ref="E35:AB35">SUM(E36)</f>
        <v>63000</v>
      </c>
      <c r="F35" s="70">
        <f t="shared" si="14"/>
        <v>0</v>
      </c>
      <c r="G35" s="70">
        <f t="shared" si="14"/>
        <v>63000</v>
      </c>
      <c r="H35" s="70">
        <f t="shared" si="14"/>
        <v>0</v>
      </c>
      <c r="I35" s="70">
        <f t="shared" si="14"/>
        <v>63000</v>
      </c>
      <c r="J35" s="70">
        <f t="shared" si="14"/>
        <v>0</v>
      </c>
      <c r="K35" s="70">
        <f t="shared" si="14"/>
        <v>63000</v>
      </c>
      <c r="L35" s="70">
        <f t="shared" si="14"/>
        <v>0</v>
      </c>
      <c r="M35" s="70">
        <f t="shared" si="14"/>
        <v>63000</v>
      </c>
      <c r="N35" s="70">
        <f t="shared" si="14"/>
        <v>0</v>
      </c>
      <c r="O35" s="70">
        <f t="shared" si="14"/>
        <v>63000</v>
      </c>
      <c r="P35" s="70">
        <f t="shared" si="14"/>
        <v>0</v>
      </c>
      <c r="Q35" s="70">
        <f t="shared" si="14"/>
        <v>63000</v>
      </c>
      <c r="R35" s="70">
        <f t="shared" si="14"/>
        <v>-18000</v>
      </c>
      <c r="S35" s="70">
        <f t="shared" si="14"/>
        <v>45000</v>
      </c>
      <c r="T35" s="70">
        <f t="shared" si="14"/>
        <v>0</v>
      </c>
      <c r="U35" s="70">
        <f t="shared" si="14"/>
        <v>45000</v>
      </c>
      <c r="V35" s="70">
        <f t="shared" si="14"/>
        <v>0</v>
      </c>
      <c r="W35" s="70">
        <f t="shared" si="14"/>
        <v>45000</v>
      </c>
      <c r="X35" s="70">
        <f t="shared" si="14"/>
        <v>-20000</v>
      </c>
      <c r="Y35" s="70">
        <f t="shared" si="14"/>
        <v>25000</v>
      </c>
      <c r="Z35" s="70">
        <f t="shared" si="14"/>
        <v>0</v>
      </c>
      <c r="AA35" s="70">
        <f t="shared" si="2"/>
        <v>25000</v>
      </c>
      <c r="AB35" s="70">
        <f t="shared" si="14"/>
        <v>0</v>
      </c>
      <c r="AC35" s="70">
        <f t="shared" si="3"/>
        <v>25000</v>
      </c>
      <c r="AD35" s="105"/>
      <c r="AE35" s="105"/>
    </row>
    <row r="36" spans="1:31" s="22" customFormat="1" ht="21.75" customHeight="1">
      <c r="A36" s="56"/>
      <c r="B36" s="77"/>
      <c r="C36" s="76">
        <v>4300</v>
      </c>
      <c r="D36" s="36" t="s">
        <v>103</v>
      </c>
      <c r="E36" s="70">
        <f>18000+45000</f>
        <v>63000</v>
      </c>
      <c r="F36" s="70"/>
      <c r="G36" s="70">
        <f>SUM(E36:F36)</f>
        <v>63000</v>
      </c>
      <c r="H36" s="70"/>
      <c r="I36" s="70">
        <f>SUM(G36:H36)</f>
        <v>63000</v>
      </c>
      <c r="J36" s="70"/>
      <c r="K36" s="70">
        <f>SUM(I36:J36)</f>
        <v>63000</v>
      </c>
      <c r="L36" s="70"/>
      <c r="M36" s="70">
        <f>SUM(K36:L36)</f>
        <v>63000</v>
      </c>
      <c r="N36" s="70"/>
      <c r="O36" s="70">
        <f>SUM(M36:N36)</f>
        <v>63000</v>
      </c>
      <c r="P36" s="70"/>
      <c r="Q36" s="70">
        <f>SUM(O36:P36)</f>
        <v>63000</v>
      </c>
      <c r="R36" s="70">
        <v>-18000</v>
      </c>
      <c r="S36" s="70">
        <f>SUM(Q36:R36)</f>
        <v>45000</v>
      </c>
      <c r="T36" s="70"/>
      <c r="U36" s="70">
        <f>SUM(S36:T36)</f>
        <v>45000</v>
      </c>
      <c r="V36" s="70"/>
      <c r="W36" s="70">
        <f>SUM(U36:V36)</f>
        <v>45000</v>
      </c>
      <c r="X36" s="70">
        <v>-20000</v>
      </c>
      <c r="Y36" s="70">
        <f>SUM(W36:X36)</f>
        <v>25000</v>
      </c>
      <c r="Z36" s="70"/>
      <c r="AA36" s="70">
        <f t="shared" si="2"/>
        <v>25000</v>
      </c>
      <c r="AB36" s="70"/>
      <c r="AC36" s="70">
        <f t="shared" si="3"/>
        <v>25000</v>
      </c>
      <c r="AD36" s="105"/>
      <c r="AE36" s="105"/>
    </row>
    <row r="37" spans="1:31" s="22" customFormat="1" ht="22.5" customHeight="1">
      <c r="A37" s="56"/>
      <c r="B37" s="72" t="s">
        <v>21</v>
      </c>
      <c r="C37" s="76"/>
      <c r="D37" s="36" t="s">
        <v>178</v>
      </c>
      <c r="E37" s="70">
        <f aca="true" t="shared" si="15" ref="E37:Z37">SUM(E38:E44)</f>
        <v>212808</v>
      </c>
      <c r="F37" s="70">
        <f t="shared" si="15"/>
        <v>976400</v>
      </c>
      <c r="G37" s="70">
        <f t="shared" si="15"/>
        <v>1189208</v>
      </c>
      <c r="H37" s="70">
        <f t="shared" si="15"/>
        <v>52000</v>
      </c>
      <c r="I37" s="70">
        <f t="shared" si="15"/>
        <v>1241208</v>
      </c>
      <c r="J37" s="70">
        <f t="shared" si="15"/>
        <v>0</v>
      </c>
      <c r="K37" s="70">
        <f t="shared" si="15"/>
        <v>1241208</v>
      </c>
      <c r="L37" s="70">
        <f t="shared" si="15"/>
        <v>0</v>
      </c>
      <c r="M37" s="70">
        <f t="shared" si="15"/>
        <v>1241208</v>
      </c>
      <c r="N37" s="70">
        <f t="shared" si="15"/>
        <v>0</v>
      </c>
      <c r="O37" s="70">
        <f t="shared" si="15"/>
        <v>1241208</v>
      </c>
      <c r="P37" s="70">
        <f t="shared" si="15"/>
        <v>0</v>
      </c>
      <c r="Q37" s="70">
        <f t="shared" si="15"/>
        <v>1241208</v>
      </c>
      <c r="R37" s="70">
        <f t="shared" si="15"/>
        <v>318000</v>
      </c>
      <c r="S37" s="70">
        <f t="shared" si="15"/>
        <v>1559208</v>
      </c>
      <c r="T37" s="70">
        <f t="shared" si="15"/>
        <v>80000</v>
      </c>
      <c r="U37" s="70">
        <f t="shared" si="15"/>
        <v>1639208</v>
      </c>
      <c r="V37" s="70">
        <f t="shared" si="15"/>
        <v>0</v>
      </c>
      <c r="W37" s="70">
        <f t="shared" si="15"/>
        <v>1639208</v>
      </c>
      <c r="X37" s="70">
        <f t="shared" si="15"/>
        <v>205164</v>
      </c>
      <c r="Y37" s="70">
        <f t="shared" si="15"/>
        <v>1844372</v>
      </c>
      <c r="Z37" s="70">
        <f t="shared" si="15"/>
        <v>0</v>
      </c>
      <c r="AA37" s="70">
        <f t="shared" si="2"/>
        <v>1844372</v>
      </c>
      <c r="AB37" s="70">
        <f>SUM(AB38:AB45)</f>
        <v>0</v>
      </c>
      <c r="AC37" s="70">
        <f t="shared" si="3"/>
        <v>1844372</v>
      </c>
      <c r="AD37" s="105"/>
      <c r="AE37" s="105"/>
    </row>
    <row r="38" spans="1:31" s="22" customFormat="1" ht="21.75" customHeight="1">
      <c r="A38" s="56"/>
      <c r="B38" s="72"/>
      <c r="C38" s="76">
        <v>4510</v>
      </c>
      <c r="D38" s="36" t="s">
        <v>175</v>
      </c>
      <c r="E38" s="70">
        <v>76</v>
      </c>
      <c r="F38" s="70"/>
      <c r="G38" s="70">
        <f>SUM(E38:F38)</f>
        <v>76</v>
      </c>
      <c r="H38" s="70"/>
      <c r="I38" s="70">
        <f>SUM(G38:H38)</f>
        <v>76</v>
      </c>
      <c r="J38" s="70"/>
      <c r="K38" s="70">
        <f>SUM(I38:J38)</f>
        <v>76</v>
      </c>
      <c r="L38" s="70"/>
      <c r="M38" s="70">
        <f>SUM(K38:L38)</f>
        <v>76</v>
      </c>
      <c r="N38" s="70"/>
      <c r="O38" s="70">
        <f>SUM(M38:N38)</f>
        <v>76</v>
      </c>
      <c r="P38" s="70"/>
      <c r="Q38" s="70">
        <f aca="true" t="shared" si="16" ref="Q38:Q44">SUM(O38:P38)</f>
        <v>76</v>
      </c>
      <c r="R38" s="70"/>
      <c r="S38" s="70">
        <f aca="true" t="shared" si="17" ref="S38:S44">SUM(Q38:R38)</f>
        <v>76</v>
      </c>
      <c r="T38" s="70"/>
      <c r="U38" s="70">
        <f aca="true" t="shared" si="18" ref="U38:U44">SUM(S38:T38)</f>
        <v>76</v>
      </c>
      <c r="V38" s="70">
        <v>689</v>
      </c>
      <c r="W38" s="70">
        <f aca="true" t="shared" si="19" ref="W38:W44">SUM(U38:V38)</f>
        <v>765</v>
      </c>
      <c r="X38" s="70"/>
      <c r="Y38" s="70">
        <f aca="true" t="shared" si="20" ref="Y38:Y44">SUM(W38:X38)</f>
        <v>765</v>
      </c>
      <c r="Z38" s="70"/>
      <c r="AA38" s="70">
        <f t="shared" si="2"/>
        <v>765</v>
      </c>
      <c r="AB38" s="70"/>
      <c r="AC38" s="70">
        <f t="shared" si="3"/>
        <v>765</v>
      </c>
      <c r="AD38" s="105"/>
      <c r="AE38" s="105"/>
    </row>
    <row r="39" spans="1:31" s="22" customFormat="1" ht="21.75" customHeight="1">
      <c r="A39" s="56"/>
      <c r="B39" s="72"/>
      <c r="C39" s="76">
        <v>4210</v>
      </c>
      <c r="D39" s="36" t="s">
        <v>96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>
        <v>0</v>
      </c>
      <c r="P39" s="70">
        <v>30000</v>
      </c>
      <c r="Q39" s="70">
        <f t="shared" si="16"/>
        <v>30000</v>
      </c>
      <c r="R39" s="70"/>
      <c r="S39" s="70">
        <f t="shared" si="17"/>
        <v>30000</v>
      </c>
      <c r="T39" s="70"/>
      <c r="U39" s="70">
        <f t="shared" si="18"/>
        <v>30000</v>
      </c>
      <c r="V39" s="70"/>
      <c r="W39" s="70">
        <f t="shared" si="19"/>
        <v>30000</v>
      </c>
      <c r="X39" s="70"/>
      <c r="Y39" s="70">
        <f t="shared" si="20"/>
        <v>30000</v>
      </c>
      <c r="Z39" s="70"/>
      <c r="AA39" s="70">
        <f t="shared" si="2"/>
        <v>30000</v>
      </c>
      <c r="AB39" s="70"/>
      <c r="AC39" s="70">
        <f t="shared" si="3"/>
        <v>30000</v>
      </c>
      <c r="AD39" s="105"/>
      <c r="AE39" s="105"/>
    </row>
    <row r="40" spans="1:31" s="22" customFormat="1" ht="21.75" customHeight="1">
      <c r="A40" s="56"/>
      <c r="B40" s="72"/>
      <c r="C40" s="76">
        <v>4260</v>
      </c>
      <c r="D40" s="36" t="s">
        <v>119</v>
      </c>
      <c r="E40" s="70">
        <v>0</v>
      </c>
      <c r="F40" s="70">
        <f>10000+6000</f>
        <v>16000</v>
      </c>
      <c r="G40" s="70">
        <f>SUM(E40:F40)</f>
        <v>16000</v>
      </c>
      <c r="H40" s="70">
        <f>20000+9000</f>
        <v>29000</v>
      </c>
      <c r="I40" s="70">
        <f>SUM(G40:H40)</f>
        <v>45000</v>
      </c>
      <c r="J40" s="70"/>
      <c r="K40" s="70">
        <f>SUM(I40:J40)</f>
        <v>45000</v>
      </c>
      <c r="L40" s="70"/>
      <c r="M40" s="70">
        <f>SUM(K40:L40)</f>
        <v>45000</v>
      </c>
      <c r="N40" s="70"/>
      <c r="O40" s="70">
        <f>SUM(M40:N40)</f>
        <v>45000</v>
      </c>
      <c r="P40" s="70"/>
      <c r="Q40" s="70">
        <f t="shared" si="16"/>
        <v>45000</v>
      </c>
      <c r="R40" s="70">
        <f>5000+6000+6000</f>
        <v>17000</v>
      </c>
      <c r="S40" s="70">
        <f t="shared" si="17"/>
        <v>62000</v>
      </c>
      <c r="T40" s="70"/>
      <c r="U40" s="70">
        <f t="shared" si="18"/>
        <v>62000</v>
      </c>
      <c r="V40" s="70"/>
      <c r="W40" s="70">
        <f t="shared" si="19"/>
        <v>62000</v>
      </c>
      <c r="X40" s="70"/>
      <c r="Y40" s="70">
        <f t="shared" si="20"/>
        <v>62000</v>
      </c>
      <c r="Z40" s="70"/>
      <c r="AA40" s="70">
        <f t="shared" si="2"/>
        <v>62000</v>
      </c>
      <c r="AB40" s="70"/>
      <c r="AC40" s="70">
        <f t="shared" si="3"/>
        <v>62000</v>
      </c>
      <c r="AD40" s="105"/>
      <c r="AE40" s="105"/>
    </row>
    <row r="41" spans="1:31" s="22" customFormat="1" ht="21.75" customHeight="1">
      <c r="A41" s="56"/>
      <c r="B41" s="72"/>
      <c r="C41" s="76">
        <v>4270</v>
      </c>
      <c r="D41" s="36" t="s">
        <v>102</v>
      </c>
      <c r="E41" s="70">
        <v>0</v>
      </c>
      <c r="F41" s="70">
        <f>150000+350000</f>
        <v>500000</v>
      </c>
      <c r="G41" s="70">
        <f>SUM(E41:F41)</f>
        <v>500000</v>
      </c>
      <c r="H41" s="70"/>
      <c r="I41" s="70">
        <f>SUM(G41:H41)</f>
        <v>500000</v>
      </c>
      <c r="J41" s="70"/>
      <c r="K41" s="70">
        <f>SUM(I41:J41)</f>
        <v>500000</v>
      </c>
      <c r="L41" s="70"/>
      <c r="M41" s="70">
        <f>SUM(K41:L41)</f>
        <v>500000</v>
      </c>
      <c r="N41" s="70"/>
      <c r="O41" s="70">
        <f>SUM(M41:N41)</f>
        <v>500000</v>
      </c>
      <c r="P41" s="70">
        <f>-30000</f>
        <v>-30000</v>
      </c>
      <c r="Q41" s="70">
        <f t="shared" si="16"/>
        <v>470000</v>
      </c>
      <c r="R41" s="70">
        <v>94564</v>
      </c>
      <c r="S41" s="70">
        <f t="shared" si="17"/>
        <v>564564</v>
      </c>
      <c r="T41" s="70">
        <f>50000+5000+25000</f>
        <v>80000</v>
      </c>
      <c r="U41" s="70">
        <f t="shared" si="18"/>
        <v>644564</v>
      </c>
      <c r="V41" s="70"/>
      <c r="W41" s="70">
        <f t="shared" si="19"/>
        <v>644564</v>
      </c>
      <c r="X41" s="70"/>
      <c r="Y41" s="70">
        <f t="shared" si="20"/>
        <v>644564</v>
      </c>
      <c r="Z41" s="70"/>
      <c r="AA41" s="70">
        <f t="shared" si="2"/>
        <v>644564</v>
      </c>
      <c r="AB41" s="70"/>
      <c r="AC41" s="70">
        <f t="shared" si="3"/>
        <v>644564</v>
      </c>
      <c r="AD41" s="105"/>
      <c r="AE41" s="105"/>
    </row>
    <row r="42" spans="1:31" s="22" customFormat="1" ht="21.75" customHeight="1">
      <c r="A42" s="56"/>
      <c r="B42" s="77"/>
      <c r="C42" s="56">
        <v>4300</v>
      </c>
      <c r="D42" s="36" t="s">
        <v>103</v>
      </c>
      <c r="E42" s="70">
        <f>200000+12000+600</f>
        <v>212600</v>
      </c>
      <c r="F42" s="70">
        <f>376000+30000+10000+20000+10000</f>
        <v>446000</v>
      </c>
      <c r="G42" s="70">
        <f>SUM(E42:F42)</f>
        <v>658600</v>
      </c>
      <c r="H42" s="70">
        <f>18000+5000</f>
        <v>23000</v>
      </c>
      <c r="I42" s="70">
        <f>SUM(G42:H42)</f>
        <v>681600</v>
      </c>
      <c r="J42" s="70"/>
      <c r="K42" s="70">
        <f>SUM(I42:J42)</f>
        <v>681600</v>
      </c>
      <c r="L42" s="70"/>
      <c r="M42" s="70">
        <f>SUM(K42:L42)</f>
        <v>681600</v>
      </c>
      <c r="N42" s="70"/>
      <c r="O42" s="70">
        <f>SUM(M42:N42)</f>
        <v>681600</v>
      </c>
      <c r="P42" s="70"/>
      <c r="Q42" s="70">
        <f t="shared" si="16"/>
        <v>681600</v>
      </c>
      <c r="R42" s="70">
        <f>52000-376000</f>
        <v>-324000</v>
      </c>
      <c r="S42" s="70">
        <f t="shared" si="17"/>
        <v>357600</v>
      </c>
      <c r="T42" s="70"/>
      <c r="U42" s="70">
        <f t="shared" si="18"/>
        <v>357600</v>
      </c>
      <c r="V42" s="70">
        <v>-689</v>
      </c>
      <c r="W42" s="70">
        <f t="shared" si="19"/>
        <v>356911</v>
      </c>
      <c r="X42" s="70">
        <v>14000</v>
      </c>
      <c r="Y42" s="70">
        <f t="shared" si="20"/>
        <v>370911</v>
      </c>
      <c r="Z42" s="70"/>
      <c r="AA42" s="70">
        <f t="shared" si="2"/>
        <v>370911</v>
      </c>
      <c r="AB42" s="187"/>
      <c r="AC42" s="70">
        <f t="shared" si="3"/>
        <v>370911</v>
      </c>
      <c r="AD42" s="105"/>
      <c r="AE42" s="105"/>
    </row>
    <row r="43" spans="1:31" s="22" customFormat="1" ht="24">
      <c r="A43" s="56"/>
      <c r="B43" s="77"/>
      <c r="C43" s="56">
        <v>4400</v>
      </c>
      <c r="D43" s="36" t="s">
        <v>288</v>
      </c>
      <c r="E43" s="70">
        <v>0</v>
      </c>
      <c r="F43" s="70">
        <v>14400</v>
      </c>
      <c r="G43" s="70">
        <f>SUM(E43:F43)</f>
        <v>14400</v>
      </c>
      <c r="H43" s="70"/>
      <c r="I43" s="70">
        <f>SUM(G43:H43)</f>
        <v>14400</v>
      </c>
      <c r="J43" s="70"/>
      <c r="K43" s="70">
        <f>SUM(I43:J43)</f>
        <v>14400</v>
      </c>
      <c r="L43" s="70"/>
      <c r="M43" s="70">
        <f>SUM(K43:L43)</f>
        <v>14400</v>
      </c>
      <c r="N43" s="70"/>
      <c r="O43" s="70">
        <f>SUM(M43:N43)</f>
        <v>14400</v>
      </c>
      <c r="P43" s="70"/>
      <c r="Q43" s="70">
        <f t="shared" si="16"/>
        <v>14400</v>
      </c>
      <c r="R43" s="70">
        <f>18000+139440+156396+216600</f>
        <v>530436</v>
      </c>
      <c r="S43" s="70">
        <f t="shared" si="17"/>
        <v>544836</v>
      </c>
      <c r="T43" s="70"/>
      <c r="U43" s="70">
        <f t="shared" si="18"/>
        <v>544836</v>
      </c>
      <c r="V43" s="70"/>
      <c r="W43" s="70">
        <f t="shared" si="19"/>
        <v>544836</v>
      </c>
      <c r="X43" s="70">
        <v>191164</v>
      </c>
      <c r="Y43" s="70">
        <f t="shared" si="20"/>
        <v>736000</v>
      </c>
      <c r="Z43" s="70"/>
      <c r="AA43" s="70">
        <f t="shared" si="2"/>
        <v>736000</v>
      </c>
      <c r="AB43" s="187"/>
      <c r="AC43" s="70">
        <f t="shared" si="3"/>
        <v>736000</v>
      </c>
      <c r="AD43" s="105"/>
      <c r="AE43" s="105"/>
    </row>
    <row r="44" spans="1:31" s="22" customFormat="1" ht="21.75" customHeight="1">
      <c r="A44" s="56"/>
      <c r="B44" s="77"/>
      <c r="C44" s="56">
        <v>4480</v>
      </c>
      <c r="D44" s="36" t="s">
        <v>51</v>
      </c>
      <c r="E44" s="70">
        <v>132</v>
      </c>
      <c r="F44" s="70"/>
      <c r="G44" s="70">
        <f>SUM(E44:F44)</f>
        <v>132</v>
      </c>
      <c r="H44" s="70"/>
      <c r="I44" s="70">
        <f>SUM(G44:H44)</f>
        <v>132</v>
      </c>
      <c r="J44" s="70"/>
      <c r="K44" s="70">
        <f>SUM(I44:J44)</f>
        <v>132</v>
      </c>
      <c r="L44" s="70"/>
      <c r="M44" s="70">
        <f>SUM(K44:L44)</f>
        <v>132</v>
      </c>
      <c r="N44" s="70"/>
      <c r="O44" s="70">
        <f>SUM(M44:N44)</f>
        <v>132</v>
      </c>
      <c r="P44" s="70"/>
      <c r="Q44" s="70">
        <f t="shared" si="16"/>
        <v>132</v>
      </c>
      <c r="R44" s="70"/>
      <c r="S44" s="70">
        <f t="shared" si="17"/>
        <v>132</v>
      </c>
      <c r="T44" s="70"/>
      <c r="U44" s="70">
        <f t="shared" si="18"/>
        <v>132</v>
      </c>
      <c r="V44" s="70"/>
      <c r="W44" s="70">
        <f t="shared" si="19"/>
        <v>132</v>
      </c>
      <c r="X44" s="70"/>
      <c r="Y44" s="70">
        <f t="shared" si="20"/>
        <v>132</v>
      </c>
      <c r="Z44" s="70"/>
      <c r="AA44" s="70">
        <f t="shared" si="2"/>
        <v>132</v>
      </c>
      <c r="AB44" s="187"/>
      <c r="AC44" s="70">
        <f t="shared" si="3"/>
        <v>132</v>
      </c>
      <c r="AD44" s="105"/>
      <c r="AE44" s="105"/>
    </row>
    <row r="45" spans="1:31" s="22" customFormat="1" ht="21.75" customHeight="1">
      <c r="A45" s="56"/>
      <c r="B45" s="77"/>
      <c r="C45" s="56">
        <v>4610</v>
      </c>
      <c r="D45" s="36" t="s">
        <v>215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>
        <v>0</v>
      </c>
      <c r="AB45" s="187"/>
      <c r="AC45" s="70">
        <f t="shared" si="3"/>
        <v>0</v>
      </c>
      <c r="AD45" s="105"/>
      <c r="AE45" s="105"/>
    </row>
    <row r="46" spans="1:31" s="22" customFormat="1" ht="21.75" customHeight="1">
      <c r="A46" s="56"/>
      <c r="B46" s="77">
        <v>70021</v>
      </c>
      <c r="C46" s="56"/>
      <c r="D46" s="36" t="s">
        <v>214</v>
      </c>
      <c r="E46" s="70">
        <f aca="true" t="shared" si="21" ref="E46:AA46">SUM(E47:E50)</f>
        <v>300000</v>
      </c>
      <c r="F46" s="70">
        <f t="shared" si="21"/>
        <v>75000</v>
      </c>
      <c r="G46" s="70">
        <f t="shared" si="21"/>
        <v>375000</v>
      </c>
      <c r="H46" s="70">
        <f t="shared" si="21"/>
        <v>0</v>
      </c>
      <c r="I46" s="70">
        <f t="shared" si="21"/>
        <v>375000</v>
      </c>
      <c r="J46" s="70">
        <f t="shared" si="21"/>
        <v>0</v>
      </c>
      <c r="K46" s="70">
        <f t="shared" si="21"/>
        <v>375000</v>
      </c>
      <c r="L46" s="70">
        <f t="shared" si="21"/>
        <v>0</v>
      </c>
      <c r="M46" s="70">
        <f t="shared" si="21"/>
        <v>375000</v>
      </c>
      <c r="N46" s="70">
        <f t="shared" si="21"/>
        <v>0</v>
      </c>
      <c r="O46" s="70">
        <f t="shared" si="21"/>
        <v>375000</v>
      </c>
      <c r="P46" s="70">
        <f t="shared" si="21"/>
        <v>0</v>
      </c>
      <c r="Q46" s="70">
        <f t="shared" si="21"/>
        <v>375000</v>
      </c>
      <c r="R46" s="70">
        <f t="shared" si="21"/>
        <v>-300000</v>
      </c>
      <c r="S46" s="70">
        <f t="shared" si="21"/>
        <v>75000</v>
      </c>
      <c r="T46" s="70">
        <f t="shared" si="21"/>
        <v>0</v>
      </c>
      <c r="U46" s="70">
        <f t="shared" si="21"/>
        <v>75000</v>
      </c>
      <c r="V46" s="70">
        <f t="shared" si="21"/>
        <v>0</v>
      </c>
      <c r="W46" s="70">
        <f t="shared" si="21"/>
        <v>75000</v>
      </c>
      <c r="X46" s="70">
        <f t="shared" si="21"/>
        <v>0</v>
      </c>
      <c r="Y46" s="70">
        <f t="shared" si="21"/>
        <v>75000</v>
      </c>
      <c r="Z46" s="70">
        <f t="shared" si="21"/>
        <v>583571</v>
      </c>
      <c r="AA46" s="70">
        <f t="shared" si="21"/>
        <v>658571</v>
      </c>
      <c r="AB46" s="70">
        <f>SUM(AB47:AB50)</f>
        <v>0</v>
      </c>
      <c r="AC46" s="70">
        <f>SUM(AC47:AC50)</f>
        <v>658571</v>
      </c>
      <c r="AD46" s="105"/>
      <c r="AE46" s="105"/>
    </row>
    <row r="47" spans="1:31" s="22" customFormat="1" ht="21.75" customHeight="1" hidden="1">
      <c r="A47" s="56"/>
      <c r="B47" s="77"/>
      <c r="C47" s="56">
        <v>4270</v>
      </c>
      <c r="D47" s="36" t="s">
        <v>103</v>
      </c>
      <c r="E47" s="70">
        <v>300000</v>
      </c>
      <c r="F47" s="70"/>
      <c r="G47" s="70">
        <f>SUM(E47:F47)</f>
        <v>300000</v>
      </c>
      <c r="H47" s="70"/>
      <c r="I47" s="70">
        <f>SUM(G47:H47)</f>
        <v>300000</v>
      </c>
      <c r="J47" s="70"/>
      <c r="K47" s="70">
        <f>SUM(I47:J47)</f>
        <v>300000</v>
      </c>
      <c r="L47" s="70"/>
      <c r="M47" s="70">
        <f>SUM(K47:L47)</f>
        <v>300000</v>
      </c>
      <c r="N47" s="70"/>
      <c r="O47" s="70">
        <f>SUM(M47:N47)</f>
        <v>300000</v>
      </c>
      <c r="P47" s="70"/>
      <c r="Q47" s="70">
        <f>SUM(O47:P47)</f>
        <v>300000</v>
      </c>
      <c r="R47" s="70">
        <v>-300000</v>
      </c>
      <c r="S47" s="70">
        <f>SUM(Q47:R47)</f>
        <v>0</v>
      </c>
      <c r="T47" s="70"/>
      <c r="U47" s="70">
        <f>SUM(S47:T47)</f>
        <v>0</v>
      </c>
      <c r="V47" s="70"/>
      <c r="W47" s="70">
        <f>SUM(U47:V47)</f>
        <v>0</v>
      </c>
      <c r="X47" s="70"/>
      <c r="Y47" s="70">
        <f>SUM(W47:X47)</f>
        <v>0</v>
      </c>
      <c r="Z47" s="70"/>
      <c r="AA47" s="70">
        <f aca="true" t="shared" si="22" ref="AA47:AA78">SUM(Y47:Z47)</f>
        <v>0</v>
      </c>
      <c r="AB47" s="70"/>
      <c r="AC47" s="70">
        <f aca="true" t="shared" si="23" ref="AC47:AC56">SUM(AA47:AB47)</f>
        <v>0</v>
      </c>
      <c r="AD47" s="105"/>
      <c r="AE47" s="105"/>
    </row>
    <row r="48" spans="1:31" s="22" customFormat="1" ht="21.75" customHeight="1">
      <c r="A48" s="56"/>
      <c r="B48" s="77"/>
      <c r="C48" s="56">
        <v>4150</v>
      </c>
      <c r="D48" s="36" t="s">
        <v>234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>
        <v>0</v>
      </c>
      <c r="Z48" s="70">
        <v>406598</v>
      </c>
      <c r="AA48" s="70">
        <f t="shared" si="22"/>
        <v>406598</v>
      </c>
      <c r="AB48" s="70"/>
      <c r="AC48" s="70">
        <f t="shared" si="23"/>
        <v>406598</v>
      </c>
      <c r="AD48" s="105"/>
      <c r="AE48" s="105"/>
    </row>
    <row r="49" spans="1:31" s="22" customFormat="1" ht="21.75" customHeight="1">
      <c r="A49" s="56"/>
      <c r="B49" s="77"/>
      <c r="C49" s="56">
        <v>4300</v>
      </c>
      <c r="D49" s="36" t="s">
        <v>103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>
        <v>0</v>
      </c>
      <c r="Z49" s="70">
        <v>176973</v>
      </c>
      <c r="AA49" s="70">
        <f t="shared" si="22"/>
        <v>176973</v>
      </c>
      <c r="AB49" s="70"/>
      <c r="AC49" s="70">
        <f t="shared" si="23"/>
        <v>176973</v>
      </c>
      <c r="AD49" s="105"/>
      <c r="AE49" s="105"/>
    </row>
    <row r="50" spans="1:33" s="22" customFormat="1" ht="46.5" customHeight="1">
      <c r="A50" s="56"/>
      <c r="B50" s="77"/>
      <c r="C50" s="56">
        <v>6010</v>
      </c>
      <c r="D50" s="36" t="s">
        <v>2</v>
      </c>
      <c r="E50" s="70">
        <v>0</v>
      </c>
      <c r="F50" s="70">
        <v>75000</v>
      </c>
      <c r="G50" s="70">
        <f>SUM(E50:F50)</f>
        <v>75000</v>
      </c>
      <c r="H50" s="70"/>
      <c r="I50" s="70">
        <f>SUM(G50:H50)</f>
        <v>75000</v>
      </c>
      <c r="J50" s="70"/>
      <c r="K50" s="70">
        <f>SUM(I50:J50)</f>
        <v>75000</v>
      </c>
      <c r="L50" s="70"/>
      <c r="M50" s="70">
        <f>SUM(K50:L50)</f>
        <v>75000</v>
      </c>
      <c r="N50" s="70"/>
      <c r="O50" s="70">
        <f>SUM(M50:N50)</f>
        <v>75000</v>
      </c>
      <c r="P50" s="70"/>
      <c r="Q50" s="70">
        <f>SUM(O50:P50)</f>
        <v>75000</v>
      </c>
      <c r="R50" s="70"/>
      <c r="S50" s="70">
        <f>SUM(Q50:R50)</f>
        <v>75000</v>
      </c>
      <c r="T50" s="70"/>
      <c r="U50" s="70">
        <f>SUM(S50:T50)</f>
        <v>75000</v>
      </c>
      <c r="V50" s="70"/>
      <c r="W50" s="70">
        <f>SUM(U50:V50)</f>
        <v>75000</v>
      </c>
      <c r="X50" s="70"/>
      <c r="Y50" s="70">
        <f>SUM(W50:X50)</f>
        <v>75000</v>
      </c>
      <c r="Z50" s="70"/>
      <c r="AA50" s="70">
        <f t="shared" si="22"/>
        <v>75000</v>
      </c>
      <c r="AB50" s="70"/>
      <c r="AC50" s="70">
        <f t="shared" si="23"/>
        <v>75000</v>
      </c>
      <c r="AD50" s="105"/>
      <c r="AE50" s="105"/>
      <c r="AF50" s="105"/>
      <c r="AG50" s="105"/>
    </row>
    <row r="51" spans="1:31" s="22" customFormat="1" ht="21.75" customHeight="1">
      <c r="A51" s="56"/>
      <c r="B51" s="72">
        <v>70095</v>
      </c>
      <c r="C51" s="76"/>
      <c r="D51" s="36" t="s">
        <v>17</v>
      </c>
      <c r="E51" s="70">
        <f aca="true" t="shared" si="24" ref="E51:Z51">SUM(E52:E57)</f>
        <v>685960</v>
      </c>
      <c r="F51" s="70">
        <f t="shared" si="24"/>
        <v>-85000</v>
      </c>
      <c r="G51" s="70">
        <f t="shared" si="24"/>
        <v>600960</v>
      </c>
      <c r="H51" s="70">
        <f t="shared" si="24"/>
        <v>0</v>
      </c>
      <c r="I51" s="70">
        <f t="shared" si="24"/>
        <v>600960</v>
      </c>
      <c r="J51" s="70">
        <f t="shared" si="24"/>
        <v>0</v>
      </c>
      <c r="K51" s="70">
        <f t="shared" si="24"/>
        <v>600960</v>
      </c>
      <c r="L51" s="70">
        <f t="shared" si="24"/>
        <v>0</v>
      </c>
      <c r="M51" s="70">
        <f t="shared" si="24"/>
        <v>600960</v>
      </c>
      <c r="N51" s="70">
        <f t="shared" si="24"/>
        <v>0</v>
      </c>
      <c r="O51" s="70">
        <f t="shared" si="24"/>
        <v>600960</v>
      </c>
      <c r="P51" s="70">
        <f t="shared" si="24"/>
        <v>0</v>
      </c>
      <c r="Q51" s="70">
        <f t="shared" si="24"/>
        <v>600960</v>
      </c>
      <c r="R51" s="70">
        <f t="shared" si="24"/>
        <v>3621</v>
      </c>
      <c r="S51" s="70">
        <f t="shared" si="24"/>
        <v>604581</v>
      </c>
      <c r="T51" s="70">
        <f t="shared" si="24"/>
        <v>400000</v>
      </c>
      <c r="U51" s="70">
        <f t="shared" si="24"/>
        <v>1004581</v>
      </c>
      <c r="V51" s="70">
        <f t="shared" si="24"/>
        <v>0</v>
      </c>
      <c r="W51" s="70">
        <f t="shared" si="24"/>
        <v>1004581</v>
      </c>
      <c r="X51" s="70">
        <f t="shared" si="24"/>
        <v>2500</v>
      </c>
      <c r="Y51" s="70">
        <f t="shared" si="24"/>
        <v>1007081</v>
      </c>
      <c r="Z51" s="70">
        <f t="shared" si="24"/>
        <v>5</v>
      </c>
      <c r="AA51" s="70">
        <f t="shared" si="22"/>
        <v>1007086</v>
      </c>
      <c r="AB51" s="70">
        <f>SUM(AB52:AB57)</f>
        <v>0</v>
      </c>
      <c r="AC51" s="70">
        <f t="shared" si="23"/>
        <v>1007086</v>
      </c>
      <c r="AD51" s="105"/>
      <c r="AE51" s="105"/>
    </row>
    <row r="52" spans="1:31" s="22" customFormat="1" ht="21.75" customHeight="1">
      <c r="A52" s="56"/>
      <c r="B52" s="72"/>
      <c r="C52" s="76">
        <v>4260</v>
      </c>
      <c r="D52" s="36" t="s">
        <v>119</v>
      </c>
      <c r="E52" s="70">
        <v>400</v>
      </c>
      <c r="F52" s="70"/>
      <c r="G52" s="70">
        <f>SUM(E52:F52)</f>
        <v>400</v>
      </c>
      <c r="H52" s="70"/>
      <c r="I52" s="70">
        <f>SUM(G52:H52)</f>
        <v>400</v>
      </c>
      <c r="J52" s="70"/>
      <c r="K52" s="70">
        <f>SUM(I52:J52)</f>
        <v>400</v>
      </c>
      <c r="L52" s="70"/>
      <c r="M52" s="70">
        <f>SUM(K52:L52)</f>
        <v>400</v>
      </c>
      <c r="N52" s="70"/>
      <c r="O52" s="70">
        <f>SUM(M52:N52)</f>
        <v>400</v>
      </c>
      <c r="P52" s="70"/>
      <c r="Q52" s="70">
        <f>SUM(O52:P52)</f>
        <v>400</v>
      </c>
      <c r="R52" s="70"/>
      <c r="S52" s="70">
        <f>SUM(Q52:R52)</f>
        <v>400</v>
      </c>
      <c r="T52" s="70"/>
      <c r="U52" s="70">
        <f>SUM(S52:T52)</f>
        <v>400</v>
      </c>
      <c r="V52" s="70">
        <v>-5</v>
      </c>
      <c r="W52" s="70">
        <f>SUM(U52:V52)</f>
        <v>395</v>
      </c>
      <c r="X52" s="70"/>
      <c r="Y52" s="70">
        <f aca="true" t="shared" si="25" ref="Y52:Y57">SUM(W52:X52)</f>
        <v>395</v>
      </c>
      <c r="Z52" s="70">
        <v>5</v>
      </c>
      <c r="AA52" s="70">
        <f t="shared" si="22"/>
        <v>400</v>
      </c>
      <c r="AB52" s="70"/>
      <c r="AC52" s="70">
        <f t="shared" si="23"/>
        <v>400</v>
      </c>
      <c r="AD52" s="105"/>
      <c r="AE52" s="105"/>
    </row>
    <row r="53" spans="1:31" s="22" customFormat="1" ht="21.75" customHeight="1">
      <c r="A53" s="56"/>
      <c r="B53" s="72"/>
      <c r="C53" s="76">
        <v>4270</v>
      </c>
      <c r="D53" s="36" t="s">
        <v>102</v>
      </c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>
        <v>0</v>
      </c>
      <c r="X53" s="70">
        <v>1500</v>
      </c>
      <c r="Y53" s="70">
        <f t="shared" si="25"/>
        <v>1500</v>
      </c>
      <c r="Z53" s="70"/>
      <c r="AA53" s="70">
        <f t="shared" si="22"/>
        <v>1500</v>
      </c>
      <c r="AB53" s="70"/>
      <c r="AC53" s="70">
        <f t="shared" si="23"/>
        <v>1500</v>
      </c>
      <c r="AD53" s="105"/>
      <c r="AE53" s="105"/>
    </row>
    <row r="54" spans="1:31" s="22" customFormat="1" ht="21.75" customHeight="1">
      <c r="A54" s="56"/>
      <c r="B54" s="72"/>
      <c r="C54" s="76">
        <v>4300</v>
      </c>
      <c r="D54" s="36" t="s">
        <v>103</v>
      </c>
      <c r="E54" s="70">
        <f>335500+60</f>
        <v>335560</v>
      </c>
      <c r="F54" s="119">
        <v>-335500</v>
      </c>
      <c r="G54" s="70">
        <f>SUM(E54:F54)</f>
        <v>60</v>
      </c>
      <c r="H54" s="119"/>
      <c r="I54" s="70">
        <f>SUM(G54:H54)</f>
        <v>60</v>
      </c>
      <c r="J54" s="119"/>
      <c r="K54" s="70">
        <f>SUM(I54:J54)</f>
        <v>60</v>
      </c>
      <c r="L54" s="119"/>
      <c r="M54" s="70">
        <f>SUM(K54:L54)</f>
        <v>60</v>
      </c>
      <c r="N54" s="119"/>
      <c r="O54" s="70">
        <f>SUM(M54:N54)</f>
        <v>60</v>
      </c>
      <c r="P54" s="119"/>
      <c r="Q54" s="70">
        <f>SUM(O54:P54)</f>
        <v>60</v>
      </c>
      <c r="R54" s="119"/>
      <c r="S54" s="70">
        <f>SUM(Q54:R54)</f>
        <v>60</v>
      </c>
      <c r="T54" s="119"/>
      <c r="U54" s="70">
        <f>SUM(S54:T54)</f>
        <v>60</v>
      </c>
      <c r="V54" s="119">
        <v>5</v>
      </c>
      <c r="W54" s="70">
        <f>SUM(U54:V54)</f>
        <v>65</v>
      </c>
      <c r="X54" s="119"/>
      <c r="Y54" s="70">
        <f t="shared" si="25"/>
        <v>65</v>
      </c>
      <c r="Z54" s="119"/>
      <c r="AA54" s="70">
        <f t="shared" si="22"/>
        <v>65</v>
      </c>
      <c r="AB54" s="119"/>
      <c r="AC54" s="70">
        <f t="shared" si="23"/>
        <v>65</v>
      </c>
      <c r="AD54" s="105"/>
      <c r="AE54" s="105"/>
    </row>
    <row r="55" spans="1:31" s="22" customFormat="1" ht="24">
      <c r="A55" s="56"/>
      <c r="B55" s="72"/>
      <c r="C55" s="76">
        <v>4590</v>
      </c>
      <c r="D55" s="36" t="s">
        <v>385</v>
      </c>
      <c r="E55" s="70"/>
      <c r="F55" s="119"/>
      <c r="G55" s="70"/>
      <c r="H55" s="119"/>
      <c r="I55" s="70"/>
      <c r="J55" s="119"/>
      <c r="K55" s="70"/>
      <c r="L55" s="119"/>
      <c r="M55" s="70"/>
      <c r="N55" s="119"/>
      <c r="O55" s="70"/>
      <c r="P55" s="119"/>
      <c r="Q55" s="70">
        <v>0</v>
      </c>
      <c r="R55" s="70">
        <v>3621</v>
      </c>
      <c r="S55" s="70">
        <f>SUM(Q55:R55)</f>
        <v>3621</v>
      </c>
      <c r="T55" s="70"/>
      <c r="U55" s="70">
        <f>SUM(S55:T55)</f>
        <v>3621</v>
      </c>
      <c r="V55" s="70"/>
      <c r="W55" s="70">
        <f>SUM(U55:V55)</f>
        <v>3621</v>
      </c>
      <c r="X55" s="70">
        <v>1500</v>
      </c>
      <c r="Y55" s="70">
        <f t="shared" si="25"/>
        <v>5121</v>
      </c>
      <c r="Z55" s="70"/>
      <c r="AA55" s="70">
        <f t="shared" si="22"/>
        <v>5121</v>
      </c>
      <c r="AB55" s="70"/>
      <c r="AC55" s="70">
        <f t="shared" si="23"/>
        <v>5121</v>
      </c>
      <c r="AD55" s="105"/>
      <c r="AE55" s="105"/>
    </row>
    <row r="56" spans="1:33" s="22" customFormat="1" ht="23.25" customHeight="1">
      <c r="A56" s="56"/>
      <c r="B56" s="72"/>
      <c r="C56" s="56">
        <v>6050</v>
      </c>
      <c r="D56" s="36" t="s">
        <v>97</v>
      </c>
      <c r="E56" s="70">
        <v>350000</v>
      </c>
      <c r="F56" s="119">
        <f>335500-335000</f>
        <v>500</v>
      </c>
      <c r="G56" s="119">
        <f>SUM(E56:F56)</f>
        <v>350500</v>
      </c>
      <c r="H56" s="119"/>
      <c r="I56" s="119">
        <f>SUM(G56:H56)</f>
        <v>350500</v>
      </c>
      <c r="J56" s="119"/>
      <c r="K56" s="119">
        <f>SUM(I56:J56)</f>
        <v>350500</v>
      </c>
      <c r="L56" s="119"/>
      <c r="M56" s="70">
        <f>SUM(K56:L56)</f>
        <v>350500</v>
      </c>
      <c r="N56" s="70"/>
      <c r="O56" s="70">
        <f>SUM(M56:N56)</f>
        <v>350500</v>
      </c>
      <c r="P56" s="70"/>
      <c r="Q56" s="70">
        <f>SUM(O56:P56)</f>
        <v>350500</v>
      </c>
      <c r="R56" s="70"/>
      <c r="S56" s="70">
        <f>SUM(Q56:R56)</f>
        <v>350500</v>
      </c>
      <c r="T56" s="70">
        <f>600000-600000+400000</f>
        <v>400000</v>
      </c>
      <c r="U56" s="70">
        <f>SUM(S56:T56)</f>
        <v>750500</v>
      </c>
      <c r="V56" s="70"/>
      <c r="W56" s="70">
        <f>SUM(U56:V56)</f>
        <v>750500</v>
      </c>
      <c r="X56" s="70">
        <v>-500</v>
      </c>
      <c r="Y56" s="70">
        <f t="shared" si="25"/>
        <v>750000</v>
      </c>
      <c r="Z56" s="70"/>
      <c r="AA56" s="70">
        <f t="shared" si="22"/>
        <v>750000</v>
      </c>
      <c r="AB56" s="70"/>
      <c r="AC56" s="70">
        <f t="shared" si="23"/>
        <v>750000</v>
      </c>
      <c r="AD56" s="105"/>
      <c r="AE56" s="105"/>
      <c r="AF56" s="105"/>
      <c r="AG56" s="105"/>
    </row>
    <row r="57" spans="1:33" s="22" customFormat="1" ht="24">
      <c r="A57" s="56"/>
      <c r="B57" s="72"/>
      <c r="C57" s="56">
        <v>6060</v>
      </c>
      <c r="D57" s="36" t="s">
        <v>120</v>
      </c>
      <c r="E57" s="70">
        <v>0</v>
      </c>
      <c r="F57" s="119">
        <v>250000</v>
      </c>
      <c r="G57" s="70">
        <f>SUM(E57:F57)</f>
        <v>250000</v>
      </c>
      <c r="H57" s="119"/>
      <c r="I57" s="70">
        <f>SUM(G57:H57)</f>
        <v>250000</v>
      </c>
      <c r="J57" s="119"/>
      <c r="K57" s="70">
        <f>SUM(I57:J57)</f>
        <v>250000</v>
      </c>
      <c r="L57" s="119"/>
      <c r="M57" s="70">
        <f>SUM(K57:L57)</f>
        <v>250000</v>
      </c>
      <c r="N57" s="119"/>
      <c r="O57" s="70">
        <f>SUM(M57:N57)</f>
        <v>250000</v>
      </c>
      <c r="P57" s="70"/>
      <c r="Q57" s="70">
        <f>SUM(O57:P57)</f>
        <v>250000</v>
      </c>
      <c r="R57" s="70"/>
      <c r="S57" s="70">
        <f>SUM(Q57:R57)</f>
        <v>250000</v>
      </c>
      <c r="T57" s="70"/>
      <c r="U57" s="70">
        <f>SUM(S57:T57)</f>
        <v>250000</v>
      </c>
      <c r="V57" s="70"/>
      <c r="W57" s="70">
        <f>SUM(U57:V57)</f>
        <v>250000</v>
      </c>
      <c r="X57" s="70">
        <v>0</v>
      </c>
      <c r="Y57" s="70">
        <f t="shared" si="25"/>
        <v>250000</v>
      </c>
      <c r="Z57" s="70">
        <v>0</v>
      </c>
      <c r="AA57" s="70">
        <f t="shared" si="22"/>
        <v>250000</v>
      </c>
      <c r="AB57" s="70">
        <v>0</v>
      </c>
      <c r="AC57" s="70">
        <f aca="true" t="shared" si="26" ref="AC57:AC89">SUM(AA57:AB57)</f>
        <v>250000</v>
      </c>
      <c r="AD57" s="105"/>
      <c r="AE57" s="105"/>
      <c r="AF57" s="105"/>
      <c r="AG57" s="105"/>
    </row>
    <row r="58" spans="1:31" s="5" customFormat="1" ht="21" customHeight="1">
      <c r="A58" s="31" t="s">
        <v>24</v>
      </c>
      <c r="B58" s="32"/>
      <c r="C58" s="33"/>
      <c r="D58" s="34" t="s">
        <v>104</v>
      </c>
      <c r="E58" s="35">
        <f aca="true" t="shared" si="27" ref="E58:Z58">SUM(E59,E62)</f>
        <v>156500</v>
      </c>
      <c r="F58" s="35">
        <f t="shared" si="27"/>
        <v>100000</v>
      </c>
      <c r="G58" s="35">
        <f t="shared" si="27"/>
        <v>256500</v>
      </c>
      <c r="H58" s="35">
        <f t="shared" si="27"/>
        <v>0</v>
      </c>
      <c r="I58" s="35">
        <f t="shared" si="27"/>
        <v>256500</v>
      </c>
      <c r="J58" s="35">
        <f t="shared" si="27"/>
        <v>0</v>
      </c>
      <c r="K58" s="35">
        <f t="shared" si="27"/>
        <v>256500</v>
      </c>
      <c r="L58" s="35">
        <f t="shared" si="27"/>
        <v>0</v>
      </c>
      <c r="M58" s="35">
        <f t="shared" si="27"/>
        <v>256500</v>
      </c>
      <c r="N58" s="35">
        <f t="shared" si="27"/>
        <v>0</v>
      </c>
      <c r="O58" s="35">
        <f t="shared" si="27"/>
        <v>256500</v>
      </c>
      <c r="P58" s="35">
        <f t="shared" si="27"/>
        <v>6120</v>
      </c>
      <c r="Q58" s="35">
        <f t="shared" si="27"/>
        <v>262620</v>
      </c>
      <c r="R58" s="35">
        <f t="shared" si="27"/>
        <v>0</v>
      </c>
      <c r="S58" s="35">
        <f t="shared" si="27"/>
        <v>262620</v>
      </c>
      <c r="T58" s="35">
        <f t="shared" si="27"/>
        <v>0</v>
      </c>
      <c r="U58" s="35">
        <f t="shared" si="27"/>
        <v>262620</v>
      </c>
      <c r="V58" s="35">
        <f t="shared" si="27"/>
        <v>0</v>
      </c>
      <c r="W58" s="35">
        <f t="shared" si="27"/>
        <v>262620</v>
      </c>
      <c r="X58" s="35">
        <f t="shared" si="27"/>
        <v>0</v>
      </c>
      <c r="Y58" s="35">
        <f t="shared" si="27"/>
        <v>262620</v>
      </c>
      <c r="Z58" s="35">
        <f t="shared" si="27"/>
        <v>-42000</v>
      </c>
      <c r="AA58" s="35">
        <f t="shared" si="22"/>
        <v>220620</v>
      </c>
      <c r="AB58" s="35">
        <f>SUM(AB59,AB62)</f>
        <v>0</v>
      </c>
      <c r="AC58" s="35">
        <f t="shared" si="26"/>
        <v>220620</v>
      </c>
      <c r="AD58" s="130"/>
      <c r="AE58" s="130"/>
    </row>
    <row r="59" spans="1:31" s="22" customFormat="1" ht="21.75" customHeight="1">
      <c r="A59" s="56"/>
      <c r="B59" s="72" t="s">
        <v>105</v>
      </c>
      <c r="C59" s="76"/>
      <c r="D59" s="36" t="s">
        <v>106</v>
      </c>
      <c r="E59" s="70">
        <f>SUM(E61:E61)</f>
        <v>150000</v>
      </c>
      <c r="F59" s="70">
        <f>SUM(F61:F61)</f>
        <v>100000</v>
      </c>
      <c r="G59" s="70">
        <f aca="true" t="shared" si="28" ref="G59:Z59">SUM(G60:G61)</f>
        <v>250000</v>
      </c>
      <c r="H59" s="70">
        <f t="shared" si="28"/>
        <v>0</v>
      </c>
      <c r="I59" s="70">
        <f t="shared" si="28"/>
        <v>250000</v>
      </c>
      <c r="J59" s="70">
        <f t="shared" si="28"/>
        <v>0</v>
      </c>
      <c r="K59" s="70">
        <f t="shared" si="28"/>
        <v>250000</v>
      </c>
      <c r="L59" s="70">
        <f t="shared" si="28"/>
        <v>0</v>
      </c>
      <c r="M59" s="70">
        <f t="shared" si="28"/>
        <v>250000</v>
      </c>
      <c r="N59" s="70">
        <f t="shared" si="28"/>
        <v>0</v>
      </c>
      <c r="O59" s="70">
        <f t="shared" si="28"/>
        <v>250000</v>
      </c>
      <c r="P59" s="70">
        <f t="shared" si="28"/>
        <v>0</v>
      </c>
      <c r="Q59" s="70">
        <f t="shared" si="28"/>
        <v>250000</v>
      </c>
      <c r="R59" s="70">
        <f t="shared" si="28"/>
        <v>0</v>
      </c>
      <c r="S59" s="70">
        <f t="shared" si="28"/>
        <v>250000</v>
      </c>
      <c r="T59" s="70">
        <f t="shared" si="28"/>
        <v>0</v>
      </c>
      <c r="U59" s="70">
        <f t="shared" si="28"/>
        <v>250000</v>
      </c>
      <c r="V59" s="70">
        <f t="shared" si="28"/>
        <v>0</v>
      </c>
      <c r="W59" s="70">
        <f t="shared" si="28"/>
        <v>250000</v>
      </c>
      <c r="X59" s="70">
        <f t="shared" si="28"/>
        <v>0</v>
      </c>
      <c r="Y59" s="70">
        <f t="shared" si="28"/>
        <v>250000</v>
      </c>
      <c r="Z59" s="70">
        <f t="shared" si="28"/>
        <v>-40000</v>
      </c>
      <c r="AA59" s="70">
        <f t="shared" si="22"/>
        <v>210000</v>
      </c>
      <c r="AB59" s="70">
        <f>SUM(AB60:AB61)</f>
        <v>0</v>
      </c>
      <c r="AC59" s="70">
        <f t="shared" si="26"/>
        <v>210000</v>
      </c>
      <c r="AD59" s="105"/>
      <c r="AE59" s="105"/>
    </row>
    <row r="60" spans="1:31" s="22" customFormat="1" ht="21.75" customHeight="1">
      <c r="A60" s="56"/>
      <c r="B60" s="72"/>
      <c r="C60" s="76">
        <v>4170</v>
      </c>
      <c r="D60" s="36" t="s">
        <v>227</v>
      </c>
      <c r="E60" s="70"/>
      <c r="F60" s="70"/>
      <c r="G60" s="70">
        <v>0</v>
      </c>
      <c r="H60" s="70">
        <v>3000</v>
      </c>
      <c r="I60" s="70">
        <f>SUM(G60:H60)</f>
        <v>3000</v>
      </c>
      <c r="J60" s="70"/>
      <c r="K60" s="70">
        <f>SUM(I60:J60)</f>
        <v>3000</v>
      </c>
      <c r="L60" s="70"/>
      <c r="M60" s="70">
        <f>SUM(K60:L60)</f>
        <v>3000</v>
      </c>
      <c r="N60" s="70"/>
      <c r="O60" s="70">
        <f>SUM(M60:N60)</f>
        <v>3000</v>
      </c>
      <c r="P60" s="70"/>
      <c r="Q60" s="70">
        <f>SUM(O60:P60)</f>
        <v>3000</v>
      </c>
      <c r="R60" s="70"/>
      <c r="S60" s="70">
        <f>SUM(Q60:R60)</f>
        <v>3000</v>
      </c>
      <c r="T60" s="70"/>
      <c r="U60" s="70">
        <f>SUM(S60:T60)</f>
        <v>3000</v>
      </c>
      <c r="V60" s="70"/>
      <c r="W60" s="70">
        <f>SUM(U60:V60)</f>
        <v>3000</v>
      </c>
      <c r="X60" s="70"/>
      <c r="Y60" s="70">
        <f>SUM(W60:X60)</f>
        <v>3000</v>
      </c>
      <c r="Z60" s="70"/>
      <c r="AA60" s="70">
        <f t="shared" si="22"/>
        <v>3000</v>
      </c>
      <c r="AB60" s="70"/>
      <c r="AC60" s="70">
        <f t="shared" si="26"/>
        <v>3000</v>
      </c>
      <c r="AD60" s="105"/>
      <c r="AE60" s="105"/>
    </row>
    <row r="61" spans="1:31" s="22" customFormat="1" ht="21.75" customHeight="1">
      <c r="A61" s="56"/>
      <c r="B61" s="72"/>
      <c r="C61" s="56">
        <v>4300</v>
      </c>
      <c r="D61" s="36" t="s">
        <v>103</v>
      </c>
      <c r="E61" s="70">
        <v>150000</v>
      </c>
      <c r="F61" s="70">
        <v>100000</v>
      </c>
      <c r="G61" s="70">
        <f>SUM(E61:F61)</f>
        <v>250000</v>
      </c>
      <c r="H61" s="70">
        <v>-3000</v>
      </c>
      <c r="I61" s="70">
        <f>SUM(G61:H61)</f>
        <v>247000</v>
      </c>
      <c r="J61" s="70"/>
      <c r="K61" s="70">
        <f>SUM(I61:J61)</f>
        <v>247000</v>
      </c>
      <c r="L61" s="70"/>
      <c r="M61" s="70">
        <f>SUM(K61:L61)</f>
        <v>247000</v>
      </c>
      <c r="N61" s="70"/>
      <c r="O61" s="70">
        <f>SUM(M61:N61)</f>
        <v>247000</v>
      </c>
      <c r="P61" s="70"/>
      <c r="Q61" s="70">
        <f>SUM(O61:P61)</f>
        <v>247000</v>
      </c>
      <c r="R61" s="70"/>
      <c r="S61" s="70">
        <f>SUM(Q61:R61)</f>
        <v>247000</v>
      </c>
      <c r="T61" s="70"/>
      <c r="U61" s="70">
        <f>SUM(S61:T61)</f>
        <v>247000</v>
      </c>
      <c r="V61" s="70"/>
      <c r="W61" s="70">
        <f>SUM(U61:V61)</f>
        <v>247000</v>
      </c>
      <c r="X61" s="70"/>
      <c r="Y61" s="70">
        <f>SUM(W61:X61)</f>
        <v>247000</v>
      </c>
      <c r="Z61" s="70">
        <v>-40000</v>
      </c>
      <c r="AA61" s="70">
        <f t="shared" si="22"/>
        <v>207000</v>
      </c>
      <c r="AB61" s="70"/>
      <c r="AC61" s="70">
        <f t="shared" si="26"/>
        <v>207000</v>
      </c>
      <c r="AD61" s="105"/>
      <c r="AE61" s="105"/>
    </row>
    <row r="62" spans="1:31" s="22" customFormat="1" ht="20.25" customHeight="1">
      <c r="A62" s="56"/>
      <c r="B62" s="72">
        <v>71035</v>
      </c>
      <c r="C62" s="56"/>
      <c r="D62" s="36" t="s">
        <v>25</v>
      </c>
      <c r="E62" s="70">
        <f aca="true" t="shared" si="29" ref="E62:N62">SUM(E63:E65)</f>
        <v>6500</v>
      </c>
      <c r="F62" s="70">
        <f t="shared" si="29"/>
        <v>0</v>
      </c>
      <c r="G62" s="70">
        <f t="shared" si="29"/>
        <v>6500</v>
      </c>
      <c r="H62" s="70">
        <f t="shared" si="29"/>
        <v>0</v>
      </c>
      <c r="I62" s="70">
        <f t="shared" si="29"/>
        <v>6500</v>
      </c>
      <c r="J62" s="70">
        <f t="shared" si="29"/>
        <v>0</v>
      </c>
      <c r="K62" s="70">
        <f t="shared" si="29"/>
        <v>6500</v>
      </c>
      <c r="L62" s="70">
        <f t="shared" si="29"/>
        <v>0</v>
      </c>
      <c r="M62" s="70">
        <f t="shared" si="29"/>
        <v>6500</v>
      </c>
      <c r="N62" s="70">
        <f t="shared" si="29"/>
        <v>0</v>
      </c>
      <c r="O62" s="70">
        <f aca="true" t="shared" si="30" ref="O62:Z62">SUM(O63:O66)</f>
        <v>6500</v>
      </c>
      <c r="P62" s="70">
        <f t="shared" si="30"/>
        <v>6120</v>
      </c>
      <c r="Q62" s="70">
        <f t="shared" si="30"/>
        <v>12620</v>
      </c>
      <c r="R62" s="70">
        <f t="shared" si="30"/>
        <v>0</v>
      </c>
      <c r="S62" s="70">
        <f t="shared" si="30"/>
        <v>12620</v>
      </c>
      <c r="T62" s="70">
        <f t="shared" si="30"/>
        <v>0</v>
      </c>
      <c r="U62" s="70">
        <f t="shared" si="30"/>
        <v>12620</v>
      </c>
      <c r="V62" s="70">
        <f t="shared" si="30"/>
        <v>0</v>
      </c>
      <c r="W62" s="70">
        <f t="shared" si="30"/>
        <v>12620</v>
      </c>
      <c r="X62" s="70">
        <f t="shared" si="30"/>
        <v>0</v>
      </c>
      <c r="Y62" s="70">
        <f t="shared" si="30"/>
        <v>12620</v>
      </c>
      <c r="Z62" s="70">
        <f t="shared" si="30"/>
        <v>-2000</v>
      </c>
      <c r="AA62" s="70">
        <f t="shared" si="22"/>
        <v>10620</v>
      </c>
      <c r="AB62" s="70">
        <f>SUM(AB63:AB66)</f>
        <v>0</v>
      </c>
      <c r="AC62" s="70">
        <f t="shared" si="26"/>
        <v>10620</v>
      </c>
      <c r="AD62" s="105"/>
      <c r="AE62" s="105"/>
    </row>
    <row r="63" spans="1:31" s="22" customFormat="1" ht="21" customHeight="1">
      <c r="A63" s="56"/>
      <c r="B63" s="72"/>
      <c r="C63" s="56">
        <v>4260</v>
      </c>
      <c r="D63" s="36" t="s">
        <v>119</v>
      </c>
      <c r="E63" s="70">
        <f>1500+500</f>
        <v>2000</v>
      </c>
      <c r="F63" s="70"/>
      <c r="G63" s="70">
        <f>SUM(E63:F63)</f>
        <v>2000</v>
      </c>
      <c r="H63" s="70"/>
      <c r="I63" s="70">
        <f>SUM(G63:H63)</f>
        <v>2000</v>
      </c>
      <c r="J63" s="70"/>
      <c r="K63" s="70">
        <f>SUM(I63:J63)</f>
        <v>2000</v>
      </c>
      <c r="L63" s="70"/>
      <c r="M63" s="70">
        <f>SUM(K63:L63)</f>
        <v>2000</v>
      </c>
      <c r="N63" s="70"/>
      <c r="O63" s="70">
        <f>SUM(M63:N63)</f>
        <v>2000</v>
      </c>
      <c r="P63" s="70"/>
      <c r="Q63" s="70">
        <f>SUM(O63:P63)</f>
        <v>2000</v>
      </c>
      <c r="R63" s="70"/>
      <c r="S63" s="70">
        <f>SUM(Q63:R63)</f>
        <v>2000</v>
      </c>
      <c r="T63" s="70"/>
      <c r="U63" s="70">
        <f>SUM(S63:T63)</f>
        <v>2000</v>
      </c>
      <c r="V63" s="70"/>
      <c r="W63" s="70">
        <f>SUM(U63:V63)</f>
        <v>2000</v>
      </c>
      <c r="X63" s="70"/>
      <c r="Y63" s="70">
        <f>SUM(W63:X63)</f>
        <v>2000</v>
      </c>
      <c r="Z63" s="70">
        <v>-1000</v>
      </c>
      <c r="AA63" s="70">
        <f t="shared" si="22"/>
        <v>1000</v>
      </c>
      <c r="AB63" s="70"/>
      <c r="AC63" s="70">
        <f t="shared" si="26"/>
        <v>1000</v>
      </c>
      <c r="AD63" s="105"/>
      <c r="AE63" s="105"/>
    </row>
    <row r="64" spans="1:31" s="22" customFormat="1" ht="21" customHeight="1">
      <c r="A64" s="56"/>
      <c r="B64" s="72"/>
      <c r="C64" s="56">
        <v>4270</v>
      </c>
      <c r="D64" s="36" t="s">
        <v>102</v>
      </c>
      <c r="E64" s="70">
        <v>3000</v>
      </c>
      <c r="F64" s="70"/>
      <c r="G64" s="70">
        <v>3000</v>
      </c>
      <c r="H64" s="70"/>
      <c r="I64" s="70">
        <f>SUM(G64:H64)</f>
        <v>3000</v>
      </c>
      <c r="J64" s="70"/>
      <c r="K64" s="70">
        <f>SUM(I64:J64)</f>
        <v>3000</v>
      </c>
      <c r="L64" s="70"/>
      <c r="M64" s="70">
        <f>SUM(K64:L64)</f>
        <v>3000</v>
      </c>
      <c r="N64" s="70"/>
      <c r="O64" s="70">
        <f>SUM(M64:N64)</f>
        <v>3000</v>
      </c>
      <c r="P64" s="70"/>
      <c r="Q64" s="70">
        <f>SUM(O64:P64)</f>
        <v>3000</v>
      </c>
      <c r="R64" s="70"/>
      <c r="S64" s="70">
        <f>SUM(Q64:R64)</f>
        <v>3000</v>
      </c>
      <c r="T64" s="70"/>
      <c r="U64" s="70">
        <f>SUM(S64:T64)</f>
        <v>3000</v>
      </c>
      <c r="V64" s="70"/>
      <c r="W64" s="70">
        <f>SUM(U64:V64)</f>
        <v>3000</v>
      </c>
      <c r="X64" s="70"/>
      <c r="Y64" s="70">
        <f>SUM(W64:X64)</f>
        <v>3000</v>
      </c>
      <c r="Z64" s="70">
        <v>-3000</v>
      </c>
      <c r="AA64" s="70">
        <f t="shared" si="22"/>
        <v>0</v>
      </c>
      <c r="AB64" s="70"/>
      <c r="AC64" s="70">
        <f t="shared" si="26"/>
        <v>0</v>
      </c>
      <c r="AD64" s="105"/>
      <c r="AE64" s="105"/>
    </row>
    <row r="65" spans="1:31" s="22" customFormat="1" ht="21" customHeight="1">
      <c r="A65" s="56"/>
      <c r="B65" s="72"/>
      <c r="C65" s="56">
        <v>4300</v>
      </c>
      <c r="D65" s="36" t="s">
        <v>103</v>
      </c>
      <c r="E65" s="70">
        <v>1500</v>
      </c>
      <c r="F65" s="70"/>
      <c r="G65" s="70">
        <v>1500</v>
      </c>
      <c r="H65" s="70"/>
      <c r="I65" s="70">
        <f>SUM(G65:H65)</f>
        <v>1500</v>
      </c>
      <c r="J65" s="70"/>
      <c r="K65" s="70">
        <f>SUM(I65:J65)</f>
        <v>1500</v>
      </c>
      <c r="L65" s="70"/>
      <c r="M65" s="70">
        <f>SUM(K65:L65)</f>
        <v>1500</v>
      </c>
      <c r="N65" s="70"/>
      <c r="O65" s="70">
        <f>SUM(M65:N65)</f>
        <v>1500</v>
      </c>
      <c r="P65" s="70"/>
      <c r="Q65" s="70">
        <f>SUM(O65:P65)</f>
        <v>1500</v>
      </c>
      <c r="R65" s="70"/>
      <c r="S65" s="70">
        <f>SUM(Q65:R65)</f>
        <v>1500</v>
      </c>
      <c r="T65" s="70"/>
      <c r="U65" s="70">
        <f>SUM(S65:T65)</f>
        <v>1500</v>
      </c>
      <c r="V65" s="70"/>
      <c r="W65" s="70">
        <f>SUM(U65:V65)</f>
        <v>1500</v>
      </c>
      <c r="X65" s="70"/>
      <c r="Y65" s="70">
        <f>SUM(W65:X65)</f>
        <v>1500</v>
      </c>
      <c r="Z65" s="70">
        <v>2000</v>
      </c>
      <c r="AA65" s="70">
        <f t="shared" si="22"/>
        <v>3500</v>
      </c>
      <c r="AB65" s="70"/>
      <c r="AC65" s="70">
        <f t="shared" si="26"/>
        <v>3500</v>
      </c>
      <c r="AD65" s="105"/>
      <c r="AE65" s="105"/>
    </row>
    <row r="66" spans="1:33" s="22" customFormat="1" ht="21" customHeight="1">
      <c r="A66" s="56"/>
      <c r="B66" s="72"/>
      <c r="C66" s="56">
        <v>6050</v>
      </c>
      <c r="D66" s="36" t="s">
        <v>97</v>
      </c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>
        <v>0</v>
      </c>
      <c r="P66" s="70">
        <v>6120</v>
      </c>
      <c r="Q66" s="70">
        <f>SUM(O66:P66)</f>
        <v>6120</v>
      </c>
      <c r="R66" s="70"/>
      <c r="S66" s="70">
        <f>SUM(Q66:R66)</f>
        <v>6120</v>
      </c>
      <c r="T66" s="70"/>
      <c r="U66" s="70">
        <f>SUM(S66:T66)</f>
        <v>6120</v>
      </c>
      <c r="V66" s="70"/>
      <c r="W66" s="70">
        <f>SUM(U66:V66)</f>
        <v>6120</v>
      </c>
      <c r="X66" s="70"/>
      <c r="Y66" s="70">
        <f>SUM(W66:X66)</f>
        <v>6120</v>
      </c>
      <c r="Z66" s="70"/>
      <c r="AA66" s="70">
        <f t="shared" si="22"/>
        <v>6120</v>
      </c>
      <c r="AB66" s="70"/>
      <c r="AC66" s="70">
        <f t="shared" si="26"/>
        <v>6120</v>
      </c>
      <c r="AD66" s="105"/>
      <c r="AE66" s="105"/>
      <c r="AF66" s="105"/>
      <c r="AG66" s="105"/>
    </row>
    <row r="67" spans="1:31" s="5" customFormat="1" ht="24.75" customHeight="1">
      <c r="A67" s="31" t="s">
        <v>26</v>
      </c>
      <c r="B67" s="32"/>
      <c r="C67" s="33"/>
      <c r="D67" s="34" t="s">
        <v>107</v>
      </c>
      <c r="E67" s="35">
        <f aca="true" t="shared" si="31" ref="E67:Z67">SUM(E68,E74,E85,E111,E124,)</f>
        <v>5797530</v>
      </c>
      <c r="F67" s="35">
        <f t="shared" si="31"/>
        <v>-560300</v>
      </c>
      <c r="G67" s="35">
        <f t="shared" si="31"/>
        <v>5237230</v>
      </c>
      <c r="H67" s="35">
        <f t="shared" si="31"/>
        <v>48502</v>
      </c>
      <c r="I67" s="35">
        <f t="shared" si="31"/>
        <v>5285732</v>
      </c>
      <c r="J67" s="35">
        <f t="shared" si="31"/>
        <v>0</v>
      </c>
      <c r="K67" s="35">
        <f t="shared" si="31"/>
        <v>5285732</v>
      </c>
      <c r="L67" s="35">
        <f t="shared" si="31"/>
        <v>0</v>
      </c>
      <c r="M67" s="35">
        <f t="shared" si="31"/>
        <v>5285732</v>
      </c>
      <c r="N67" s="35">
        <f t="shared" si="31"/>
        <v>0</v>
      </c>
      <c r="O67" s="35">
        <f t="shared" si="31"/>
        <v>5285732</v>
      </c>
      <c r="P67" s="35">
        <f t="shared" si="31"/>
        <v>0</v>
      </c>
      <c r="Q67" s="35">
        <f t="shared" si="31"/>
        <v>5285732</v>
      </c>
      <c r="R67" s="35">
        <f t="shared" si="31"/>
        <v>0</v>
      </c>
      <c r="S67" s="35">
        <f t="shared" si="31"/>
        <v>5285732</v>
      </c>
      <c r="T67" s="35">
        <f t="shared" si="31"/>
        <v>362000</v>
      </c>
      <c r="U67" s="35">
        <f t="shared" si="31"/>
        <v>5647732</v>
      </c>
      <c r="V67" s="35">
        <f t="shared" si="31"/>
        <v>0</v>
      </c>
      <c r="W67" s="35">
        <f t="shared" si="31"/>
        <v>5647732</v>
      </c>
      <c r="X67" s="35">
        <f t="shared" si="31"/>
        <v>53271</v>
      </c>
      <c r="Y67" s="35">
        <f t="shared" si="31"/>
        <v>5701003</v>
      </c>
      <c r="Z67" s="35">
        <f t="shared" si="31"/>
        <v>122697</v>
      </c>
      <c r="AA67" s="35">
        <f t="shared" si="22"/>
        <v>5823700</v>
      </c>
      <c r="AB67" s="35">
        <f>SUM(AB68,AB74,AB85,AB111,AB124,)</f>
        <v>0</v>
      </c>
      <c r="AC67" s="35">
        <f t="shared" si="26"/>
        <v>5823700</v>
      </c>
      <c r="AD67" s="130"/>
      <c r="AE67" s="130"/>
    </row>
    <row r="68" spans="1:31" s="22" customFormat="1" ht="21.75" customHeight="1">
      <c r="A68" s="56"/>
      <c r="B68" s="72">
        <v>75011</v>
      </c>
      <c r="C68" s="76"/>
      <c r="D68" s="36" t="s">
        <v>28</v>
      </c>
      <c r="E68" s="70">
        <f aca="true" t="shared" si="32" ref="E68:Z68">SUM(E69:E73)</f>
        <v>153500</v>
      </c>
      <c r="F68" s="70">
        <f t="shared" si="32"/>
        <v>0</v>
      </c>
      <c r="G68" s="70">
        <f t="shared" si="32"/>
        <v>153500</v>
      </c>
      <c r="H68" s="70">
        <f t="shared" si="32"/>
        <v>0</v>
      </c>
      <c r="I68" s="70">
        <f t="shared" si="32"/>
        <v>153500</v>
      </c>
      <c r="J68" s="70">
        <f t="shared" si="32"/>
        <v>0</v>
      </c>
      <c r="K68" s="70">
        <f t="shared" si="32"/>
        <v>153500</v>
      </c>
      <c r="L68" s="70">
        <f t="shared" si="32"/>
        <v>0</v>
      </c>
      <c r="M68" s="70">
        <f t="shared" si="32"/>
        <v>153500</v>
      </c>
      <c r="N68" s="70">
        <f t="shared" si="32"/>
        <v>0</v>
      </c>
      <c r="O68" s="70">
        <f t="shared" si="32"/>
        <v>153500</v>
      </c>
      <c r="P68" s="70">
        <f t="shared" si="32"/>
        <v>0</v>
      </c>
      <c r="Q68" s="70">
        <f t="shared" si="32"/>
        <v>153500</v>
      </c>
      <c r="R68" s="70">
        <f t="shared" si="32"/>
        <v>0</v>
      </c>
      <c r="S68" s="70">
        <f t="shared" si="32"/>
        <v>153500</v>
      </c>
      <c r="T68" s="70">
        <f t="shared" si="32"/>
        <v>0</v>
      </c>
      <c r="U68" s="70">
        <f t="shared" si="32"/>
        <v>153500</v>
      </c>
      <c r="V68" s="70">
        <f t="shared" si="32"/>
        <v>0</v>
      </c>
      <c r="W68" s="70">
        <f t="shared" si="32"/>
        <v>153500</v>
      </c>
      <c r="X68" s="70">
        <f t="shared" si="32"/>
        <v>2211</v>
      </c>
      <c r="Y68" s="70">
        <f t="shared" si="32"/>
        <v>155711</v>
      </c>
      <c r="Z68" s="70">
        <f t="shared" si="32"/>
        <v>0</v>
      </c>
      <c r="AA68" s="70">
        <f t="shared" si="22"/>
        <v>155711</v>
      </c>
      <c r="AB68" s="70">
        <f>SUM(AB69:AB73)</f>
        <v>0</v>
      </c>
      <c r="AC68" s="70">
        <f t="shared" si="26"/>
        <v>155711</v>
      </c>
      <c r="AD68" s="105"/>
      <c r="AE68" s="105"/>
    </row>
    <row r="69" spans="1:31" s="22" customFormat="1" ht="21" customHeight="1">
      <c r="A69" s="56"/>
      <c r="B69" s="77"/>
      <c r="C69" s="56">
        <v>4010</v>
      </c>
      <c r="D69" s="36" t="s">
        <v>108</v>
      </c>
      <c r="E69" s="70">
        <v>103800</v>
      </c>
      <c r="F69" s="70"/>
      <c r="G69" s="70">
        <f>SUM(E69:F69)</f>
        <v>103800</v>
      </c>
      <c r="H69" s="70">
        <v>2833</v>
      </c>
      <c r="I69" s="70">
        <f>SUM(G69:H69)</f>
        <v>106633</v>
      </c>
      <c r="J69" s="70"/>
      <c r="K69" s="70">
        <f>SUM(I69:J69)</f>
        <v>106633</v>
      </c>
      <c r="L69" s="70"/>
      <c r="M69" s="70">
        <f>SUM(K69:L69)</f>
        <v>106633</v>
      </c>
      <c r="N69" s="70"/>
      <c r="O69" s="70">
        <f>SUM(M69:N69)</f>
        <v>106633</v>
      </c>
      <c r="P69" s="70"/>
      <c r="Q69" s="70">
        <f>SUM(O69:P69)</f>
        <v>106633</v>
      </c>
      <c r="R69" s="70"/>
      <c r="S69" s="70">
        <f>SUM(Q69:R69)</f>
        <v>106633</v>
      </c>
      <c r="T69" s="70"/>
      <c r="U69" s="70">
        <f>SUM(S69:T69)</f>
        <v>106633</v>
      </c>
      <c r="V69" s="70"/>
      <c r="W69" s="70">
        <f>SUM(U69:V69)</f>
        <v>106633</v>
      </c>
      <c r="X69" s="70">
        <v>2211</v>
      </c>
      <c r="Y69" s="70">
        <f>SUM(W69:X69)</f>
        <v>108844</v>
      </c>
      <c r="Z69" s="70"/>
      <c r="AA69" s="70">
        <f t="shared" si="22"/>
        <v>108844</v>
      </c>
      <c r="AB69" s="70"/>
      <c r="AC69" s="70">
        <f t="shared" si="26"/>
        <v>108844</v>
      </c>
      <c r="AD69" s="105"/>
      <c r="AE69" s="105"/>
    </row>
    <row r="70" spans="1:31" s="22" customFormat="1" ht="21" customHeight="1">
      <c r="A70" s="56"/>
      <c r="B70" s="77"/>
      <c r="C70" s="56">
        <v>4040</v>
      </c>
      <c r="D70" s="36" t="s">
        <v>109</v>
      </c>
      <c r="E70" s="70">
        <v>18000</v>
      </c>
      <c r="F70" s="70"/>
      <c r="G70" s="70">
        <f>SUM(E70:F70)</f>
        <v>18000</v>
      </c>
      <c r="H70" s="70">
        <v>-2833</v>
      </c>
      <c r="I70" s="70">
        <f>SUM(G70:H70)</f>
        <v>15167</v>
      </c>
      <c r="J70" s="70"/>
      <c r="K70" s="70">
        <f>SUM(I70:J70)</f>
        <v>15167</v>
      </c>
      <c r="L70" s="70"/>
      <c r="M70" s="70">
        <f>SUM(K70:L70)</f>
        <v>15167</v>
      </c>
      <c r="N70" s="70"/>
      <c r="O70" s="70">
        <f>SUM(M70:N70)</f>
        <v>15167</v>
      </c>
      <c r="P70" s="70"/>
      <c r="Q70" s="70">
        <f>SUM(O70:P70)</f>
        <v>15167</v>
      </c>
      <c r="R70" s="70"/>
      <c r="S70" s="70">
        <f>SUM(Q70:R70)</f>
        <v>15167</v>
      </c>
      <c r="T70" s="70"/>
      <c r="U70" s="70">
        <f>SUM(S70:T70)</f>
        <v>15167</v>
      </c>
      <c r="V70" s="70"/>
      <c r="W70" s="70">
        <f>SUM(U70:V70)</f>
        <v>15167</v>
      </c>
      <c r="X70" s="70"/>
      <c r="Y70" s="70">
        <f>SUM(W70:X70)</f>
        <v>15167</v>
      </c>
      <c r="Z70" s="70"/>
      <c r="AA70" s="70">
        <f t="shared" si="22"/>
        <v>15167</v>
      </c>
      <c r="AB70" s="70"/>
      <c r="AC70" s="70">
        <f t="shared" si="26"/>
        <v>15167</v>
      </c>
      <c r="AD70" s="105"/>
      <c r="AE70" s="105"/>
    </row>
    <row r="71" spans="1:31" s="22" customFormat="1" ht="21" customHeight="1">
      <c r="A71" s="56"/>
      <c r="B71" s="77"/>
      <c r="C71" s="56">
        <v>4110</v>
      </c>
      <c r="D71" s="36" t="s">
        <v>110</v>
      </c>
      <c r="E71" s="70">
        <v>21000</v>
      </c>
      <c r="F71" s="70"/>
      <c r="G71" s="70">
        <f>SUM(E71:F71)</f>
        <v>21000</v>
      </c>
      <c r="H71" s="70"/>
      <c r="I71" s="70">
        <f>SUM(G71:H71)</f>
        <v>21000</v>
      </c>
      <c r="J71" s="70"/>
      <c r="K71" s="70">
        <f>SUM(I71:J71)</f>
        <v>21000</v>
      </c>
      <c r="L71" s="70"/>
      <c r="M71" s="70">
        <f>SUM(K71:L71)</f>
        <v>21000</v>
      </c>
      <c r="N71" s="70"/>
      <c r="O71" s="70">
        <f>SUM(M71:N71)</f>
        <v>21000</v>
      </c>
      <c r="P71" s="70"/>
      <c r="Q71" s="70">
        <f>SUM(O71:P71)</f>
        <v>21000</v>
      </c>
      <c r="R71" s="70"/>
      <c r="S71" s="70">
        <f>SUM(Q71:R71)</f>
        <v>21000</v>
      </c>
      <c r="T71" s="70"/>
      <c r="U71" s="70">
        <f>SUM(S71:T71)</f>
        <v>21000</v>
      </c>
      <c r="V71" s="70"/>
      <c r="W71" s="70">
        <f>SUM(U71:V71)</f>
        <v>21000</v>
      </c>
      <c r="X71" s="70"/>
      <c r="Y71" s="70">
        <f>SUM(W71:X71)</f>
        <v>21000</v>
      </c>
      <c r="Z71" s="70"/>
      <c r="AA71" s="70">
        <f t="shared" si="22"/>
        <v>21000</v>
      </c>
      <c r="AB71" s="70"/>
      <c r="AC71" s="70">
        <f t="shared" si="26"/>
        <v>21000</v>
      </c>
      <c r="AD71" s="105"/>
      <c r="AE71" s="105"/>
    </row>
    <row r="72" spans="1:31" s="22" customFormat="1" ht="21" customHeight="1">
      <c r="A72" s="56"/>
      <c r="B72" s="77"/>
      <c r="C72" s="56">
        <v>4120</v>
      </c>
      <c r="D72" s="36" t="s">
        <v>111</v>
      </c>
      <c r="E72" s="70">
        <v>3000</v>
      </c>
      <c r="F72" s="70"/>
      <c r="G72" s="70">
        <f>SUM(E72:F72)</f>
        <v>3000</v>
      </c>
      <c r="H72" s="70"/>
      <c r="I72" s="70">
        <f>SUM(G72:H72)</f>
        <v>3000</v>
      </c>
      <c r="J72" s="70"/>
      <c r="K72" s="70">
        <f>SUM(I72:J72)</f>
        <v>3000</v>
      </c>
      <c r="L72" s="70"/>
      <c r="M72" s="70">
        <f>SUM(K72:L72)</f>
        <v>3000</v>
      </c>
      <c r="N72" s="70"/>
      <c r="O72" s="70">
        <f>SUM(M72:N72)</f>
        <v>3000</v>
      </c>
      <c r="P72" s="70"/>
      <c r="Q72" s="70">
        <f>SUM(O72:P72)</f>
        <v>3000</v>
      </c>
      <c r="R72" s="70"/>
      <c r="S72" s="70">
        <f>SUM(Q72:R72)</f>
        <v>3000</v>
      </c>
      <c r="T72" s="70"/>
      <c r="U72" s="70">
        <f>SUM(S72:T72)</f>
        <v>3000</v>
      </c>
      <c r="V72" s="70"/>
      <c r="W72" s="70">
        <f>SUM(U72:V72)</f>
        <v>3000</v>
      </c>
      <c r="X72" s="70"/>
      <c r="Y72" s="70">
        <f>SUM(W72:X72)</f>
        <v>3000</v>
      </c>
      <c r="Z72" s="70"/>
      <c r="AA72" s="70">
        <f t="shared" si="22"/>
        <v>3000</v>
      </c>
      <c r="AB72" s="70"/>
      <c r="AC72" s="70">
        <f t="shared" si="26"/>
        <v>3000</v>
      </c>
      <c r="AD72" s="105"/>
      <c r="AE72" s="105"/>
    </row>
    <row r="73" spans="1:31" s="22" customFormat="1" ht="24">
      <c r="A73" s="56"/>
      <c r="B73" s="77"/>
      <c r="C73" s="59">
        <v>4440</v>
      </c>
      <c r="D73" s="36" t="s">
        <v>112</v>
      </c>
      <c r="E73" s="70">
        <v>7700</v>
      </c>
      <c r="F73" s="70"/>
      <c r="G73" s="70">
        <f>SUM(E73:F73)</f>
        <v>7700</v>
      </c>
      <c r="H73" s="70"/>
      <c r="I73" s="70">
        <f>SUM(G73:H73)</f>
        <v>7700</v>
      </c>
      <c r="J73" s="70"/>
      <c r="K73" s="70">
        <f>SUM(I73:J73)</f>
        <v>7700</v>
      </c>
      <c r="L73" s="70"/>
      <c r="M73" s="70">
        <f>SUM(K73:L73)</f>
        <v>7700</v>
      </c>
      <c r="N73" s="70"/>
      <c r="O73" s="70">
        <f>SUM(M73:N73)</f>
        <v>7700</v>
      </c>
      <c r="P73" s="70"/>
      <c r="Q73" s="70">
        <f>SUM(O73:P73)</f>
        <v>7700</v>
      </c>
      <c r="R73" s="70"/>
      <c r="S73" s="70">
        <f>SUM(Q73:R73)</f>
        <v>7700</v>
      </c>
      <c r="T73" s="70"/>
      <c r="U73" s="70">
        <f>SUM(S73:T73)</f>
        <v>7700</v>
      </c>
      <c r="V73" s="70"/>
      <c r="W73" s="70">
        <f>SUM(U73:V73)</f>
        <v>7700</v>
      </c>
      <c r="X73" s="70"/>
      <c r="Y73" s="70">
        <f>SUM(W73:X73)</f>
        <v>7700</v>
      </c>
      <c r="Z73" s="70"/>
      <c r="AA73" s="70">
        <f t="shared" si="22"/>
        <v>7700</v>
      </c>
      <c r="AB73" s="70"/>
      <c r="AC73" s="70">
        <f t="shared" si="26"/>
        <v>7700</v>
      </c>
      <c r="AD73" s="105"/>
      <c r="AE73" s="105"/>
    </row>
    <row r="74" spans="1:31" s="22" customFormat="1" ht="24" customHeight="1">
      <c r="A74" s="76"/>
      <c r="B74" s="72" t="s">
        <v>115</v>
      </c>
      <c r="C74" s="76"/>
      <c r="D74" s="36" t="s">
        <v>179</v>
      </c>
      <c r="E74" s="70">
        <f aca="true" t="shared" si="33" ref="E74:Z74">SUM(E75:E84)</f>
        <v>296000</v>
      </c>
      <c r="F74" s="70">
        <f t="shared" si="33"/>
        <v>0</v>
      </c>
      <c r="G74" s="70">
        <f t="shared" si="33"/>
        <v>296000</v>
      </c>
      <c r="H74" s="70">
        <f t="shared" si="33"/>
        <v>0</v>
      </c>
      <c r="I74" s="70">
        <f t="shared" si="33"/>
        <v>296000</v>
      </c>
      <c r="J74" s="70">
        <f t="shared" si="33"/>
        <v>0</v>
      </c>
      <c r="K74" s="70">
        <f t="shared" si="33"/>
        <v>296000</v>
      </c>
      <c r="L74" s="70">
        <f t="shared" si="33"/>
        <v>0</v>
      </c>
      <c r="M74" s="70">
        <f t="shared" si="33"/>
        <v>296000</v>
      </c>
      <c r="N74" s="70">
        <f t="shared" si="33"/>
        <v>0</v>
      </c>
      <c r="O74" s="70">
        <f t="shared" si="33"/>
        <v>296000</v>
      </c>
      <c r="P74" s="70">
        <f t="shared" si="33"/>
        <v>0</v>
      </c>
      <c r="Q74" s="70">
        <f t="shared" si="33"/>
        <v>296000</v>
      </c>
      <c r="R74" s="70">
        <f t="shared" si="33"/>
        <v>0</v>
      </c>
      <c r="S74" s="70">
        <f t="shared" si="33"/>
        <v>296000</v>
      </c>
      <c r="T74" s="70">
        <f t="shared" si="33"/>
        <v>0</v>
      </c>
      <c r="U74" s="70">
        <f t="shared" si="33"/>
        <v>296000</v>
      </c>
      <c r="V74" s="70">
        <f t="shared" si="33"/>
        <v>0</v>
      </c>
      <c r="W74" s="70">
        <f t="shared" si="33"/>
        <v>296000</v>
      </c>
      <c r="X74" s="70">
        <f t="shared" si="33"/>
        <v>0</v>
      </c>
      <c r="Y74" s="70">
        <f t="shared" si="33"/>
        <v>296000</v>
      </c>
      <c r="Z74" s="70">
        <f t="shared" si="33"/>
        <v>0</v>
      </c>
      <c r="AA74" s="70">
        <f t="shared" si="22"/>
        <v>296000</v>
      </c>
      <c r="AB74" s="70">
        <f>SUM(AB75:AB84)</f>
        <v>0</v>
      </c>
      <c r="AC74" s="70">
        <f t="shared" si="26"/>
        <v>296000</v>
      </c>
      <c r="AD74" s="105"/>
      <c r="AE74" s="105"/>
    </row>
    <row r="75" spans="1:31" s="22" customFormat="1" ht="26.25" customHeight="1">
      <c r="A75" s="76"/>
      <c r="B75" s="72"/>
      <c r="C75" s="56">
        <v>3030</v>
      </c>
      <c r="D75" s="36" t="s">
        <v>113</v>
      </c>
      <c r="E75" s="70">
        <v>230200</v>
      </c>
      <c r="F75" s="70"/>
      <c r="G75" s="70">
        <f aca="true" t="shared" si="34" ref="G75:G84">SUM(E75:F75)</f>
        <v>230200</v>
      </c>
      <c r="H75" s="70"/>
      <c r="I75" s="70">
        <f aca="true" t="shared" si="35" ref="I75:I84">SUM(G75:H75)</f>
        <v>230200</v>
      </c>
      <c r="J75" s="70"/>
      <c r="K75" s="70">
        <f aca="true" t="shared" si="36" ref="K75:K84">SUM(I75:J75)</f>
        <v>230200</v>
      </c>
      <c r="L75" s="70"/>
      <c r="M75" s="70">
        <f aca="true" t="shared" si="37" ref="M75:M84">SUM(K75:L75)</f>
        <v>230200</v>
      </c>
      <c r="N75" s="70"/>
      <c r="O75" s="70">
        <f aca="true" t="shared" si="38" ref="O75:O84">SUM(M75:N75)</f>
        <v>230200</v>
      </c>
      <c r="P75" s="70"/>
      <c r="Q75" s="70">
        <f aca="true" t="shared" si="39" ref="Q75:Q84">SUM(O75:P75)</f>
        <v>230200</v>
      </c>
      <c r="R75" s="70"/>
      <c r="S75" s="70">
        <f aca="true" t="shared" si="40" ref="S75:S84">SUM(Q75:R75)</f>
        <v>230200</v>
      </c>
      <c r="T75" s="70"/>
      <c r="U75" s="70">
        <f aca="true" t="shared" si="41" ref="U75:U84">SUM(S75:T75)</f>
        <v>230200</v>
      </c>
      <c r="V75" s="70"/>
      <c r="W75" s="70">
        <f aca="true" t="shared" si="42" ref="W75:W84">SUM(U75:V75)</f>
        <v>230200</v>
      </c>
      <c r="X75" s="70"/>
      <c r="Y75" s="70">
        <f aca="true" t="shared" si="43" ref="Y75:Y84">SUM(W75:X75)</f>
        <v>230200</v>
      </c>
      <c r="Z75" s="70"/>
      <c r="AA75" s="70">
        <f t="shared" si="22"/>
        <v>230200</v>
      </c>
      <c r="AB75" s="70">
        <v>4000</v>
      </c>
      <c r="AC75" s="70">
        <f t="shared" si="26"/>
        <v>234200</v>
      </c>
      <c r="AD75" s="105"/>
      <c r="AE75" s="105"/>
    </row>
    <row r="76" spans="1:31" s="22" customFormat="1" ht="21" customHeight="1">
      <c r="A76" s="76"/>
      <c r="B76" s="72"/>
      <c r="C76" s="56">
        <v>4170</v>
      </c>
      <c r="D76" s="36" t="s">
        <v>227</v>
      </c>
      <c r="E76" s="70">
        <v>2000</v>
      </c>
      <c r="F76" s="70"/>
      <c r="G76" s="70">
        <f t="shared" si="34"/>
        <v>2000</v>
      </c>
      <c r="H76" s="70"/>
      <c r="I76" s="70">
        <f t="shared" si="35"/>
        <v>2000</v>
      </c>
      <c r="J76" s="70"/>
      <c r="K76" s="70">
        <f t="shared" si="36"/>
        <v>2000</v>
      </c>
      <c r="L76" s="70"/>
      <c r="M76" s="70">
        <f t="shared" si="37"/>
        <v>2000</v>
      </c>
      <c r="N76" s="70"/>
      <c r="O76" s="70">
        <f t="shared" si="38"/>
        <v>2000</v>
      </c>
      <c r="P76" s="70"/>
      <c r="Q76" s="70">
        <f t="shared" si="39"/>
        <v>2000</v>
      </c>
      <c r="R76" s="70"/>
      <c r="S76" s="70">
        <f t="shared" si="40"/>
        <v>2000</v>
      </c>
      <c r="T76" s="70"/>
      <c r="U76" s="70">
        <f t="shared" si="41"/>
        <v>2000</v>
      </c>
      <c r="V76" s="70"/>
      <c r="W76" s="70">
        <f t="shared" si="42"/>
        <v>2000</v>
      </c>
      <c r="X76" s="70"/>
      <c r="Y76" s="70">
        <f t="shared" si="43"/>
        <v>2000</v>
      </c>
      <c r="Z76" s="70"/>
      <c r="AA76" s="70">
        <f t="shared" si="22"/>
        <v>2000</v>
      </c>
      <c r="AB76" s="70"/>
      <c r="AC76" s="70">
        <f t="shared" si="26"/>
        <v>2000</v>
      </c>
      <c r="AD76" s="105"/>
      <c r="AE76" s="105"/>
    </row>
    <row r="77" spans="1:31" s="22" customFormat="1" ht="21" customHeight="1">
      <c r="A77" s="76"/>
      <c r="B77" s="72"/>
      <c r="C77" s="56">
        <v>4210</v>
      </c>
      <c r="D77" s="36" t="s">
        <v>116</v>
      </c>
      <c r="E77" s="70">
        <v>22500</v>
      </c>
      <c r="F77" s="70"/>
      <c r="G77" s="70">
        <f t="shared" si="34"/>
        <v>22500</v>
      </c>
      <c r="H77" s="70"/>
      <c r="I77" s="70">
        <f t="shared" si="35"/>
        <v>22500</v>
      </c>
      <c r="J77" s="70"/>
      <c r="K77" s="70">
        <f t="shared" si="36"/>
        <v>22500</v>
      </c>
      <c r="L77" s="70"/>
      <c r="M77" s="70">
        <f t="shared" si="37"/>
        <v>22500</v>
      </c>
      <c r="N77" s="70"/>
      <c r="O77" s="70">
        <f t="shared" si="38"/>
        <v>22500</v>
      </c>
      <c r="P77" s="70"/>
      <c r="Q77" s="70">
        <f t="shared" si="39"/>
        <v>22500</v>
      </c>
      <c r="R77" s="70"/>
      <c r="S77" s="70">
        <f t="shared" si="40"/>
        <v>22500</v>
      </c>
      <c r="T77" s="70"/>
      <c r="U77" s="70">
        <f t="shared" si="41"/>
        <v>22500</v>
      </c>
      <c r="V77" s="70"/>
      <c r="W77" s="70">
        <f t="shared" si="42"/>
        <v>22500</v>
      </c>
      <c r="X77" s="70"/>
      <c r="Y77" s="70">
        <f t="shared" si="43"/>
        <v>22500</v>
      </c>
      <c r="Z77" s="70"/>
      <c r="AA77" s="70">
        <f t="shared" si="22"/>
        <v>22500</v>
      </c>
      <c r="AB77" s="70">
        <v>-2000</v>
      </c>
      <c r="AC77" s="70">
        <f t="shared" si="26"/>
        <v>20500</v>
      </c>
      <c r="AD77" s="105"/>
      <c r="AE77" s="105"/>
    </row>
    <row r="78" spans="1:31" s="22" customFormat="1" ht="21" customHeight="1">
      <c r="A78" s="76"/>
      <c r="B78" s="72"/>
      <c r="C78" s="56">
        <v>4300</v>
      </c>
      <c r="D78" s="36" t="s">
        <v>103</v>
      </c>
      <c r="E78" s="70">
        <v>25000</v>
      </c>
      <c r="F78" s="70"/>
      <c r="G78" s="70">
        <f t="shared" si="34"/>
        <v>25000</v>
      </c>
      <c r="H78" s="70"/>
      <c r="I78" s="70">
        <f t="shared" si="35"/>
        <v>25000</v>
      </c>
      <c r="J78" s="70"/>
      <c r="K78" s="70">
        <f t="shared" si="36"/>
        <v>25000</v>
      </c>
      <c r="L78" s="70"/>
      <c r="M78" s="70">
        <f t="shared" si="37"/>
        <v>25000</v>
      </c>
      <c r="N78" s="70"/>
      <c r="O78" s="70">
        <f t="shared" si="38"/>
        <v>25000</v>
      </c>
      <c r="P78" s="70"/>
      <c r="Q78" s="70">
        <f t="shared" si="39"/>
        <v>25000</v>
      </c>
      <c r="R78" s="70"/>
      <c r="S78" s="70">
        <f t="shared" si="40"/>
        <v>25000</v>
      </c>
      <c r="T78" s="70"/>
      <c r="U78" s="70">
        <f t="shared" si="41"/>
        <v>25000</v>
      </c>
      <c r="V78" s="70"/>
      <c r="W78" s="70">
        <f t="shared" si="42"/>
        <v>25000</v>
      </c>
      <c r="X78" s="70"/>
      <c r="Y78" s="70">
        <f t="shared" si="43"/>
        <v>25000</v>
      </c>
      <c r="Z78" s="70"/>
      <c r="AA78" s="70">
        <f t="shared" si="22"/>
        <v>25000</v>
      </c>
      <c r="AB78" s="70"/>
      <c r="AC78" s="70">
        <f t="shared" si="26"/>
        <v>25000</v>
      </c>
      <c r="AD78" s="105"/>
      <c r="AE78" s="105"/>
    </row>
    <row r="79" spans="1:31" s="22" customFormat="1" ht="24">
      <c r="A79" s="76"/>
      <c r="B79" s="72"/>
      <c r="C79" s="56">
        <v>4370</v>
      </c>
      <c r="D79" s="36" t="s">
        <v>269</v>
      </c>
      <c r="E79" s="70">
        <v>2800</v>
      </c>
      <c r="F79" s="70"/>
      <c r="G79" s="70">
        <f t="shared" si="34"/>
        <v>2800</v>
      </c>
      <c r="H79" s="70"/>
      <c r="I79" s="70">
        <f t="shared" si="35"/>
        <v>2800</v>
      </c>
      <c r="J79" s="70"/>
      <c r="K79" s="70">
        <f t="shared" si="36"/>
        <v>2800</v>
      </c>
      <c r="L79" s="70"/>
      <c r="M79" s="70">
        <f t="shared" si="37"/>
        <v>2800</v>
      </c>
      <c r="N79" s="70"/>
      <c r="O79" s="70">
        <f t="shared" si="38"/>
        <v>2800</v>
      </c>
      <c r="P79" s="70"/>
      <c r="Q79" s="70">
        <f t="shared" si="39"/>
        <v>2800</v>
      </c>
      <c r="R79" s="70"/>
      <c r="S79" s="70">
        <f t="shared" si="40"/>
        <v>2800</v>
      </c>
      <c r="T79" s="70"/>
      <c r="U79" s="70">
        <f t="shared" si="41"/>
        <v>2800</v>
      </c>
      <c r="V79" s="70"/>
      <c r="W79" s="70">
        <f t="shared" si="42"/>
        <v>2800</v>
      </c>
      <c r="X79" s="70"/>
      <c r="Y79" s="70">
        <f t="shared" si="43"/>
        <v>2800</v>
      </c>
      <c r="Z79" s="70"/>
      <c r="AA79" s="70">
        <f aca="true" t="shared" si="44" ref="AA79:AA111">SUM(Y79:Z79)</f>
        <v>2800</v>
      </c>
      <c r="AB79" s="70"/>
      <c r="AC79" s="70">
        <f t="shared" si="26"/>
        <v>2800</v>
      </c>
      <c r="AD79" s="105"/>
      <c r="AE79" s="105"/>
    </row>
    <row r="80" spans="1:31" s="22" customFormat="1" ht="21.75" customHeight="1">
      <c r="A80" s="76"/>
      <c r="B80" s="72"/>
      <c r="C80" s="56">
        <v>4410</v>
      </c>
      <c r="D80" s="36" t="s">
        <v>114</v>
      </c>
      <c r="E80" s="70">
        <v>8000</v>
      </c>
      <c r="F80" s="70"/>
      <c r="G80" s="70">
        <f t="shared" si="34"/>
        <v>8000</v>
      </c>
      <c r="H80" s="70"/>
      <c r="I80" s="70">
        <f t="shared" si="35"/>
        <v>8000</v>
      </c>
      <c r="J80" s="70"/>
      <c r="K80" s="70">
        <f t="shared" si="36"/>
        <v>8000</v>
      </c>
      <c r="L80" s="70"/>
      <c r="M80" s="70">
        <f t="shared" si="37"/>
        <v>8000</v>
      </c>
      <c r="N80" s="70"/>
      <c r="O80" s="70">
        <f t="shared" si="38"/>
        <v>8000</v>
      </c>
      <c r="P80" s="70"/>
      <c r="Q80" s="70">
        <f t="shared" si="39"/>
        <v>8000</v>
      </c>
      <c r="R80" s="70"/>
      <c r="S80" s="70">
        <f t="shared" si="40"/>
        <v>8000</v>
      </c>
      <c r="T80" s="70"/>
      <c r="U80" s="70">
        <f t="shared" si="41"/>
        <v>8000</v>
      </c>
      <c r="V80" s="70"/>
      <c r="W80" s="70">
        <f t="shared" si="42"/>
        <v>8000</v>
      </c>
      <c r="X80" s="70"/>
      <c r="Y80" s="70">
        <f t="shared" si="43"/>
        <v>8000</v>
      </c>
      <c r="Z80" s="70"/>
      <c r="AA80" s="70">
        <f t="shared" si="44"/>
        <v>8000</v>
      </c>
      <c r="AB80" s="70">
        <v>-2000</v>
      </c>
      <c r="AC80" s="70">
        <f t="shared" si="26"/>
        <v>6000</v>
      </c>
      <c r="AD80" s="105"/>
      <c r="AE80" s="105"/>
    </row>
    <row r="81" spans="1:31" s="22" customFormat="1" ht="21.75" customHeight="1">
      <c r="A81" s="76"/>
      <c r="B81" s="72"/>
      <c r="C81" s="56">
        <v>4420</v>
      </c>
      <c r="D81" s="36" t="s">
        <v>117</v>
      </c>
      <c r="E81" s="70">
        <v>2000</v>
      </c>
      <c r="F81" s="70"/>
      <c r="G81" s="70">
        <f t="shared" si="34"/>
        <v>2000</v>
      </c>
      <c r="H81" s="70"/>
      <c r="I81" s="70">
        <f t="shared" si="35"/>
        <v>2000</v>
      </c>
      <c r="J81" s="70"/>
      <c r="K81" s="70">
        <f t="shared" si="36"/>
        <v>2000</v>
      </c>
      <c r="L81" s="70"/>
      <c r="M81" s="70">
        <f t="shared" si="37"/>
        <v>2000</v>
      </c>
      <c r="N81" s="70"/>
      <c r="O81" s="70">
        <f t="shared" si="38"/>
        <v>2000</v>
      </c>
      <c r="P81" s="70"/>
      <c r="Q81" s="70">
        <f t="shared" si="39"/>
        <v>2000</v>
      </c>
      <c r="R81" s="70"/>
      <c r="S81" s="70">
        <f t="shared" si="40"/>
        <v>2000</v>
      </c>
      <c r="T81" s="70"/>
      <c r="U81" s="70">
        <f t="shared" si="41"/>
        <v>2000</v>
      </c>
      <c r="V81" s="70"/>
      <c r="W81" s="70">
        <f t="shared" si="42"/>
        <v>2000</v>
      </c>
      <c r="X81" s="70"/>
      <c r="Y81" s="70">
        <f t="shared" si="43"/>
        <v>2000</v>
      </c>
      <c r="Z81" s="70"/>
      <c r="AA81" s="70">
        <f t="shared" si="44"/>
        <v>2000</v>
      </c>
      <c r="AB81" s="70"/>
      <c r="AC81" s="70">
        <f t="shared" si="26"/>
        <v>2000</v>
      </c>
      <c r="AD81" s="105"/>
      <c r="AE81" s="105"/>
    </row>
    <row r="82" spans="1:31" s="22" customFormat="1" ht="21" customHeight="1">
      <c r="A82" s="76"/>
      <c r="B82" s="72"/>
      <c r="C82" s="59">
        <v>4430</v>
      </c>
      <c r="D82" s="36" t="s">
        <v>118</v>
      </c>
      <c r="E82" s="70">
        <v>500</v>
      </c>
      <c r="F82" s="70"/>
      <c r="G82" s="70">
        <f t="shared" si="34"/>
        <v>500</v>
      </c>
      <c r="H82" s="70"/>
      <c r="I82" s="70">
        <f t="shared" si="35"/>
        <v>500</v>
      </c>
      <c r="J82" s="70"/>
      <c r="K82" s="70">
        <f t="shared" si="36"/>
        <v>500</v>
      </c>
      <c r="L82" s="70"/>
      <c r="M82" s="70">
        <f t="shared" si="37"/>
        <v>500</v>
      </c>
      <c r="N82" s="70"/>
      <c r="O82" s="70">
        <f t="shared" si="38"/>
        <v>500</v>
      </c>
      <c r="P82" s="70"/>
      <c r="Q82" s="70">
        <f t="shared" si="39"/>
        <v>500</v>
      </c>
      <c r="R82" s="70"/>
      <c r="S82" s="70">
        <f t="shared" si="40"/>
        <v>500</v>
      </c>
      <c r="T82" s="70"/>
      <c r="U82" s="70">
        <f t="shared" si="41"/>
        <v>500</v>
      </c>
      <c r="V82" s="70"/>
      <c r="W82" s="70">
        <f t="shared" si="42"/>
        <v>500</v>
      </c>
      <c r="X82" s="70"/>
      <c r="Y82" s="70">
        <f t="shared" si="43"/>
        <v>500</v>
      </c>
      <c r="Z82" s="70"/>
      <c r="AA82" s="70">
        <f t="shared" si="44"/>
        <v>500</v>
      </c>
      <c r="AB82" s="70"/>
      <c r="AC82" s="70">
        <f t="shared" si="26"/>
        <v>500</v>
      </c>
      <c r="AD82" s="105"/>
      <c r="AE82" s="105"/>
    </row>
    <row r="83" spans="1:31" s="22" customFormat="1" ht="24">
      <c r="A83" s="76"/>
      <c r="B83" s="72"/>
      <c r="C83" s="59">
        <v>4740</v>
      </c>
      <c r="D83" s="36" t="s">
        <v>270</v>
      </c>
      <c r="E83" s="70">
        <v>2000</v>
      </c>
      <c r="F83" s="70"/>
      <c r="G83" s="70">
        <f t="shared" si="34"/>
        <v>2000</v>
      </c>
      <c r="H83" s="70"/>
      <c r="I83" s="70">
        <f t="shared" si="35"/>
        <v>2000</v>
      </c>
      <c r="J83" s="70"/>
      <c r="K83" s="70">
        <f t="shared" si="36"/>
        <v>2000</v>
      </c>
      <c r="L83" s="70"/>
      <c r="M83" s="70">
        <f t="shared" si="37"/>
        <v>2000</v>
      </c>
      <c r="N83" s="70"/>
      <c r="O83" s="70">
        <f t="shared" si="38"/>
        <v>2000</v>
      </c>
      <c r="P83" s="70"/>
      <c r="Q83" s="70">
        <f t="shared" si="39"/>
        <v>2000</v>
      </c>
      <c r="R83" s="70"/>
      <c r="S83" s="70">
        <f t="shared" si="40"/>
        <v>2000</v>
      </c>
      <c r="T83" s="70"/>
      <c r="U83" s="70">
        <f t="shared" si="41"/>
        <v>2000</v>
      </c>
      <c r="V83" s="70"/>
      <c r="W83" s="70">
        <f t="shared" si="42"/>
        <v>2000</v>
      </c>
      <c r="X83" s="70"/>
      <c r="Y83" s="70">
        <f t="shared" si="43"/>
        <v>2000</v>
      </c>
      <c r="Z83" s="70"/>
      <c r="AA83" s="70">
        <f t="shared" si="44"/>
        <v>2000</v>
      </c>
      <c r="AB83" s="70"/>
      <c r="AC83" s="70">
        <f t="shared" si="26"/>
        <v>2000</v>
      </c>
      <c r="AD83" s="105"/>
      <c r="AE83" s="105"/>
    </row>
    <row r="84" spans="1:31" s="22" customFormat="1" ht="24">
      <c r="A84" s="76"/>
      <c r="B84" s="72"/>
      <c r="C84" s="59">
        <v>4750</v>
      </c>
      <c r="D84" s="36" t="s">
        <v>277</v>
      </c>
      <c r="E84" s="70">
        <v>1000</v>
      </c>
      <c r="F84" s="70"/>
      <c r="G84" s="70">
        <f t="shared" si="34"/>
        <v>1000</v>
      </c>
      <c r="H84" s="70"/>
      <c r="I84" s="70">
        <f t="shared" si="35"/>
        <v>1000</v>
      </c>
      <c r="J84" s="70"/>
      <c r="K84" s="70">
        <f t="shared" si="36"/>
        <v>1000</v>
      </c>
      <c r="L84" s="70"/>
      <c r="M84" s="70">
        <f t="shared" si="37"/>
        <v>1000</v>
      </c>
      <c r="N84" s="70"/>
      <c r="O84" s="70">
        <f t="shared" si="38"/>
        <v>1000</v>
      </c>
      <c r="P84" s="70"/>
      <c r="Q84" s="70">
        <f t="shared" si="39"/>
        <v>1000</v>
      </c>
      <c r="R84" s="70"/>
      <c r="S84" s="70">
        <f t="shared" si="40"/>
        <v>1000</v>
      </c>
      <c r="T84" s="70"/>
      <c r="U84" s="70">
        <f t="shared" si="41"/>
        <v>1000</v>
      </c>
      <c r="V84" s="70"/>
      <c r="W84" s="70">
        <f t="shared" si="42"/>
        <v>1000</v>
      </c>
      <c r="X84" s="70"/>
      <c r="Y84" s="70">
        <f t="shared" si="43"/>
        <v>1000</v>
      </c>
      <c r="Z84" s="70"/>
      <c r="AA84" s="70">
        <f t="shared" si="44"/>
        <v>1000</v>
      </c>
      <c r="AB84" s="70"/>
      <c r="AC84" s="70">
        <f t="shared" si="26"/>
        <v>1000</v>
      </c>
      <c r="AD84" s="105"/>
      <c r="AE84" s="105"/>
    </row>
    <row r="85" spans="1:31" s="22" customFormat="1" ht="24">
      <c r="A85" s="76"/>
      <c r="B85" s="72" t="s">
        <v>29</v>
      </c>
      <c r="C85" s="76"/>
      <c r="D85" s="36" t="s">
        <v>30</v>
      </c>
      <c r="E85" s="70">
        <f aca="true" t="shared" si="45" ref="E85:Z85">SUM(E86:E110)</f>
        <v>5079910</v>
      </c>
      <c r="F85" s="70">
        <f t="shared" si="45"/>
        <v>-567300</v>
      </c>
      <c r="G85" s="70">
        <f t="shared" si="45"/>
        <v>4512610</v>
      </c>
      <c r="H85" s="70">
        <f t="shared" si="45"/>
        <v>45302</v>
      </c>
      <c r="I85" s="70">
        <f t="shared" si="45"/>
        <v>4557912</v>
      </c>
      <c r="J85" s="70">
        <f t="shared" si="45"/>
        <v>0</v>
      </c>
      <c r="K85" s="70">
        <f t="shared" si="45"/>
        <v>4557912</v>
      </c>
      <c r="L85" s="70">
        <f t="shared" si="45"/>
        <v>0</v>
      </c>
      <c r="M85" s="70">
        <f t="shared" si="45"/>
        <v>4557912</v>
      </c>
      <c r="N85" s="70">
        <f t="shared" si="45"/>
        <v>0</v>
      </c>
      <c r="O85" s="70">
        <f t="shared" si="45"/>
        <v>4557912</v>
      </c>
      <c r="P85" s="70">
        <f t="shared" si="45"/>
        <v>0</v>
      </c>
      <c r="Q85" s="70">
        <f t="shared" si="45"/>
        <v>4557912</v>
      </c>
      <c r="R85" s="70">
        <f t="shared" si="45"/>
        <v>0</v>
      </c>
      <c r="S85" s="70">
        <f t="shared" si="45"/>
        <v>4557912</v>
      </c>
      <c r="T85" s="70">
        <f t="shared" si="45"/>
        <v>360000</v>
      </c>
      <c r="U85" s="70">
        <f t="shared" si="45"/>
        <v>4917912</v>
      </c>
      <c r="V85" s="70">
        <f t="shared" si="45"/>
        <v>0</v>
      </c>
      <c r="W85" s="70">
        <f t="shared" si="45"/>
        <v>4917912</v>
      </c>
      <c r="X85" s="70">
        <f t="shared" si="45"/>
        <v>14060</v>
      </c>
      <c r="Y85" s="70">
        <f t="shared" si="45"/>
        <v>4931972</v>
      </c>
      <c r="Z85" s="70">
        <f t="shared" si="45"/>
        <v>-3</v>
      </c>
      <c r="AA85" s="70">
        <f t="shared" si="44"/>
        <v>4931969</v>
      </c>
      <c r="AB85" s="70">
        <f>SUM(AB86:AB110)</f>
        <v>0</v>
      </c>
      <c r="AC85" s="70">
        <f t="shared" si="26"/>
        <v>4931969</v>
      </c>
      <c r="AD85" s="105"/>
      <c r="AE85" s="105"/>
    </row>
    <row r="86" spans="1:31" s="22" customFormat="1" ht="21" customHeight="1">
      <c r="A86" s="76"/>
      <c r="B86" s="72"/>
      <c r="C86" s="56">
        <v>3020</v>
      </c>
      <c r="D86" s="36" t="s">
        <v>225</v>
      </c>
      <c r="E86" s="70">
        <v>33500</v>
      </c>
      <c r="F86" s="70"/>
      <c r="G86" s="70">
        <f aca="true" t="shared" si="46" ref="G86:G104">SUM(E86:F86)</f>
        <v>33500</v>
      </c>
      <c r="H86" s="70"/>
      <c r="I86" s="70">
        <f aca="true" t="shared" si="47" ref="I86:I104">SUM(G86:H86)</f>
        <v>33500</v>
      </c>
      <c r="J86" s="70"/>
      <c r="K86" s="70">
        <f aca="true" t="shared" si="48" ref="K86:K110">SUM(I86:J86)</f>
        <v>33500</v>
      </c>
      <c r="L86" s="70"/>
      <c r="M86" s="70">
        <f aca="true" t="shared" si="49" ref="M86:M110">SUM(K86:L86)</f>
        <v>33500</v>
      </c>
      <c r="N86" s="70"/>
      <c r="O86" s="70">
        <f aca="true" t="shared" si="50" ref="O86:O110">SUM(M86:N86)</f>
        <v>33500</v>
      </c>
      <c r="P86" s="70"/>
      <c r="Q86" s="70">
        <f aca="true" t="shared" si="51" ref="Q86:Q110">SUM(O86:P86)</f>
        <v>33500</v>
      </c>
      <c r="R86" s="70"/>
      <c r="S86" s="70">
        <f aca="true" t="shared" si="52" ref="S86:S110">SUM(Q86:R86)</f>
        <v>33500</v>
      </c>
      <c r="T86" s="70"/>
      <c r="U86" s="70">
        <f aca="true" t="shared" si="53" ref="U86:U110">SUM(S86:T86)</f>
        <v>33500</v>
      </c>
      <c r="V86" s="70"/>
      <c r="W86" s="70">
        <f aca="true" t="shared" si="54" ref="W86:W110">SUM(U86:V86)</f>
        <v>33500</v>
      </c>
      <c r="X86" s="70"/>
      <c r="Y86" s="70">
        <f aca="true" t="shared" si="55" ref="Y86:Y110">SUM(W86:X86)</f>
        <v>33500</v>
      </c>
      <c r="Z86" s="70"/>
      <c r="AA86" s="70">
        <f t="shared" si="44"/>
        <v>33500</v>
      </c>
      <c r="AB86" s="70"/>
      <c r="AC86" s="70">
        <f t="shared" si="26"/>
        <v>33500</v>
      </c>
      <c r="AD86" s="105"/>
      <c r="AE86" s="105"/>
    </row>
    <row r="87" spans="1:31" s="22" customFormat="1" ht="21" customHeight="1">
      <c r="A87" s="76"/>
      <c r="B87" s="72"/>
      <c r="C87" s="56">
        <v>3030</v>
      </c>
      <c r="D87" s="36" t="s">
        <v>113</v>
      </c>
      <c r="E87" s="70">
        <v>60000</v>
      </c>
      <c r="F87" s="70"/>
      <c r="G87" s="70">
        <f t="shared" si="46"/>
        <v>60000</v>
      </c>
      <c r="H87" s="70"/>
      <c r="I87" s="70">
        <f t="shared" si="47"/>
        <v>60000</v>
      </c>
      <c r="J87" s="70"/>
      <c r="K87" s="70">
        <f t="shared" si="48"/>
        <v>60000</v>
      </c>
      <c r="L87" s="70"/>
      <c r="M87" s="70">
        <f t="shared" si="49"/>
        <v>60000</v>
      </c>
      <c r="N87" s="70"/>
      <c r="O87" s="70">
        <f t="shared" si="50"/>
        <v>60000</v>
      </c>
      <c r="P87" s="70"/>
      <c r="Q87" s="70">
        <f t="shared" si="51"/>
        <v>60000</v>
      </c>
      <c r="R87" s="70"/>
      <c r="S87" s="70">
        <f t="shared" si="52"/>
        <v>60000</v>
      </c>
      <c r="T87" s="70"/>
      <c r="U87" s="70">
        <f t="shared" si="53"/>
        <v>60000</v>
      </c>
      <c r="V87" s="70"/>
      <c r="W87" s="70">
        <f t="shared" si="54"/>
        <v>60000</v>
      </c>
      <c r="X87" s="70"/>
      <c r="Y87" s="70">
        <f t="shared" si="55"/>
        <v>60000</v>
      </c>
      <c r="Z87" s="70"/>
      <c r="AA87" s="70">
        <f t="shared" si="44"/>
        <v>60000</v>
      </c>
      <c r="AB87" s="70"/>
      <c r="AC87" s="70">
        <f t="shared" si="26"/>
        <v>60000</v>
      </c>
      <c r="AD87" s="105"/>
      <c r="AE87" s="105"/>
    </row>
    <row r="88" spans="1:31" s="22" customFormat="1" ht="21" customHeight="1">
      <c r="A88" s="76"/>
      <c r="B88" s="72"/>
      <c r="C88" s="56">
        <v>4010</v>
      </c>
      <c r="D88" s="36" t="s">
        <v>108</v>
      </c>
      <c r="E88" s="70">
        <v>2527500</v>
      </c>
      <c r="F88" s="70">
        <v>127000</v>
      </c>
      <c r="G88" s="70">
        <f t="shared" si="46"/>
        <v>2654500</v>
      </c>
      <c r="H88" s="70"/>
      <c r="I88" s="70">
        <f t="shared" si="47"/>
        <v>2654500</v>
      </c>
      <c r="J88" s="70"/>
      <c r="K88" s="70">
        <f t="shared" si="48"/>
        <v>2654500</v>
      </c>
      <c r="L88" s="70"/>
      <c r="M88" s="70">
        <f t="shared" si="49"/>
        <v>2654500</v>
      </c>
      <c r="N88" s="70"/>
      <c r="O88" s="70">
        <f t="shared" si="50"/>
        <v>2654500</v>
      </c>
      <c r="P88" s="70"/>
      <c r="Q88" s="70">
        <f t="shared" si="51"/>
        <v>2654500</v>
      </c>
      <c r="R88" s="70"/>
      <c r="S88" s="70">
        <f t="shared" si="52"/>
        <v>2654500</v>
      </c>
      <c r="T88" s="70"/>
      <c r="U88" s="70">
        <f t="shared" si="53"/>
        <v>2654500</v>
      </c>
      <c r="V88" s="70"/>
      <c r="W88" s="70">
        <f t="shared" si="54"/>
        <v>2654500</v>
      </c>
      <c r="X88" s="70"/>
      <c r="Y88" s="70">
        <f t="shared" si="55"/>
        <v>2654500</v>
      </c>
      <c r="Z88" s="70"/>
      <c r="AA88" s="70">
        <f t="shared" si="44"/>
        <v>2654500</v>
      </c>
      <c r="AB88" s="70"/>
      <c r="AC88" s="70">
        <f t="shared" si="26"/>
        <v>2654500</v>
      </c>
      <c r="AD88" s="105"/>
      <c r="AE88" s="105"/>
    </row>
    <row r="89" spans="1:31" s="22" customFormat="1" ht="21" customHeight="1">
      <c r="A89" s="76"/>
      <c r="B89" s="72"/>
      <c r="C89" s="56">
        <v>4040</v>
      </c>
      <c r="D89" s="36" t="s">
        <v>109</v>
      </c>
      <c r="E89" s="70">
        <v>165000</v>
      </c>
      <c r="F89" s="70"/>
      <c r="G89" s="70">
        <f t="shared" si="46"/>
        <v>165000</v>
      </c>
      <c r="H89" s="70">
        <v>-11720</v>
      </c>
      <c r="I89" s="70">
        <f t="shared" si="47"/>
        <v>153280</v>
      </c>
      <c r="J89" s="70"/>
      <c r="K89" s="70">
        <f t="shared" si="48"/>
        <v>153280</v>
      </c>
      <c r="L89" s="70"/>
      <c r="M89" s="70">
        <f t="shared" si="49"/>
        <v>153280</v>
      </c>
      <c r="N89" s="70"/>
      <c r="O89" s="70">
        <f t="shared" si="50"/>
        <v>153280</v>
      </c>
      <c r="P89" s="70">
        <v>859</v>
      </c>
      <c r="Q89" s="70">
        <f t="shared" si="51"/>
        <v>154139</v>
      </c>
      <c r="R89" s="70"/>
      <c r="S89" s="70">
        <f t="shared" si="52"/>
        <v>154139</v>
      </c>
      <c r="T89" s="70"/>
      <c r="U89" s="70">
        <f t="shared" si="53"/>
        <v>154139</v>
      </c>
      <c r="V89" s="70"/>
      <c r="W89" s="70">
        <f t="shared" si="54"/>
        <v>154139</v>
      </c>
      <c r="X89" s="70"/>
      <c r="Y89" s="70">
        <f t="shared" si="55"/>
        <v>154139</v>
      </c>
      <c r="Z89" s="70"/>
      <c r="AA89" s="70">
        <f t="shared" si="44"/>
        <v>154139</v>
      </c>
      <c r="AB89" s="70"/>
      <c r="AC89" s="70">
        <f t="shared" si="26"/>
        <v>154139</v>
      </c>
      <c r="AD89" s="105"/>
      <c r="AE89" s="105"/>
    </row>
    <row r="90" spans="1:31" s="22" customFormat="1" ht="21" customHeight="1">
      <c r="A90" s="76"/>
      <c r="B90" s="72"/>
      <c r="C90" s="56">
        <v>4110</v>
      </c>
      <c r="D90" s="36" t="s">
        <v>110</v>
      </c>
      <c r="E90" s="70">
        <v>465500</v>
      </c>
      <c r="F90" s="70">
        <v>21950</v>
      </c>
      <c r="G90" s="70">
        <f t="shared" si="46"/>
        <v>487450</v>
      </c>
      <c r="H90" s="70"/>
      <c r="I90" s="70">
        <f t="shared" si="47"/>
        <v>487450</v>
      </c>
      <c r="J90" s="70"/>
      <c r="K90" s="70">
        <f t="shared" si="48"/>
        <v>487450</v>
      </c>
      <c r="L90" s="70"/>
      <c r="M90" s="70">
        <f t="shared" si="49"/>
        <v>487450</v>
      </c>
      <c r="N90" s="70"/>
      <c r="O90" s="70">
        <f t="shared" si="50"/>
        <v>487450</v>
      </c>
      <c r="P90" s="70">
        <v>-859</v>
      </c>
      <c r="Q90" s="70">
        <f t="shared" si="51"/>
        <v>486591</v>
      </c>
      <c r="R90" s="70"/>
      <c r="S90" s="70">
        <f t="shared" si="52"/>
        <v>486591</v>
      </c>
      <c r="T90" s="70"/>
      <c r="U90" s="70">
        <f t="shared" si="53"/>
        <v>486591</v>
      </c>
      <c r="V90" s="70"/>
      <c r="W90" s="70">
        <f t="shared" si="54"/>
        <v>486591</v>
      </c>
      <c r="X90" s="70"/>
      <c r="Y90" s="70">
        <f t="shared" si="55"/>
        <v>486591</v>
      </c>
      <c r="Z90" s="70"/>
      <c r="AA90" s="70">
        <f t="shared" si="44"/>
        <v>486591</v>
      </c>
      <c r="AB90" s="70"/>
      <c r="AC90" s="70">
        <f aca="true" t="shared" si="56" ref="AC90:AC133">SUM(AA90:AB90)</f>
        <v>486591</v>
      </c>
      <c r="AD90" s="105"/>
      <c r="AE90" s="105"/>
    </row>
    <row r="91" spans="1:31" s="22" customFormat="1" ht="21" customHeight="1">
      <c r="A91" s="76"/>
      <c r="B91" s="72"/>
      <c r="C91" s="56">
        <v>4120</v>
      </c>
      <c r="D91" s="36" t="s">
        <v>111</v>
      </c>
      <c r="E91" s="70">
        <v>65100</v>
      </c>
      <c r="F91" s="70">
        <v>5720</v>
      </c>
      <c r="G91" s="70">
        <f t="shared" si="46"/>
        <v>70820</v>
      </c>
      <c r="H91" s="70"/>
      <c r="I91" s="70">
        <f t="shared" si="47"/>
        <v>70820</v>
      </c>
      <c r="J91" s="70"/>
      <c r="K91" s="70">
        <f t="shared" si="48"/>
        <v>70820</v>
      </c>
      <c r="L91" s="70"/>
      <c r="M91" s="70">
        <f t="shared" si="49"/>
        <v>70820</v>
      </c>
      <c r="N91" s="70"/>
      <c r="O91" s="70">
        <f t="shared" si="50"/>
        <v>70820</v>
      </c>
      <c r="P91" s="70"/>
      <c r="Q91" s="70">
        <f t="shared" si="51"/>
        <v>70820</v>
      </c>
      <c r="R91" s="70"/>
      <c r="S91" s="70">
        <f t="shared" si="52"/>
        <v>70820</v>
      </c>
      <c r="T91" s="70"/>
      <c r="U91" s="70">
        <f t="shared" si="53"/>
        <v>70820</v>
      </c>
      <c r="V91" s="70"/>
      <c r="W91" s="70">
        <f t="shared" si="54"/>
        <v>70820</v>
      </c>
      <c r="X91" s="70"/>
      <c r="Y91" s="70">
        <f t="shared" si="55"/>
        <v>70820</v>
      </c>
      <c r="Z91" s="70"/>
      <c r="AA91" s="70">
        <f t="shared" si="44"/>
        <v>70820</v>
      </c>
      <c r="AB91" s="70"/>
      <c r="AC91" s="70">
        <f t="shared" si="56"/>
        <v>70820</v>
      </c>
      <c r="AD91" s="105"/>
      <c r="AE91" s="105"/>
    </row>
    <row r="92" spans="1:31" s="22" customFormat="1" ht="21" customHeight="1">
      <c r="A92" s="76"/>
      <c r="B92" s="72"/>
      <c r="C92" s="56">
        <v>4170</v>
      </c>
      <c r="D92" s="36" t="s">
        <v>227</v>
      </c>
      <c r="E92" s="70">
        <v>12000</v>
      </c>
      <c r="F92" s="70"/>
      <c r="G92" s="70">
        <f t="shared" si="46"/>
        <v>12000</v>
      </c>
      <c r="H92" s="70"/>
      <c r="I92" s="70">
        <f t="shared" si="47"/>
        <v>12000</v>
      </c>
      <c r="J92" s="70"/>
      <c r="K92" s="70">
        <f t="shared" si="48"/>
        <v>12000</v>
      </c>
      <c r="L92" s="70"/>
      <c r="M92" s="70">
        <f t="shared" si="49"/>
        <v>12000</v>
      </c>
      <c r="N92" s="70"/>
      <c r="O92" s="70">
        <f t="shared" si="50"/>
        <v>12000</v>
      </c>
      <c r="P92" s="70"/>
      <c r="Q92" s="70">
        <f t="shared" si="51"/>
        <v>12000</v>
      </c>
      <c r="R92" s="70"/>
      <c r="S92" s="70">
        <f t="shared" si="52"/>
        <v>12000</v>
      </c>
      <c r="T92" s="70"/>
      <c r="U92" s="70">
        <f t="shared" si="53"/>
        <v>12000</v>
      </c>
      <c r="V92" s="70"/>
      <c r="W92" s="70">
        <f t="shared" si="54"/>
        <v>12000</v>
      </c>
      <c r="X92" s="70"/>
      <c r="Y92" s="70">
        <f t="shared" si="55"/>
        <v>12000</v>
      </c>
      <c r="Z92" s="70">
        <v>6000</v>
      </c>
      <c r="AA92" s="70">
        <f t="shared" si="44"/>
        <v>18000</v>
      </c>
      <c r="AB92" s="70"/>
      <c r="AC92" s="70">
        <f t="shared" si="56"/>
        <v>18000</v>
      </c>
      <c r="AD92" s="105"/>
      <c r="AE92" s="105"/>
    </row>
    <row r="93" spans="1:31" s="22" customFormat="1" ht="21" customHeight="1">
      <c r="A93" s="76"/>
      <c r="B93" s="72"/>
      <c r="C93" s="56">
        <v>4210</v>
      </c>
      <c r="D93" s="36" t="s">
        <v>116</v>
      </c>
      <c r="E93" s="70">
        <f>173500-30300+1600</f>
        <v>144800</v>
      </c>
      <c r="F93" s="70">
        <f>6450-5000</f>
        <v>1450</v>
      </c>
      <c r="G93" s="70">
        <f t="shared" si="46"/>
        <v>146250</v>
      </c>
      <c r="H93" s="70">
        <v>69651</v>
      </c>
      <c r="I93" s="70">
        <f t="shared" si="47"/>
        <v>215901</v>
      </c>
      <c r="J93" s="70"/>
      <c r="K93" s="70">
        <f t="shared" si="48"/>
        <v>215901</v>
      </c>
      <c r="L93" s="70"/>
      <c r="M93" s="70">
        <f t="shared" si="49"/>
        <v>215901</v>
      </c>
      <c r="N93" s="70"/>
      <c r="O93" s="70">
        <f t="shared" si="50"/>
        <v>215901</v>
      </c>
      <c r="P93" s="70"/>
      <c r="Q93" s="70">
        <f t="shared" si="51"/>
        <v>215901</v>
      </c>
      <c r="R93" s="70"/>
      <c r="S93" s="70">
        <f t="shared" si="52"/>
        <v>215901</v>
      </c>
      <c r="T93" s="70">
        <v>60000</v>
      </c>
      <c r="U93" s="70">
        <f t="shared" si="53"/>
        <v>275901</v>
      </c>
      <c r="V93" s="70"/>
      <c r="W93" s="70">
        <f t="shared" si="54"/>
        <v>275901</v>
      </c>
      <c r="X93" s="70"/>
      <c r="Y93" s="70">
        <f t="shared" si="55"/>
        <v>275901</v>
      </c>
      <c r="Z93" s="70">
        <v>-3</v>
      </c>
      <c r="AA93" s="70">
        <f t="shared" si="44"/>
        <v>275898</v>
      </c>
      <c r="AB93" s="70"/>
      <c r="AC93" s="70">
        <f t="shared" si="56"/>
        <v>275898</v>
      </c>
      <c r="AD93" s="105"/>
      <c r="AE93" s="105"/>
    </row>
    <row r="94" spans="1:31" s="22" customFormat="1" ht="21" customHeight="1">
      <c r="A94" s="76"/>
      <c r="B94" s="72"/>
      <c r="C94" s="56">
        <v>4260</v>
      </c>
      <c r="D94" s="36" t="s">
        <v>119</v>
      </c>
      <c r="E94" s="70">
        <v>89500</v>
      </c>
      <c r="F94" s="70"/>
      <c r="G94" s="70">
        <f t="shared" si="46"/>
        <v>89500</v>
      </c>
      <c r="H94" s="70"/>
      <c r="I94" s="70">
        <f t="shared" si="47"/>
        <v>89500</v>
      </c>
      <c r="J94" s="70"/>
      <c r="K94" s="70">
        <f t="shared" si="48"/>
        <v>89500</v>
      </c>
      <c r="L94" s="70"/>
      <c r="M94" s="70">
        <f t="shared" si="49"/>
        <v>89500</v>
      </c>
      <c r="N94" s="70"/>
      <c r="O94" s="70">
        <f t="shared" si="50"/>
        <v>89500</v>
      </c>
      <c r="P94" s="70"/>
      <c r="Q94" s="70">
        <f t="shared" si="51"/>
        <v>89500</v>
      </c>
      <c r="R94" s="70"/>
      <c r="S94" s="70">
        <f t="shared" si="52"/>
        <v>89500</v>
      </c>
      <c r="T94" s="70"/>
      <c r="U94" s="70">
        <f t="shared" si="53"/>
        <v>89500</v>
      </c>
      <c r="V94" s="70">
        <v>5000</v>
      </c>
      <c r="W94" s="70">
        <f t="shared" si="54"/>
        <v>94500</v>
      </c>
      <c r="X94" s="70"/>
      <c r="Y94" s="70">
        <f t="shared" si="55"/>
        <v>94500</v>
      </c>
      <c r="Z94" s="70"/>
      <c r="AA94" s="70">
        <f t="shared" si="44"/>
        <v>94500</v>
      </c>
      <c r="AB94" s="70"/>
      <c r="AC94" s="70">
        <f t="shared" si="56"/>
        <v>94500</v>
      </c>
      <c r="AD94" s="105"/>
      <c r="AE94" s="105"/>
    </row>
    <row r="95" spans="1:31" s="22" customFormat="1" ht="21" customHeight="1">
      <c r="A95" s="76"/>
      <c r="B95" s="72"/>
      <c r="C95" s="56">
        <v>4270</v>
      </c>
      <c r="D95" s="36" t="s">
        <v>102</v>
      </c>
      <c r="E95" s="70">
        <f>12000+800000</f>
        <v>812000</v>
      </c>
      <c r="F95" s="70">
        <f>-800000+50000</f>
        <v>-750000</v>
      </c>
      <c r="G95" s="70">
        <f t="shared" si="46"/>
        <v>62000</v>
      </c>
      <c r="H95" s="70"/>
      <c r="I95" s="70">
        <f t="shared" si="47"/>
        <v>62000</v>
      </c>
      <c r="J95" s="70"/>
      <c r="K95" s="70">
        <f t="shared" si="48"/>
        <v>62000</v>
      </c>
      <c r="L95" s="70"/>
      <c r="M95" s="70">
        <f t="shared" si="49"/>
        <v>62000</v>
      </c>
      <c r="N95" s="70"/>
      <c r="O95" s="70">
        <f t="shared" si="50"/>
        <v>62000</v>
      </c>
      <c r="P95" s="70"/>
      <c r="Q95" s="70">
        <f t="shared" si="51"/>
        <v>62000</v>
      </c>
      <c r="R95" s="70"/>
      <c r="S95" s="70">
        <f t="shared" si="52"/>
        <v>62000</v>
      </c>
      <c r="T95" s="70">
        <v>300000</v>
      </c>
      <c r="U95" s="70">
        <f t="shared" si="53"/>
        <v>362000</v>
      </c>
      <c r="V95" s="70"/>
      <c r="W95" s="70">
        <f t="shared" si="54"/>
        <v>362000</v>
      </c>
      <c r="X95" s="70"/>
      <c r="Y95" s="70">
        <f t="shared" si="55"/>
        <v>362000</v>
      </c>
      <c r="Z95" s="70"/>
      <c r="AA95" s="70">
        <f t="shared" si="44"/>
        <v>362000</v>
      </c>
      <c r="AB95" s="70"/>
      <c r="AC95" s="70">
        <f t="shared" si="56"/>
        <v>362000</v>
      </c>
      <c r="AD95" s="105"/>
      <c r="AE95" s="105"/>
    </row>
    <row r="96" spans="1:31" s="22" customFormat="1" ht="21" customHeight="1">
      <c r="A96" s="76"/>
      <c r="B96" s="72"/>
      <c r="C96" s="56">
        <v>4280</v>
      </c>
      <c r="D96" s="36" t="s">
        <v>258</v>
      </c>
      <c r="E96" s="70">
        <v>10000</v>
      </c>
      <c r="F96" s="70"/>
      <c r="G96" s="70">
        <f t="shared" si="46"/>
        <v>10000</v>
      </c>
      <c r="H96" s="70"/>
      <c r="I96" s="70">
        <f t="shared" si="47"/>
        <v>10000</v>
      </c>
      <c r="J96" s="70"/>
      <c r="K96" s="70">
        <f t="shared" si="48"/>
        <v>10000</v>
      </c>
      <c r="L96" s="70"/>
      <c r="M96" s="70">
        <f t="shared" si="49"/>
        <v>10000</v>
      </c>
      <c r="N96" s="70"/>
      <c r="O96" s="70">
        <f t="shared" si="50"/>
        <v>10000</v>
      </c>
      <c r="P96" s="70"/>
      <c r="Q96" s="70">
        <f t="shared" si="51"/>
        <v>10000</v>
      </c>
      <c r="R96" s="70"/>
      <c r="S96" s="70">
        <f t="shared" si="52"/>
        <v>10000</v>
      </c>
      <c r="T96" s="70"/>
      <c r="U96" s="70">
        <f t="shared" si="53"/>
        <v>10000</v>
      </c>
      <c r="V96" s="70"/>
      <c r="W96" s="70">
        <f t="shared" si="54"/>
        <v>10000</v>
      </c>
      <c r="X96" s="70"/>
      <c r="Y96" s="70">
        <f t="shared" si="55"/>
        <v>10000</v>
      </c>
      <c r="Z96" s="70"/>
      <c r="AA96" s="70">
        <f t="shared" si="44"/>
        <v>10000</v>
      </c>
      <c r="AB96" s="70"/>
      <c r="AC96" s="70">
        <f t="shared" si="56"/>
        <v>10000</v>
      </c>
      <c r="AD96" s="105"/>
      <c r="AE96" s="105"/>
    </row>
    <row r="97" spans="1:31" s="22" customFormat="1" ht="21" customHeight="1">
      <c r="A97" s="76"/>
      <c r="B97" s="72"/>
      <c r="C97" s="56">
        <v>4300</v>
      </c>
      <c r="D97" s="36" t="s">
        <v>103</v>
      </c>
      <c r="E97" s="70">
        <v>216100</v>
      </c>
      <c r="F97" s="70">
        <v>2060</v>
      </c>
      <c r="G97" s="70">
        <f t="shared" si="46"/>
        <v>218160</v>
      </c>
      <c r="H97" s="70">
        <v>12500</v>
      </c>
      <c r="I97" s="70">
        <f t="shared" si="47"/>
        <v>230660</v>
      </c>
      <c r="J97" s="70"/>
      <c r="K97" s="70">
        <f t="shared" si="48"/>
        <v>230660</v>
      </c>
      <c r="L97" s="70"/>
      <c r="M97" s="70">
        <f t="shared" si="49"/>
        <v>230660</v>
      </c>
      <c r="N97" s="70"/>
      <c r="O97" s="70">
        <f t="shared" si="50"/>
        <v>230660</v>
      </c>
      <c r="P97" s="70"/>
      <c r="Q97" s="70">
        <f t="shared" si="51"/>
        <v>230660</v>
      </c>
      <c r="R97" s="70"/>
      <c r="S97" s="70">
        <f t="shared" si="52"/>
        <v>230660</v>
      </c>
      <c r="T97" s="70"/>
      <c r="U97" s="70">
        <f t="shared" si="53"/>
        <v>230660</v>
      </c>
      <c r="V97" s="70">
        <v>-5000</v>
      </c>
      <c r="W97" s="70">
        <f t="shared" si="54"/>
        <v>225660</v>
      </c>
      <c r="X97" s="70">
        <v>14060</v>
      </c>
      <c r="Y97" s="70">
        <f t="shared" si="55"/>
        <v>239720</v>
      </c>
      <c r="Z97" s="70"/>
      <c r="AA97" s="70">
        <f t="shared" si="44"/>
        <v>239720</v>
      </c>
      <c r="AB97" s="70">
        <v>-1500</v>
      </c>
      <c r="AC97" s="70">
        <f t="shared" si="56"/>
        <v>238220</v>
      </c>
      <c r="AD97" s="105"/>
      <c r="AE97" s="105"/>
    </row>
    <row r="98" spans="1:31" s="22" customFormat="1" ht="21" customHeight="1">
      <c r="A98" s="76"/>
      <c r="B98" s="72"/>
      <c r="C98" s="56">
        <v>4350</v>
      </c>
      <c r="D98" s="36" t="s">
        <v>246</v>
      </c>
      <c r="E98" s="70">
        <v>7600</v>
      </c>
      <c r="F98" s="70"/>
      <c r="G98" s="70">
        <f t="shared" si="46"/>
        <v>7600</v>
      </c>
      <c r="H98" s="70"/>
      <c r="I98" s="70">
        <f t="shared" si="47"/>
        <v>7600</v>
      </c>
      <c r="J98" s="70"/>
      <c r="K98" s="70">
        <f t="shared" si="48"/>
        <v>7600</v>
      </c>
      <c r="L98" s="70"/>
      <c r="M98" s="70">
        <f t="shared" si="49"/>
        <v>7600</v>
      </c>
      <c r="N98" s="70"/>
      <c r="O98" s="70">
        <f t="shared" si="50"/>
        <v>7600</v>
      </c>
      <c r="P98" s="70"/>
      <c r="Q98" s="70">
        <f t="shared" si="51"/>
        <v>7600</v>
      </c>
      <c r="R98" s="70"/>
      <c r="S98" s="70">
        <f t="shared" si="52"/>
        <v>7600</v>
      </c>
      <c r="T98" s="70"/>
      <c r="U98" s="70">
        <f t="shared" si="53"/>
        <v>7600</v>
      </c>
      <c r="V98" s="70">
        <v>7000</v>
      </c>
      <c r="W98" s="70">
        <f t="shared" si="54"/>
        <v>14600</v>
      </c>
      <c r="X98" s="70"/>
      <c r="Y98" s="70">
        <f t="shared" si="55"/>
        <v>14600</v>
      </c>
      <c r="Z98" s="70"/>
      <c r="AA98" s="70">
        <f t="shared" si="44"/>
        <v>14600</v>
      </c>
      <c r="AB98" s="70"/>
      <c r="AC98" s="70">
        <f t="shared" si="56"/>
        <v>14600</v>
      </c>
      <c r="AD98" s="105"/>
      <c r="AE98" s="105"/>
    </row>
    <row r="99" spans="1:31" s="22" customFormat="1" ht="24">
      <c r="A99" s="76"/>
      <c r="B99" s="72"/>
      <c r="C99" s="56">
        <v>4360</v>
      </c>
      <c r="D99" s="36" t="s">
        <v>278</v>
      </c>
      <c r="E99" s="70">
        <v>24960</v>
      </c>
      <c r="F99" s="70"/>
      <c r="G99" s="70">
        <f t="shared" si="46"/>
        <v>24960</v>
      </c>
      <c r="H99" s="70"/>
      <c r="I99" s="70">
        <f t="shared" si="47"/>
        <v>24960</v>
      </c>
      <c r="J99" s="70"/>
      <c r="K99" s="70">
        <f t="shared" si="48"/>
        <v>24960</v>
      </c>
      <c r="L99" s="70"/>
      <c r="M99" s="70">
        <f t="shared" si="49"/>
        <v>24960</v>
      </c>
      <c r="N99" s="70"/>
      <c r="O99" s="70">
        <f t="shared" si="50"/>
        <v>24960</v>
      </c>
      <c r="P99" s="70"/>
      <c r="Q99" s="70">
        <f t="shared" si="51"/>
        <v>24960</v>
      </c>
      <c r="R99" s="70"/>
      <c r="S99" s="70">
        <f t="shared" si="52"/>
        <v>24960</v>
      </c>
      <c r="T99" s="70"/>
      <c r="U99" s="70">
        <f t="shared" si="53"/>
        <v>24960</v>
      </c>
      <c r="V99" s="70"/>
      <c r="W99" s="70">
        <f t="shared" si="54"/>
        <v>24960</v>
      </c>
      <c r="X99" s="70"/>
      <c r="Y99" s="70">
        <f t="shared" si="55"/>
        <v>24960</v>
      </c>
      <c r="Z99" s="70"/>
      <c r="AA99" s="70">
        <f t="shared" si="44"/>
        <v>24960</v>
      </c>
      <c r="AB99" s="70"/>
      <c r="AC99" s="70">
        <f t="shared" si="56"/>
        <v>24960</v>
      </c>
      <c r="AD99" s="105"/>
      <c r="AE99" s="105"/>
    </row>
    <row r="100" spans="1:31" s="22" customFormat="1" ht="24">
      <c r="A100" s="76"/>
      <c r="B100" s="72"/>
      <c r="C100" s="56">
        <v>4370</v>
      </c>
      <c r="D100" s="36" t="s">
        <v>269</v>
      </c>
      <c r="E100" s="70">
        <v>52300</v>
      </c>
      <c r="F100" s="70"/>
      <c r="G100" s="70">
        <f t="shared" si="46"/>
        <v>52300</v>
      </c>
      <c r="H100" s="70"/>
      <c r="I100" s="70">
        <f t="shared" si="47"/>
        <v>52300</v>
      </c>
      <c r="J100" s="70"/>
      <c r="K100" s="70">
        <f t="shared" si="48"/>
        <v>52300</v>
      </c>
      <c r="L100" s="70"/>
      <c r="M100" s="70">
        <f t="shared" si="49"/>
        <v>52300</v>
      </c>
      <c r="N100" s="70"/>
      <c r="O100" s="70">
        <f t="shared" si="50"/>
        <v>52300</v>
      </c>
      <c r="P100" s="70"/>
      <c r="Q100" s="70">
        <f t="shared" si="51"/>
        <v>52300</v>
      </c>
      <c r="R100" s="70"/>
      <c r="S100" s="70">
        <f t="shared" si="52"/>
        <v>52300</v>
      </c>
      <c r="T100" s="70"/>
      <c r="U100" s="70">
        <f t="shared" si="53"/>
        <v>52300</v>
      </c>
      <c r="V100" s="70">
        <v>-7000</v>
      </c>
      <c r="W100" s="70">
        <f t="shared" si="54"/>
        <v>45300</v>
      </c>
      <c r="X100" s="70"/>
      <c r="Y100" s="70">
        <f t="shared" si="55"/>
        <v>45300</v>
      </c>
      <c r="Z100" s="70"/>
      <c r="AA100" s="70">
        <f t="shared" si="44"/>
        <v>45300</v>
      </c>
      <c r="AB100" s="70"/>
      <c r="AC100" s="70">
        <f t="shared" si="56"/>
        <v>45300</v>
      </c>
      <c r="AD100" s="105"/>
      <c r="AE100" s="105"/>
    </row>
    <row r="101" spans="1:31" s="22" customFormat="1" ht="21" customHeight="1">
      <c r="A101" s="76"/>
      <c r="B101" s="72"/>
      <c r="C101" s="56">
        <v>4410</v>
      </c>
      <c r="D101" s="36" t="s">
        <v>114</v>
      </c>
      <c r="E101" s="70">
        <v>58200</v>
      </c>
      <c r="F101" s="70"/>
      <c r="G101" s="70">
        <f t="shared" si="46"/>
        <v>58200</v>
      </c>
      <c r="H101" s="70"/>
      <c r="I101" s="70">
        <f t="shared" si="47"/>
        <v>58200</v>
      </c>
      <c r="J101" s="70"/>
      <c r="K101" s="70">
        <f t="shared" si="48"/>
        <v>58200</v>
      </c>
      <c r="L101" s="70"/>
      <c r="M101" s="70">
        <f t="shared" si="49"/>
        <v>58200</v>
      </c>
      <c r="N101" s="70"/>
      <c r="O101" s="70">
        <f t="shared" si="50"/>
        <v>58200</v>
      </c>
      <c r="P101" s="70"/>
      <c r="Q101" s="70">
        <f t="shared" si="51"/>
        <v>58200</v>
      </c>
      <c r="R101" s="70"/>
      <c r="S101" s="70">
        <f t="shared" si="52"/>
        <v>58200</v>
      </c>
      <c r="T101" s="70"/>
      <c r="U101" s="70">
        <f t="shared" si="53"/>
        <v>58200</v>
      </c>
      <c r="V101" s="70"/>
      <c r="W101" s="70">
        <f t="shared" si="54"/>
        <v>58200</v>
      </c>
      <c r="X101" s="70"/>
      <c r="Y101" s="70">
        <f t="shared" si="55"/>
        <v>58200</v>
      </c>
      <c r="Z101" s="70"/>
      <c r="AA101" s="70">
        <f t="shared" si="44"/>
        <v>58200</v>
      </c>
      <c r="AB101" s="70"/>
      <c r="AC101" s="70">
        <f t="shared" si="56"/>
        <v>58200</v>
      </c>
      <c r="AD101" s="105"/>
      <c r="AE101" s="105"/>
    </row>
    <row r="102" spans="1:31" s="22" customFormat="1" ht="21" customHeight="1">
      <c r="A102" s="76"/>
      <c r="B102" s="72"/>
      <c r="C102" s="76">
        <v>4420</v>
      </c>
      <c r="D102" s="36" t="s">
        <v>117</v>
      </c>
      <c r="E102" s="70">
        <v>5000</v>
      </c>
      <c r="F102" s="70"/>
      <c r="G102" s="70">
        <f t="shared" si="46"/>
        <v>5000</v>
      </c>
      <c r="H102" s="70"/>
      <c r="I102" s="70">
        <f t="shared" si="47"/>
        <v>5000</v>
      </c>
      <c r="J102" s="70"/>
      <c r="K102" s="70">
        <f t="shared" si="48"/>
        <v>5000</v>
      </c>
      <c r="L102" s="70"/>
      <c r="M102" s="70">
        <f t="shared" si="49"/>
        <v>5000</v>
      </c>
      <c r="N102" s="70"/>
      <c r="O102" s="70">
        <f t="shared" si="50"/>
        <v>5000</v>
      </c>
      <c r="P102" s="70"/>
      <c r="Q102" s="70">
        <f t="shared" si="51"/>
        <v>5000</v>
      </c>
      <c r="R102" s="70"/>
      <c r="S102" s="70">
        <f t="shared" si="52"/>
        <v>5000</v>
      </c>
      <c r="T102" s="70"/>
      <c r="U102" s="70">
        <f t="shared" si="53"/>
        <v>5000</v>
      </c>
      <c r="V102" s="70"/>
      <c r="W102" s="70">
        <f t="shared" si="54"/>
        <v>5000</v>
      </c>
      <c r="X102" s="70"/>
      <c r="Y102" s="70">
        <f t="shared" si="55"/>
        <v>5000</v>
      </c>
      <c r="Z102" s="70"/>
      <c r="AA102" s="70">
        <f t="shared" si="44"/>
        <v>5000</v>
      </c>
      <c r="AB102" s="70"/>
      <c r="AC102" s="70">
        <f t="shared" si="56"/>
        <v>5000</v>
      </c>
      <c r="AD102" s="105"/>
      <c r="AE102" s="105"/>
    </row>
    <row r="103" spans="1:31" s="22" customFormat="1" ht="21" customHeight="1">
      <c r="A103" s="76"/>
      <c r="B103" s="72"/>
      <c r="C103" s="59">
        <v>4430</v>
      </c>
      <c r="D103" s="36" t="s">
        <v>118</v>
      </c>
      <c r="E103" s="70">
        <v>71600</v>
      </c>
      <c r="F103" s="70">
        <v>15000</v>
      </c>
      <c r="G103" s="70">
        <f t="shared" si="46"/>
        <v>86600</v>
      </c>
      <c r="H103" s="70">
        <v>1447</v>
      </c>
      <c r="I103" s="70">
        <f t="shared" si="47"/>
        <v>88047</v>
      </c>
      <c r="J103" s="70">
        <v>-4000</v>
      </c>
      <c r="K103" s="70">
        <f t="shared" si="48"/>
        <v>84047</v>
      </c>
      <c r="L103" s="70"/>
      <c r="M103" s="70">
        <f t="shared" si="49"/>
        <v>84047</v>
      </c>
      <c r="N103" s="70"/>
      <c r="O103" s="70">
        <f t="shared" si="50"/>
        <v>84047</v>
      </c>
      <c r="P103" s="70"/>
      <c r="Q103" s="70">
        <f t="shared" si="51"/>
        <v>84047</v>
      </c>
      <c r="R103" s="70"/>
      <c r="S103" s="70">
        <f t="shared" si="52"/>
        <v>84047</v>
      </c>
      <c r="T103" s="70"/>
      <c r="U103" s="70">
        <f t="shared" si="53"/>
        <v>84047</v>
      </c>
      <c r="V103" s="70"/>
      <c r="W103" s="70">
        <f t="shared" si="54"/>
        <v>84047</v>
      </c>
      <c r="X103" s="70"/>
      <c r="Y103" s="70">
        <f t="shared" si="55"/>
        <v>84047</v>
      </c>
      <c r="Z103" s="70">
        <v>-6000</v>
      </c>
      <c r="AA103" s="70">
        <f t="shared" si="44"/>
        <v>78047</v>
      </c>
      <c r="AB103" s="70"/>
      <c r="AC103" s="70">
        <f t="shared" si="56"/>
        <v>78047</v>
      </c>
      <c r="AD103" s="105"/>
      <c r="AE103" s="105"/>
    </row>
    <row r="104" spans="1:31" s="22" customFormat="1" ht="24">
      <c r="A104" s="76"/>
      <c r="B104" s="72"/>
      <c r="C104" s="59">
        <v>4440</v>
      </c>
      <c r="D104" s="36" t="s">
        <v>112</v>
      </c>
      <c r="E104" s="70">
        <v>81450</v>
      </c>
      <c r="F104" s="70">
        <v>3300</v>
      </c>
      <c r="G104" s="70">
        <f t="shared" si="46"/>
        <v>84750</v>
      </c>
      <c r="H104" s="70"/>
      <c r="I104" s="70">
        <f t="shared" si="47"/>
        <v>84750</v>
      </c>
      <c r="J104" s="70"/>
      <c r="K104" s="70">
        <f t="shared" si="48"/>
        <v>84750</v>
      </c>
      <c r="L104" s="70"/>
      <c r="M104" s="70">
        <f t="shared" si="49"/>
        <v>84750</v>
      </c>
      <c r="N104" s="70"/>
      <c r="O104" s="70">
        <f t="shared" si="50"/>
        <v>84750</v>
      </c>
      <c r="P104" s="70"/>
      <c r="Q104" s="70">
        <f t="shared" si="51"/>
        <v>84750</v>
      </c>
      <c r="R104" s="70"/>
      <c r="S104" s="70">
        <f t="shared" si="52"/>
        <v>84750</v>
      </c>
      <c r="T104" s="70"/>
      <c r="U104" s="70">
        <f t="shared" si="53"/>
        <v>84750</v>
      </c>
      <c r="V104" s="70"/>
      <c r="W104" s="70">
        <f t="shared" si="54"/>
        <v>84750</v>
      </c>
      <c r="X104" s="70"/>
      <c r="Y104" s="70">
        <f t="shared" si="55"/>
        <v>84750</v>
      </c>
      <c r="Z104" s="70"/>
      <c r="AA104" s="70">
        <f t="shared" si="44"/>
        <v>84750</v>
      </c>
      <c r="AB104" s="70"/>
      <c r="AC104" s="70">
        <f t="shared" si="56"/>
        <v>84750</v>
      </c>
      <c r="AD104" s="105"/>
      <c r="AE104" s="105"/>
    </row>
    <row r="105" spans="1:31" s="22" customFormat="1" ht="21" customHeight="1">
      <c r="A105" s="76"/>
      <c r="B105" s="72"/>
      <c r="C105" s="59">
        <v>4510</v>
      </c>
      <c r="D105" s="36" t="s">
        <v>175</v>
      </c>
      <c r="E105" s="70"/>
      <c r="F105" s="70"/>
      <c r="G105" s="70"/>
      <c r="H105" s="70"/>
      <c r="I105" s="70">
        <v>0</v>
      </c>
      <c r="J105" s="70">
        <v>4000</v>
      </c>
      <c r="K105" s="70">
        <f t="shared" si="48"/>
        <v>4000</v>
      </c>
      <c r="L105" s="70"/>
      <c r="M105" s="70">
        <f t="shared" si="49"/>
        <v>4000</v>
      </c>
      <c r="N105" s="70"/>
      <c r="O105" s="70">
        <f t="shared" si="50"/>
        <v>4000</v>
      </c>
      <c r="P105" s="70"/>
      <c r="Q105" s="70">
        <f t="shared" si="51"/>
        <v>4000</v>
      </c>
      <c r="R105" s="70"/>
      <c r="S105" s="70">
        <f t="shared" si="52"/>
        <v>4000</v>
      </c>
      <c r="T105" s="70"/>
      <c r="U105" s="70">
        <f t="shared" si="53"/>
        <v>4000</v>
      </c>
      <c r="V105" s="70"/>
      <c r="W105" s="70">
        <f t="shared" si="54"/>
        <v>4000</v>
      </c>
      <c r="X105" s="70"/>
      <c r="Y105" s="70">
        <f t="shared" si="55"/>
        <v>4000</v>
      </c>
      <c r="Z105" s="70"/>
      <c r="AA105" s="70">
        <f t="shared" si="44"/>
        <v>4000</v>
      </c>
      <c r="AB105" s="70"/>
      <c r="AC105" s="70">
        <f t="shared" si="56"/>
        <v>4000</v>
      </c>
      <c r="AD105" s="105"/>
      <c r="AE105" s="105"/>
    </row>
    <row r="106" spans="1:31" s="22" customFormat="1" ht="21" customHeight="1">
      <c r="A106" s="76"/>
      <c r="B106" s="72"/>
      <c r="C106" s="59">
        <v>4580</v>
      </c>
      <c r="D106" s="36" t="s">
        <v>22</v>
      </c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>
        <v>0</v>
      </c>
      <c r="AB106" s="70">
        <v>1500</v>
      </c>
      <c r="AC106" s="70">
        <f t="shared" si="56"/>
        <v>1500</v>
      </c>
      <c r="AD106" s="105"/>
      <c r="AE106" s="105"/>
    </row>
    <row r="107" spans="1:31" s="22" customFormat="1" ht="24">
      <c r="A107" s="76"/>
      <c r="B107" s="72"/>
      <c r="C107" s="59">
        <v>4700</v>
      </c>
      <c r="D107" s="36" t="s">
        <v>321</v>
      </c>
      <c r="E107" s="70">
        <v>31000</v>
      </c>
      <c r="F107" s="70"/>
      <c r="G107" s="70">
        <f>SUM(E107:F107)</f>
        <v>31000</v>
      </c>
      <c r="H107" s="70"/>
      <c r="I107" s="70">
        <f>SUM(G107:H107)</f>
        <v>31000</v>
      </c>
      <c r="J107" s="70"/>
      <c r="K107" s="70">
        <f t="shared" si="48"/>
        <v>31000</v>
      </c>
      <c r="L107" s="70"/>
      <c r="M107" s="70">
        <f t="shared" si="49"/>
        <v>31000</v>
      </c>
      <c r="N107" s="70"/>
      <c r="O107" s="70">
        <f t="shared" si="50"/>
        <v>31000</v>
      </c>
      <c r="P107" s="70"/>
      <c r="Q107" s="70">
        <f t="shared" si="51"/>
        <v>31000</v>
      </c>
      <c r="R107" s="70"/>
      <c r="S107" s="70">
        <f t="shared" si="52"/>
        <v>31000</v>
      </c>
      <c r="T107" s="70"/>
      <c r="U107" s="70">
        <f t="shared" si="53"/>
        <v>31000</v>
      </c>
      <c r="V107" s="70"/>
      <c r="W107" s="70">
        <f t="shared" si="54"/>
        <v>31000</v>
      </c>
      <c r="X107" s="70"/>
      <c r="Y107" s="70">
        <f t="shared" si="55"/>
        <v>31000</v>
      </c>
      <c r="Z107" s="70"/>
      <c r="AA107" s="70">
        <f t="shared" si="44"/>
        <v>31000</v>
      </c>
      <c r="AB107" s="70"/>
      <c r="AC107" s="70">
        <f t="shared" si="56"/>
        <v>31000</v>
      </c>
      <c r="AD107" s="105"/>
      <c r="AE107" s="105"/>
    </row>
    <row r="108" spans="1:31" s="22" customFormat="1" ht="24">
      <c r="A108" s="76"/>
      <c r="B108" s="72"/>
      <c r="C108" s="59">
        <v>4740</v>
      </c>
      <c r="D108" s="36" t="s">
        <v>270</v>
      </c>
      <c r="E108" s="70">
        <v>20000</v>
      </c>
      <c r="F108" s="70">
        <v>5000</v>
      </c>
      <c r="G108" s="70">
        <f>SUM(E108:F108)</f>
        <v>25000</v>
      </c>
      <c r="H108" s="70"/>
      <c r="I108" s="70">
        <f>SUM(G108:H108)</f>
        <v>25000</v>
      </c>
      <c r="J108" s="70"/>
      <c r="K108" s="70">
        <f t="shared" si="48"/>
        <v>25000</v>
      </c>
      <c r="L108" s="70"/>
      <c r="M108" s="70">
        <f t="shared" si="49"/>
        <v>25000</v>
      </c>
      <c r="N108" s="70"/>
      <c r="O108" s="70">
        <f t="shared" si="50"/>
        <v>25000</v>
      </c>
      <c r="P108" s="70"/>
      <c r="Q108" s="70">
        <f t="shared" si="51"/>
        <v>25000</v>
      </c>
      <c r="R108" s="70"/>
      <c r="S108" s="70">
        <f t="shared" si="52"/>
        <v>25000</v>
      </c>
      <c r="T108" s="70"/>
      <c r="U108" s="70">
        <f t="shared" si="53"/>
        <v>25000</v>
      </c>
      <c r="V108" s="70"/>
      <c r="W108" s="70">
        <f t="shared" si="54"/>
        <v>25000</v>
      </c>
      <c r="X108" s="70"/>
      <c r="Y108" s="70">
        <f t="shared" si="55"/>
        <v>25000</v>
      </c>
      <c r="Z108" s="70"/>
      <c r="AA108" s="70">
        <f t="shared" si="44"/>
        <v>25000</v>
      </c>
      <c r="AB108" s="70"/>
      <c r="AC108" s="70">
        <f t="shared" si="56"/>
        <v>25000</v>
      </c>
      <c r="AD108" s="105"/>
      <c r="AE108" s="105"/>
    </row>
    <row r="109" spans="1:31" s="22" customFormat="1" ht="24">
      <c r="A109" s="76"/>
      <c r="B109" s="72"/>
      <c r="C109" s="59">
        <v>4750</v>
      </c>
      <c r="D109" s="36" t="s">
        <v>374</v>
      </c>
      <c r="E109" s="70">
        <v>81800</v>
      </c>
      <c r="F109" s="70">
        <v>1220</v>
      </c>
      <c r="G109" s="70">
        <f>SUM(E109:F109)</f>
        <v>83020</v>
      </c>
      <c r="H109" s="70">
        <v>-21576</v>
      </c>
      <c r="I109" s="70">
        <f>SUM(G109:H109)</f>
        <v>61444</v>
      </c>
      <c r="J109" s="70"/>
      <c r="K109" s="70">
        <f t="shared" si="48"/>
        <v>61444</v>
      </c>
      <c r="L109" s="70"/>
      <c r="M109" s="70">
        <f t="shared" si="49"/>
        <v>61444</v>
      </c>
      <c r="N109" s="70"/>
      <c r="O109" s="70">
        <f t="shared" si="50"/>
        <v>61444</v>
      </c>
      <c r="P109" s="70"/>
      <c r="Q109" s="70">
        <f t="shared" si="51"/>
        <v>61444</v>
      </c>
      <c r="R109" s="70"/>
      <c r="S109" s="70">
        <f t="shared" si="52"/>
        <v>61444</v>
      </c>
      <c r="T109" s="70"/>
      <c r="U109" s="70">
        <f t="shared" si="53"/>
        <v>61444</v>
      </c>
      <c r="V109" s="70"/>
      <c r="W109" s="70">
        <f t="shared" si="54"/>
        <v>61444</v>
      </c>
      <c r="X109" s="70"/>
      <c r="Y109" s="70">
        <f t="shared" si="55"/>
        <v>61444</v>
      </c>
      <c r="Z109" s="70"/>
      <c r="AA109" s="70">
        <f t="shared" si="44"/>
        <v>61444</v>
      </c>
      <c r="AB109" s="70"/>
      <c r="AC109" s="70">
        <f t="shared" si="56"/>
        <v>61444</v>
      </c>
      <c r="AD109" s="105"/>
      <c r="AE109" s="105"/>
    </row>
    <row r="110" spans="1:33" s="22" customFormat="1" ht="24">
      <c r="A110" s="76"/>
      <c r="B110" s="72"/>
      <c r="C110" s="59">
        <v>6060</v>
      </c>
      <c r="D110" s="36" t="s">
        <v>120</v>
      </c>
      <c r="E110" s="70">
        <v>45000</v>
      </c>
      <c r="F110" s="70"/>
      <c r="G110" s="70">
        <f>SUM(E110:F110)</f>
        <v>45000</v>
      </c>
      <c r="H110" s="70">
        <v>-5000</v>
      </c>
      <c r="I110" s="70">
        <f>SUM(G110:H110)</f>
        <v>40000</v>
      </c>
      <c r="J110" s="70"/>
      <c r="K110" s="70">
        <f t="shared" si="48"/>
        <v>40000</v>
      </c>
      <c r="L110" s="70"/>
      <c r="M110" s="70">
        <f t="shared" si="49"/>
        <v>40000</v>
      </c>
      <c r="N110" s="70"/>
      <c r="O110" s="70">
        <f t="shared" si="50"/>
        <v>40000</v>
      </c>
      <c r="P110" s="70"/>
      <c r="Q110" s="70">
        <f t="shared" si="51"/>
        <v>40000</v>
      </c>
      <c r="R110" s="70"/>
      <c r="S110" s="70">
        <f t="shared" si="52"/>
        <v>40000</v>
      </c>
      <c r="T110" s="70"/>
      <c r="U110" s="70">
        <f t="shared" si="53"/>
        <v>40000</v>
      </c>
      <c r="V110" s="70"/>
      <c r="W110" s="70">
        <f t="shared" si="54"/>
        <v>40000</v>
      </c>
      <c r="X110" s="70"/>
      <c r="Y110" s="70">
        <f t="shared" si="55"/>
        <v>40000</v>
      </c>
      <c r="Z110" s="70"/>
      <c r="AA110" s="70">
        <f t="shared" si="44"/>
        <v>40000</v>
      </c>
      <c r="AB110" s="70"/>
      <c r="AC110" s="70">
        <f t="shared" si="56"/>
        <v>40000</v>
      </c>
      <c r="AD110" s="105"/>
      <c r="AE110" s="105"/>
      <c r="AF110" s="105"/>
      <c r="AG110" s="105"/>
    </row>
    <row r="111" spans="1:31" s="22" customFormat="1" ht="24.75" customHeight="1">
      <c r="A111" s="76"/>
      <c r="B111" s="72">
        <v>75075</v>
      </c>
      <c r="C111" s="76"/>
      <c r="D111" s="36" t="s">
        <v>243</v>
      </c>
      <c r="E111" s="70">
        <f aca="true" t="shared" si="57" ref="E111:Z111">SUM(E112:E123)</f>
        <v>237820</v>
      </c>
      <c r="F111" s="70">
        <f t="shared" si="57"/>
        <v>7000</v>
      </c>
      <c r="G111" s="70">
        <f t="shared" si="57"/>
        <v>244820</v>
      </c>
      <c r="H111" s="70">
        <f t="shared" si="57"/>
        <v>3200</v>
      </c>
      <c r="I111" s="70">
        <f t="shared" si="57"/>
        <v>248020</v>
      </c>
      <c r="J111" s="70">
        <f t="shared" si="57"/>
        <v>0</v>
      </c>
      <c r="K111" s="70">
        <f t="shared" si="57"/>
        <v>248020</v>
      </c>
      <c r="L111" s="70">
        <f t="shared" si="57"/>
        <v>0</v>
      </c>
      <c r="M111" s="70">
        <f t="shared" si="57"/>
        <v>248020</v>
      </c>
      <c r="N111" s="70">
        <f t="shared" si="57"/>
        <v>0</v>
      </c>
      <c r="O111" s="70">
        <f t="shared" si="57"/>
        <v>248020</v>
      </c>
      <c r="P111" s="70">
        <f t="shared" si="57"/>
        <v>0</v>
      </c>
      <c r="Q111" s="70">
        <f t="shared" si="57"/>
        <v>248020</v>
      </c>
      <c r="R111" s="70">
        <f t="shared" si="57"/>
        <v>0</v>
      </c>
      <c r="S111" s="70">
        <f t="shared" si="57"/>
        <v>248020</v>
      </c>
      <c r="T111" s="70">
        <f t="shared" si="57"/>
        <v>2000</v>
      </c>
      <c r="U111" s="70">
        <f t="shared" si="57"/>
        <v>250020</v>
      </c>
      <c r="V111" s="70">
        <f t="shared" si="57"/>
        <v>0</v>
      </c>
      <c r="W111" s="70">
        <f t="shared" si="57"/>
        <v>250020</v>
      </c>
      <c r="X111" s="70">
        <f t="shared" si="57"/>
        <v>37000</v>
      </c>
      <c r="Y111" s="70">
        <f t="shared" si="57"/>
        <v>287020</v>
      </c>
      <c r="Z111" s="70">
        <f t="shared" si="57"/>
        <v>120900</v>
      </c>
      <c r="AA111" s="70">
        <f t="shared" si="44"/>
        <v>407920</v>
      </c>
      <c r="AB111" s="70">
        <f>SUM(AB112:AB123)</f>
        <v>0</v>
      </c>
      <c r="AC111" s="70">
        <f t="shared" si="56"/>
        <v>407920</v>
      </c>
      <c r="AD111" s="105"/>
      <c r="AE111" s="105"/>
    </row>
    <row r="112" spans="1:31" s="22" customFormat="1" ht="21" customHeight="1">
      <c r="A112" s="76"/>
      <c r="B112" s="72"/>
      <c r="C112" s="76">
        <v>3020</v>
      </c>
      <c r="D112" s="36" t="s">
        <v>225</v>
      </c>
      <c r="E112" s="70">
        <v>11000</v>
      </c>
      <c r="F112" s="70"/>
      <c r="G112" s="70">
        <f aca="true" t="shared" si="58" ref="G112:G123">SUM(E112:F112)</f>
        <v>11000</v>
      </c>
      <c r="H112" s="70"/>
      <c r="I112" s="70">
        <f aca="true" t="shared" si="59" ref="I112:I122">SUM(G112:H112)</f>
        <v>11000</v>
      </c>
      <c r="J112" s="70"/>
      <c r="K112" s="70">
        <f aca="true" t="shared" si="60" ref="K112:K122">SUM(I112:J112)</f>
        <v>11000</v>
      </c>
      <c r="L112" s="70"/>
      <c r="M112" s="70">
        <f aca="true" t="shared" si="61" ref="M112:M122">SUM(K112:L112)</f>
        <v>11000</v>
      </c>
      <c r="N112" s="70"/>
      <c r="O112" s="70">
        <f aca="true" t="shared" si="62" ref="O112:O122">SUM(M112:N112)</f>
        <v>11000</v>
      </c>
      <c r="P112" s="70"/>
      <c r="Q112" s="70">
        <f aca="true" t="shared" si="63" ref="Q112:Q122">SUM(O112:P112)</f>
        <v>11000</v>
      </c>
      <c r="R112" s="70"/>
      <c r="S112" s="70">
        <f aca="true" t="shared" si="64" ref="S112:S122">SUM(Q112:R112)</f>
        <v>11000</v>
      </c>
      <c r="T112" s="70"/>
      <c r="U112" s="70">
        <f aca="true" t="shared" si="65" ref="U112:U122">SUM(S112:T112)</f>
        <v>11000</v>
      </c>
      <c r="V112" s="70"/>
      <c r="W112" s="70">
        <f aca="true" t="shared" si="66" ref="W112:W122">SUM(U112:V112)</f>
        <v>11000</v>
      </c>
      <c r="X112" s="70"/>
      <c r="Y112" s="70">
        <f aca="true" t="shared" si="67" ref="Y112:Y123">SUM(W112:X112)</f>
        <v>11000</v>
      </c>
      <c r="Z112" s="70"/>
      <c r="AA112" s="70">
        <f aca="true" t="shared" si="68" ref="AA112:AA133">SUM(Y112:Z112)</f>
        <v>11000</v>
      </c>
      <c r="AB112" s="70"/>
      <c r="AC112" s="70">
        <f t="shared" si="56"/>
        <v>11000</v>
      </c>
      <c r="AD112" s="105"/>
      <c r="AE112" s="105"/>
    </row>
    <row r="113" spans="1:31" s="22" customFormat="1" ht="21" customHeight="1">
      <c r="A113" s="76"/>
      <c r="B113" s="72"/>
      <c r="C113" s="76">
        <v>4110</v>
      </c>
      <c r="D113" s="36" t="s">
        <v>110</v>
      </c>
      <c r="E113" s="70">
        <v>1000</v>
      </c>
      <c r="F113" s="70"/>
      <c r="G113" s="70">
        <f t="shared" si="58"/>
        <v>1000</v>
      </c>
      <c r="H113" s="70"/>
      <c r="I113" s="70">
        <f t="shared" si="59"/>
        <v>1000</v>
      </c>
      <c r="J113" s="70"/>
      <c r="K113" s="70">
        <f t="shared" si="60"/>
        <v>1000</v>
      </c>
      <c r="L113" s="70"/>
      <c r="M113" s="70">
        <f t="shared" si="61"/>
        <v>1000</v>
      </c>
      <c r="N113" s="70"/>
      <c r="O113" s="70">
        <f t="shared" si="62"/>
        <v>1000</v>
      </c>
      <c r="P113" s="70"/>
      <c r="Q113" s="70">
        <f t="shared" si="63"/>
        <v>1000</v>
      </c>
      <c r="R113" s="70"/>
      <c r="S113" s="70">
        <f t="shared" si="64"/>
        <v>1000</v>
      </c>
      <c r="T113" s="70"/>
      <c r="U113" s="70">
        <f t="shared" si="65"/>
        <v>1000</v>
      </c>
      <c r="V113" s="70"/>
      <c r="W113" s="70">
        <f t="shared" si="66"/>
        <v>1000</v>
      </c>
      <c r="X113" s="70"/>
      <c r="Y113" s="70">
        <f t="shared" si="67"/>
        <v>1000</v>
      </c>
      <c r="Z113" s="70"/>
      <c r="AA113" s="70">
        <f t="shared" si="68"/>
        <v>1000</v>
      </c>
      <c r="AB113" s="70"/>
      <c r="AC113" s="70">
        <f t="shared" si="56"/>
        <v>1000</v>
      </c>
      <c r="AD113" s="105"/>
      <c r="AE113" s="105"/>
    </row>
    <row r="114" spans="1:31" s="22" customFormat="1" ht="21" customHeight="1">
      <c r="A114" s="76"/>
      <c r="B114" s="72"/>
      <c r="C114" s="76">
        <v>4120</v>
      </c>
      <c r="D114" s="36" t="s">
        <v>111</v>
      </c>
      <c r="E114" s="70">
        <v>100</v>
      </c>
      <c r="F114" s="70"/>
      <c r="G114" s="70">
        <f t="shared" si="58"/>
        <v>100</v>
      </c>
      <c r="H114" s="70"/>
      <c r="I114" s="70">
        <f t="shared" si="59"/>
        <v>100</v>
      </c>
      <c r="J114" s="70"/>
      <c r="K114" s="70">
        <f t="shared" si="60"/>
        <v>100</v>
      </c>
      <c r="L114" s="70"/>
      <c r="M114" s="70">
        <f t="shared" si="61"/>
        <v>100</v>
      </c>
      <c r="N114" s="70"/>
      <c r="O114" s="70">
        <f t="shared" si="62"/>
        <v>100</v>
      </c>
      <c r="P114" s="70"/>
      <c r="Q114" s="70">
        <f t="shared" si="63"/>
        <v>100</v>
      </c>
      <c r="R114" s="70"/>
      <c r="S114" s="70">
        <f t="shared" si="64"/>
        <v>100</v>
      </c>
      <c r="T114" s="70"/>
      <c r="U114" s="70">
        <f t="shared" si="65"/>
        <v>100</v>
      </c>
      <c r="V114" s="70"/>
      <c r="W114" s="70">
        <f t="shared" si="66"/>
        <v>100</v>
      </c>
      <c r="X114" s="70"/>
      <c r="Y114" s="70">
        <f t="shared" si="67"/>
        <v>100</v>
      </c>
      <c r="Z114" s="70"/>
      <c r="AA114" s="70">
        <f t="shared" si="68"/>
        <v>100</v>
      </c>
      <c r="AB114" s="70"/>
      <c r="AC114" s="70">
        <f t="shared" si="56"/>
        <v>100</v>
      </c>
      <c r="AD114" s="105"/>
      <c r="AE114" s="105"/>
    </row>
    <row r="115" spans="1:31" s="22" customFormat="1" ht="21" customHeight="1">
      <c r="A115" s="76"/>
      <c r="B115" s="72"/>
      <c r="C115" s="76">
        <v>4170</v>
      </c>
      <c r="D115" s="36" t="s">
        <v>227</v>
      </c>
      <c r="E115" s="70">
        <v>6000</v>
      </c>
      <c r="F115" s="70"/>
      <c r="G115" s="70">
        <f t="shared" si="58"/>
        <v>6000</v>
      </c>
      <c r="H115" s="70"/>
      <c r="I115" s="70">
        <f t="shared" si="59"/>
        <v>6000</v>
      </c>
      <c r="J115" s="70"/>
      <c r="K115" s="70">
        <f t="shared" si="60"/>
        <v>6000</v>
      </c>
      <c r="L115" s="70"/>
      <c r="M115" s="70">
        <f t="shared" si="61"/>
        <v>6000</v>
      </c>
      <c r="N115" s="70"/>
      <c r="O115" s="70">
        <f t="shared" si="62"/>
        <v>6000</v>
      </c>
      <c r="P115" s="70"/>
      <c r="Q115" s="70">
        <f t="shared" si="63"/>
        <v>6000</v>
      </c>
      <c r="R115" s="70"/>
      <c r="S115" s="70">
        <f t="shared" si="64"/>
        <v>6000</v>
      </c>
      <c r="T115" s="70"/>
      <c r="U115" s="70">
        <f t="shared" si="65"/>
        <v>6000</v>
      </c>
      <c r="V115" s="70"/>
      <c r="W115" s="70">
        <f t="shared" si="66"/>
        <v>6000</v>
      </c>
      <c r="X115" s="70"/>
      <c r="Y115" s="70">
        <f t="shared" si="67"/>
        <v>6000</v>
      </c>
      <c r="Z115" s="70"/>
      <c r="AA115" s="70">
        <f t="shared" si="68"/>
        <v>6000</v>
      </c>
      <c r="AB115" s="70"/>
      <c r="AC115" s="70">
        <f t="shared" si="56"/>
        <v>6000</v>
      </c>
      <c r="AD115" s="105"/>
      <c r="AE115" s="105"/>
    </row>
    <row r="116" spans="1:31" s="22" customFormat="1" ht="21" customHeight="1">
      <c r="A116" s="76"/>
      <c r="B116" s="72"/>
      <c r="C116" s="76">
        <v>4210</v>
      </c>
      <c r="D116" s="36" t="s">
        <v>116</v>
      </c>
      <c r="E116" s="70">
        <f>60000+18270</f>
        <v>78270</v>
      </c>
      <c r="F116" s="70"/>
      <c r="G116" s="70">
        <f t="shared" si="58"/>
        <v>78270</v>
      </c>
      <c r="H116" s="70"/>
      <c r="I116" s="70">
        <f t="shared" si="59"/>
        <v>78270</v>
      </c>
      <c r="J116" s="70"/>
      <c r="K116" s="70">
        <f t="shared" si="60"/>
        <v>78270</v>
      </c>
      <c r="L116" s="70"/>
      <c r="M116" s="70">
        <f t="shared" si="61"/>
        <v>78270</v>
      </c>
      <c r="N116" s="70"/>
      <c r="O116" s="70">
        <f t="shared" si="62"/>
        <v>78270</v>
      </c>
      <c r="P116" s="70"/>
      <c r="Q116" s="70">
        <f t="shared" si="63"/>
        <v>78270</v>
      </c>
      <c r="R116" s="70"/>
      <c r="S116" s="70">
        <f t="shared" si="64"/>
        <v>78270</v>
      </c>
      <c r="T116" s="70">
        <f>-1500-1500</f>
        <v>-3000</v>
      </c>
      <c r="U116" s="70">
        <f t="shared" si="65"/>
        <v>75270</v>
      </c>
      <c r="V116" s="70">
        <v>-15000</v>
      </c>
      <c r="W116" s="70">
        <f t="shared" si="66"/>
        <v>60270</v>
      </c>
      <c r="X116" s="70">
        <v>6000</v>
      </c>
      <c r="Y116" s="70">
        <f t="shared" si="67"/>
        <v>66270</v>
      </c>
      <c r="Z116" s="70">
        <v>-3500</v>
      </c>
      <c r="AA116" s="70">
        <f t="shared" si="68"/>
        <v>62770</v>
      </c>
      <c r="AB116" s="70"/>
      <c r="AC116" s="70">
        <f t="shared" si="56"/>
        <v>62770</v>
      </c>
      <c r="AD116" s="105"/>
      <c r="AE116" s="105"/>
    </row>
    <row r="117" spans="1:31" s="22" customFormat="1" ht="21" customHeight="1">
      <c r="A117" s="76"/>
      <c r="B117" s="72"/>
      <c r="C117" s="56">
        <v>4300</v>
      </c>
      <c r="D117" s="36" t="s">
        <v>103</v>
      </c>
      <c r="E117" s="70">
        <f>113400+7050</f>
        <v>120450</v>
      </c>
      <c r="F117" s="70">
        <v>7000</v>
      </c>
      <c r="G117" s="70">
        <f t="shared" si="58"/>
        <v>127450</v>
      </c>
      <c r="H117" s="70">
        <f>3200-2000</f>
        <v>1200</v>
      </c>
      <c r="I117" s="70">
        <f t="shared" si="59"/>
        <v>128650</v>
      </c>
      <c r="J117" s="70"/>
      <c r="K117" s="70">
        <f t="shared" si="60"/>
        <v>128650</v>
      </c>
      <c r="L117" s="70"/>
      <c r="M117" s="70">
        <f t="shared" si="61"/>
        <v>128650</v>
      </c>
      <c r="N117" s="70"/>
      <c r="O117" s="70">
        <f t="shared" si="62"/>
        <v>128650</v>
      </c>
      <c r="P117" s="70"/>
      <c r="Q117" s="70">
        <f t="shared" si="63"/>
        <v>128650</v>
      </c>
      <c r="R117" s="70"/>
      <c r="S117" s="70">
        <f t="shared" si="64"/>
        <v>128650</v>
      </c>
      <c r="T117" s="60">
        <v>5000</v>
      </c>
      <c r="U117" s="70">
        <f t="shared" si="65"/>
        <v>133650</v>
      </c>
      <c r="V117" s="60">
        <v>20000</v>
      </c>
      <c r="W117" s="70">
        <f t="shared" si="66"/>
        <v>153650</v>
      </c>
      <c r="X117" s="60">
        <v>25000</v>
      </c>
      <c r="Y117" s="70">
        <f t="shared" si="67"/>
        <v>178650</v>
      </c>
      <c r="Z117" s="60">
        <f>80000-600+45000</f>
        <v>124400</v>
      </c>
      <c r="AA117" s="70">
        <f t="shared" si="68"/>
        <v>303050</v>
      </c>
      <c r="AB117" s="60"/>
      <c r="AC117" s="70">
        <f t="shared" si="56"/>
        <v>303050</v>
      </c>
      <c r="AD117" s="105"/>
      <c r="AE117" s="105"/>
    </row>
    <row r="118" spans="1:31" s="22" customFormat="1" ht="21" customHeight="1">
      <c r="A118" s="76"/>
      <c r="B118" s="72"/>
      <c r="C118" s="56">
        <v>4350</v>
      </c>
      <c r="D118" s="36" t="s">
        <v>245</v>
      </c>
      <c r="E118" s="70">
        <v>5000</v>
      </c>
      <c r="F118" s="70"/>
      <c r="G118" s="70">
        <f t="shared" si="58"/>
        <v>5000</v>
      </c>
      <c r="H118" s="70"/>
      <c r="I118" s="70">
        <f t="shared" si="59"/>
        <v>5000</v>
      </c>
      <c r="J118" s="70"/>
      <c r="K118" s="70">
        <f t="shared" si="60"/>
        <v>5000</v>
      </c>
      <c r="L118" s="70"/>
      <c r="M118" s="70">
        <f t="shared" si="61"/>
        <v>5000</v>
      </c>
      <c r="N118" s="70"/>
      <c r="O118" s="70">
        <f t="shared" si="62"/>
        <v>5000</v>
      </c>
      <c r="P118" s="70"/>
      <c r="Q118" s="70">
        <f t="shared" si="63"/>
        <v>5000</v>
      </c>
      <c r="R118" s="70"/>
      <c r="S118" s="70">
        <f t="shared" si="64"/>
        <v>5000</v>
      </c>
      <c r="T118" s="70"/>
      <c r="U118" s="70">
        <f t="shared" si="65"/>
        <v>5000</v>
      </c>
      <c r="V118" s="70"/>
      <c r="W118" s="70">
        <f t="shared" si="66"/>
        <v>5000</v>
      </c>
      <c r="X118" s="70"/>
      <c r="Y118" s="70">
        <f t="shared" si="67"/>
        <v>5000</v>
      </c>
      <c r="Z118" s="70"/>
      <c r="AA118" s="70">
        <f t="shared" si="68"/>
        <v>5000</v>
      </c>
      <c r="AB118" s="70"/>
      <c r="AC118" s="70">
        <f t="shared" si="56"/>
        <v>5000</v>
      </c>
      <c r="AD118" s="105"/>
      <c r="AE118" s="105"/>
    </row>
    <row r="119" spans="1:31" s="22" customFormat="1" ht="21" customHeight="1">
      <c r="A119" s="76"/>
      <c r="B119" s="72"/>
      <c r="C119" s="56">
        <v>4410</v>
      </c>
      <c r="D119" s="36" t="s">
        <v>114</v>
      </c>
      <c r="E119" s="70">
        <v>3000</v>
      </c>
      <c r="F119" s="70"/>
      <c r="G119" s="70">
        <f t="shared" si="58"/>
        <v>3000</v>
      </c>
      <c r="H119" s="70"/>
      <c r="I119" s="70">
        <f t="shared" si="59"/>
        <v>3000</v>
      </c>
      <c r="J119" s="70"/>
      <c r="K119" s="70">
        <f t="shared" si="60"/>
        <v>3000</v>
      </c>
      <c r="L119" s="70"/>
      <c r="M119" s="70">
        <f t="shared" si="61"/>
        <v>3000</v>
      </c>
      <c r="N119" s="70"/>
      <c r="O119" s="70">
        <f t="shared" si="62"/>
        <v>3000</v>
      </c>
      <c r="P119" s="70"/>
      <c r="Q119" s="70">
        <f t="shared" si="63"/>
        <v>3000</v>
      </c>
      <c r="R119" s="70"/>
      <c r="S119" s="70">
        <f t="shared" si="64"/>
        <v>3000</v>
      </c>
      <c r="T119" s="70"/>
      <c r="U119" s="70">
        <f t="shared" si="65"/>
        <v>3000</v>
      </c>
      <c r="V119" s="70"/>
      <c r="W119" s="70">
        <f t="shared" si="66"/>
        <v>3000</v>
      </c>
      <c r="X119" s="70"/>
      <c r="Y119" s="70">
        <f t="shared" si="67"/>
        <v>3000</v>
      </c>
      <c r="Z119" s="70"/>
      <c r="AA119" s="70">
        <f t="shared" si="68"/>
        <v>3000</v>
      </c>
      <c r="AB119" s="70"/>
      <c r="AC119" s="70">
        <f t="shared" si="56"/>
        <v>3000</v>
      </c>
      <c r="AD119" s="105"/>
      <c r="AE119" s="105"/>
    </row>
    <row r="120" spans="1:31" s="22" customFormat="1" ht="21" customHeight="1">
      <c r="A120" s="76"/>
      <c r="B120" s="72"/>
      <c r="C120" s="76">
        <v>4420</v>
      </c>
      <c r="D120" s="36" t="s">
        <v>117</v>
      </c>
      <c r="E120" s="70">
        <v>3000</v>
      </c>
      <c r="F120" s="70"/>
      <c r="G120" s="70">
        <f t="shared" si="58"/>
        <v>3000</v>
      </c>
      <c r="H120" s="70"/>
      <c r="I120" s="70">
        <f t="shared" si="59"/>
        <v>3000</v>
      </c>
      <c r="J120" s="70"/>
      <c r="K120" s="70">
        <f t="shared" si="60"/>
        <v>3000</v>
      </c>
      <c r="L120" s="70"/>
      <c r="M120" s="70">
        <f t="shared" si="61"/>
        <v>3000</v>
      </c>
      <c r="N120" s="70"/>
      <c r="O120" s="70">
        <f t="shared" si="62"/>
        <v>3000</v>
      </c>
      <c r="P120" s="70"/>
      <c r="Q120" s="70">
        <f t="shared" si="63"/>
        <v>3000</v>
      </c>
      <c r="R120" s="70"/>
      <c r="S120" s="70">
        <f t="shared" si="64"/>
        <v>3000</v>
      </c>
      <c r="T120" s="70"/>
      <c r="U120" s="70">
        <f t="shared" si="65"/>
        <v>3000</v>
      </c>
      <c r="V120" s="70"/>
      <c r="W120" s="70">
        <f t="shared" si="66"/>
        <v>3000</v>
      </c>
      <c r="X120" s="70">
        <v>6000</v>
      </c>
      <c r="Y120" s="70">
        <f t="shared" si="67"/>
        <v>9000</v>
      </c>
      <c r="Z120" s="70"/>
      <c r="AA120" s="70">
        <f t="shared" si="68"/>
        <v>9000</v>
      </c>
      <c r="AB120" s="70"/>
      <c r="AC120" s="70">
        <f t="shared" si="56"/>
        <v>9000</v>
      </c>
      <c r="AD120" s="105"/>
      <c r="AE120" s="105"/>
    </row>
    <row r="121" spans="1:31" s="22" customFormat="1" ht="21" customHeight="1">
      <c r="A121" s="76"/>
      <c r="B121" s="72"/>
      <c r="C121" s="56">
        <v>4430</v>
      </c>
      <c r="D121" s="36" t="s">
        <v>118</v>
      </c>
      <c r="E121" s="70">
        <v>3000</v>
      </c>
      <c r="F121" s="70"/>
      <c r="G121" s="70">
        <f t="shared" si="58"/>
        <v>3000</v>
      </c>
      <c r="H121" s="70">
        <v>2000</v>
      </c>
      <c r="I121" s="70">
        <f t="shared" si="59"/>
        <v>5000</v>
      </c>
      <c r="J121" s="70"/>
      <c r="K121" s="70">
        <f t="shared" si="60"/>
        <v>5000</v>
      </c>
      <c r="L121" s="70"/>
      <c r="M121" s="70">
        <f t="shared" si="61"/>
        <v>5000</v>
      </c>
      <c r="N121" s="70"/>
      <c r="O121" s="70">
        <f t="shared" si="62"/>
        <v>5000</v>
      </c>
      <c r="P121" s="70"/>
      <c r="Q121" s="70">
        <f t="shared" si="63"/>
        <v>5000</v>
      </c>
      <c r="R121" s="70"/>
      <c r="S121" s="70">
        <f t="shared" si="64"/>
        <v>5000</v>
      </c>
      <c r="T121" s="70"/>
      <c r="U121" s="70">
        <f t="shared" si="65"/>
        <v>5000</v>
      </c>
      <c r="V121" s="70"/>
      <c r="W121" s="70">
        <f t="shared" si="66"/>
        <v>5000</v>
      </c>
      <c r="X121" s="70"/>
      <c r="Y121" s="70">
        <f t="shared" si="67"/>
        <v>5000</v>
      </c>
      <c r="Z121" s="70"/>
      <c r="AA121" s="70">
        <f t="shared" si="68"/>
        <v>5000</v>
      </c>
      <c r="AB121" s="70"/>
      <c r="AC121" s="70">
        <f t="shared" si="56"/>
        <v>5000</v>
      </c>
      <c r="AD121" s="105"/>
      <c r="AE121" s="105"/>
    </row>
    <row r="122" spans="1:31" s="22" customFormat="1" ht="24">
      <c r="A122" s="76"/>
      <c r="B122" s="72"/>
      <c r="C122" s="56">
        <v>4740</v>
      </c>
      <c r="D122" s="36" t="s">
        <v>270</v>
      </c>
      <c r="E122" s="70">
        <v>1000</v>
      </c>
      <c r="F122" s="70"/>
      <c r="G122" s="70">
        <f t="shared" si="58"/>
        <v>1000</v>
      </c>
      <c r="H122" s="70"/>
      <c r="I122" s="70">
        <f t="shared" si="59"/>
        <v>1000</v>
      </c>
      <c r="J122" s="70"/>
      <c r="K122" s="70">
        <f t="shared" si="60"/>
        <v>1000</v>
      </c>
      <c r="L122" s="70"/>
      <c r="M122" s="70">
        <f t="shared" si="61"/>
        <v>1000</v>
      </c>
      <c r="N122" s="70"/>
      <c r="O122" s="70">
        <f t="shared" si="62"/>
        <v>1000</v>
      </c>
      <c r="P122" s="70"/>
      <c r="Q122" s="70">
        <f t="shared" si="63"/>
        <v>1000</v>
      </c>
      <c r="R122" s="70"/>
      <c r="S122" s="70">
        <f t="shared" si="64"/>
        <v>1000</v>
      </c>
      <c r="T122" s="70"/>
      <c r="U122" s="70">
        <f t="shared" si="65"/>
        <v>1000</v>
      </c>
      <c r="V122" s="70"/>
      <c r="W122" s="70">
        <f t="shared" si="66"/>
        <v>1000</v>
      </c>
      <c r="X122" s="70"/>
      <c r="Y122" s="70">
        <f t="shared" si="67"/>
        <v>1000</v>
      </c>
      <c r="Z122" s="70"/>
      <c r="AA122" s="70">
        <f t="shared" si="68"/>
        <v>1000</v>
      </c>
      <c r="AB122" s="70"/>
      <c r="AC122" s="70">
        <f t="shared" si="56"/>
        <v>1000</v>
      </c>
      <c r="AD122" s="105"/>
      <c r="AE122" s="105"/>
    </row>
    <row r="123" spans="1:31" s="22" customFormat="1" ht="24">
      <c r="A123" s="76"/>
      <c r="B123" s="72"/>
      <c r="C123" s="56">
        <v>4750</v>
      </c>
      <c r="D123" s="36" t="s">
        <v>373</v>
      </c>
      <c r="E123" s="70">
        <v>6000</v>
      </c>
      <c r="F123" s="70"/>
      <c r="G123" s="70">
        <f t="shared" si="58"/>
        <v>6000</v>
      </c>
      <c r="H123" s="70"/>
      <c r="I123" s="70">
        <f>SUM(F123:H123)</f>
        <v>6000</v>
      </c>
      <c r="J123" s="70"/>
      <c r="K123" s="70">
        <f>SUM(H123:J123)</f>
        <v>6000</v>
      </c>
      <c r="L123" s="70"/>
      <c r="M123" s="70">
        <f>SUM(J123:L123)</f>
        <v>6000</v>
      </c>
      <c r="N123" s="70"/>
      <c r="O123" s="70">
        <f>SUM(L123:N123)</f>
        <v>6000</v>
      </c>
      <c r="P123" s="70"/>
      <c r="Q123" s="70">
        <f>SUM(N123:P123)</f>
        <v>6000</v>
      </c>
      <c r="R123" s="70"/>
      <c r="S123" s="70">
        <f>SUM(P123:R123)</f>
        <v>6000</v>
      </c>
      <c r="T123" s="70"/>
      <c r="U123" s="70">
        <f>SUM(R123:T123)</f>
        <v>6000</v>
      </c>
      <c r="V123" s="70">
        <v>-5000</v>
      </c>
      <c r="W123" s="70">
        <f>SUM(T123:V123)</f>
        <v>1000</v>
      </c>
      <c r="X123" s="70"/>
      <c r="Y123" s="70">
        <f t="shared" si="67"/>
        <v>1000</v>
      </c>
      <c r="Z123" s="70"/>
      <c r="AA123" s="70">
        <f t="shared" si="68"/>
        <v>1000</v>
      </c>
      <c r="AB123" s="70"/>
      <c r="AC123" s="70">
        <f t="shared" si="56"/>
        <v>1000</v>
      </c>
      <c r="AD123" s="105"/>
      <c r="AE123" s="105"/>
    </row>
    <row r="124" spans="1:31" s="22" customFormat="1" ht="21" customHeight="1">
      <c r="A124" s="76"/>
      <c r="B124" s="72">
        <v>75095</v>
      </c>
      <c r="C124" s="56"/>
      <c r="D124" s="36" t="s">
        <v>17</v>
      </c>
      <c r="E124" s="70">
        <f>SUM(E126)</f>
        <v>30300</v>
      </c>
      <c r="F124" s="70">
        <f>SUM(F126)</f>
        <v>0</v>
      </c>
      <c r="G124" s="70">
        <f>SUM(G126)</f>
        <v>30300</v>
      </c>
      <c r="H124" s="70">
        <f>SUM(H126)</f>
        <v>0</v>
      </c>
      <c r="I124" s="70">
        <f aca="true" t="shared" si="69" ref="I124:Z124">SUM(I125:I127)</f>
        <v>30300</v>
      </c>
      <c r="J124" s="70">
        <f t="shared" si="69"/>
        <v>0</v>
      </c>
      <c r="K124" s="70">
        <f t="shared" si="69"/>
        <v>30300</v>
      </c>
      <c r="L124" s="70">
        <f t="shared" si="69"/>
        <v>0</v>
      </c>
      <c r="M124" s="70">
        <f t="shared" si="69"/>
        <v>30300</v>
      </c>
      <c r="N124" s="70">
        <f t="shared" si="69"/>
        <v>0</v>
      </c>
      <c r="O124" s="70">
        <f t="shared" si="69"/>
        <v>30300</v>
      </c>
      <c r="P124" s="70">
        <f t="shared" si="69"/>
        <v>0</v>
      </c>
      <c r="Q124" s="70">
        <f t="shared" si="69"/>
        <v>30300</v>
      </c>
      <c r="R124" s="70">
        <f t="shared" si="69"/>
        <v>0</v>
      </c>
      <c r="S124" s="70">
        <f t="shared" si="69"/>
        <v>30300</v>
      </c>
      <c r="T124" s="70">
        <f t="shared" si="69"/>
        <v>0</v>
      </c>
      <c r="U124" s="70">
        <f t="shared" si="69"/>
        <v>30300</v>
      </c>
      <c r="V124" s="70">
        <f t="shared" si="69"/>
        <v>0</v>
      </c>
      <c r="W124" s="70">
        <f t="shared" si="69"/>
        <v>30300</v>
      </c>
      <c r="X124" s="70">
        <f t="shared" si="69"/>
        <v>0</v>
      </c>
      <c r="Y124" s="70">
        <f t="shared" si="69"/>
        <v>30300</v>
      </c>
      <c r="Z124" s="70">
        <f t="shared" si="69"/>
        <v>1800</v>
      </c>
      <c r="AA124" s="70">
        <f t="shared" si="68"/>
        <v>32100</v>
      </c>
      <c r="AB124" s="70">
        <f>SUM(AB125:AB127)</f>
        <v>0</v>
      </c>
      <c r="AC124" s="70">
        <f t="shared" si="56"/>
        <v>32100</v>
      </c>
      <c r="AD124" s="105"/>
      <c r="AE124" s="105"/>
    </row>
    <row r="125" spans="1:31" s="22" customFormat="1" ht="21" customHeight="1">
      <c r="A125" s="76"/>
      <c r="B125" s="72"/>
      <c r="C125" s="56">
        <v>4210</v>
      </c>
      <c r="D125" s="36" t="s">
        <v>116</v>
      </c>
      <c r="E125" s="70"/>
      <c r="F125" s="70"/>
      <c r="G125" s="70"/>
      <c r="H125" s="70"/>
      <c r="I125" s="70">
        <v>0</v>
      </c>
      <c r="J125" s="70">
        <v>1000</v>
      </c>
      <c r="K125" s="70">
        <f>SUM(I125:J125)</f>
        <v>1000</v>
      </c>
      <c r="L125" s="70"/>
      <c r="M125" s="70">
        <f>SUM(K125:L125)</f>
        <v>1000</v>
      </c>
      <c r="N125" s="70"/>
      <c r="O125" s="70">
        <f>SUM(M125:N125)</f>
        <v>1000</v>
      </c>
      <c r="P125" s="70"/>
      <c r="Q125" s="70">
        <f>SUM(O125:P125)</f>
        <v>1000</v>
      </c>
      <c r="R125" s="70"/>
      <c r="S125" s="70">
        <f>SUM(Q125:R125)</f>
        <v>1000</v>
      </c>
      <c r="T125" s="70"/>
      <c r="U125" s="70">
        <f>SUM(S125:T125)</f>
        <v>1000</v>
      </c>
      <c r="V125" s="70"/>
      <c r="W125" s="70">
        <f>SUM(U125:V125)</f>
        <v>1000</v>
      </c>
      <c r="X125" s="70"/>
      <c r="Y125" s="70">
        <f>SUM(W125:X125)</f>
        <v>1000</v>
      </c>
      <c r="Z125" s="70">
        <v>1800</v>
      </c>
      <c r="AA125" s="70">
        <f t="shared" si="68"/>
        <v>2800</v>
      </c>
      <c r="AB125" s="70"/>
      <c r="AC125" s="70">
        <f t="shared" si="56"/>
        <v>2800</v>
      </c>
      <c r="AD125" s="105"/>
      <c r="AE125" s="105"/>
    </row>
    <row r="126" spans="1:31" s="22" customFormat="1" ht="21" customHeight="1">
      <c r="A126" s="76"/>
      <c r="B126" s="72"/>
      <c r="C126" s="56">
        <v>4430</v>
      </c>
      <c r="D126" s="36" t="s">
        <v>118</v>
      </c>
      <c r="E126" s="70">
        <v>30300</v>
      </c>
      <c r="F126" s="70"/>
      <c r="G126" s="70">
        <f>SUM(E126:F126)</f>
        <v>30300</v>
      </c>
      <c r="H126" s="70"/>
      <c r="I126" s="70">
        <f>SUM(G126:H126)</f>
        <v>30300</v>
      </c>
      <c r="J126" s="70">
        <v>-1100</v>
      </c>
      <c r="K126" s="70">
        <f>SUM(I126:J126)</f>
        <v>29200</v>
      </c>
      <c r="L126" s="70"/>
      <c r="M126" s="70">
        <f>SUM(K126:L126)</f>
        <v>29200</v>
      </c>
      <c r="N126" s="70"/>
      <c r="O126" s="70">
        <f>SUM(M126:N126)</f>
        <v>29200</v>
      </c>
      <c r="P126" s="70"/>
      <c r="Q126" s="70">
        <f>SUM(O126:P126)</f>
        <v>29200</v>
      </c>
      <c r="R126" s="70"/>
      <c r="S126" s="70">
        <f>SUM(Q126:R126)</f>
        <v>29200</v>
      </c>
      <c r="T126" s="70"/>
      <c r="U126" s="70">
        <f>SUM(S126:T126)</f>
        <v>29200</v>
      </c>
      <c r="V126" s="70"/>
      <c r="W126" s="70">
        <f>SUM(U126:V126)</f>
        <v>29200</v>
      </c>
      <c r="X126" s="70"/>
      <c r="Y126" s="70">
        <f>SUM(W126:X126)</f>
        <v>29200</v>
      </c>
      <c r="Z126" s="70"/>
      <c r="AA126" s="70">
        <f t="shared" si="68"/>
        <v>29200</v>
      </c>
      <c r="AB126" s="70"/>
      <c r="AC126" s="70">
        <f t="shared" si="56"/>
        <v>29200</v>
      </c>
      <c r="AD126" s="105"/>
      <c r="AE126" s="105"/>
    </row>
    <row r="127" spans="1:31" s="22" customFormat="1" ht="21" customHeight="1">
      <c r="A127" s="76"/>
      <c r="B127" s="72"/>
      <c r="C127" s="56">
        <v>4740</v>
      </c>
      <c r="D127" s="36" t="s">
        <v>270</v>
      </c>
      <c r="E127" s="70"/>
      <c r="F127" s="70"/>
      <c r="G127" s="70"/>
      <c r="H127" s="70"/>
      <c r="I127" s="70">
        <v>0</v>
      </c>
      <c r="J127" s="70">
        <v>100</v>
      </c>
      <c r="K127" s="70">
        <f>SUM(I127:J127)</f>
        <v>100</v>
      </c>
      <c r="L127" s="70"/>
      <c r="M127" s="70">
        <f>SUM(K127:L127)</f>
        <v>100</v>
      </c>
      <c r="N127" s="70"/>
      <c r="O127" s="70">
        <f>SUM(M127:N127)</f>
        <v>100</v>
      </c>
      <c r="P127" s="70"/>
      <c r="Q127" s="70">
        <f>SUM(O127:P127)</f>
        <v>100</v>
      </c>
      <c r="R127" s="70"/>
      <c r="S127" s="70">
        <f>SUM(Q127:R127)</f>
        <v>100</v>
      </c>
      <c r="T127" s="70"/>
      <c r="U127" s="70">
        <f>SUM(S127:T127)</f>
        <v>100</v>
      </c>
      <c r="V127" s="70"/>
      <c r="W127" s="70">
        <f>SUM(U127:V127)</f>
        <v>100</v>
      </c>
      <c r="X127" s="70"/>
      <c r="Y127" s="70">
        <f>SUM(W127:X127)</f>
        <v>100</v>
      </c>
      <c r="Z127" s="70"/>
      <c r="AA127" s="70">
        <f t="shared" si="68"/>
        <v>100</v>
      </c>
      <c r="AB127" s="70"/>
      <c r="AC127" s="70">
        <f t="shared" si="56"/>
        <v>100</v>
      </c>
      <c r="AD127" s="105"/>
      <c r="AE127" s="105"/>
    </row>
    <row r="128" spans="1:31" s="5" customFormat="1" ht="36">
      <c r="A128" s="31">
        <v>751</v>
      </c>
      <c r="B128" s="32"/>
      <c r="C128" s="33"/>
      <c r="D128" s="34" t="s">
        <v>122</v>
      </c>
      <c r="E128" s="35">
        <f aca="true" t="shared" si="70" ref="E128:AB128">SUM(E129)</f>
        <v>3910</v>
      </c>
      <c r="F128" s="35">
        <f t="shared" si="70"/>
        <v>0</v>
      </c>
      <c r="G128" s="35">
        <f t="shared" si="70"/>
        <v>3910</v>
      </c>
      <c r="H128" s="35">
        <f t="shared" si="70"/>
        <v>0</v>
      </c>
      <c r="I128" s="35">
        <f t="shared" si="70"/>
        <v>3910</v>
      </c>
      <c r="J128" s="35">
        <f t="shared" si="70"/>
        <v>0</v>
      </c>
      <c r="K128" s="35">
        <f t="shared" si="70"/>
        <v>3910</v>
      </c>
      <c r="L128" s="35">
        <f t="shared" si="70"/>
        <v>-414</v>
      </c>
      <c r="M128" s="35">
        <f t="shared" si="70"/>
        <v>3496</v>
      </c>
      <c r="N128" s="35">
        <f t="shared" si="70"/>
        <v>0</v>
      </c>
      <c r="O128" s="35">
        <f t="shared" si="70"/>
        <v>3496</v>
      </c>
      <c r="P128" s="35">
        <f t="shared" si="70"/>
        <v>0</v>
      </c>
      <c r="Q128" s="35">
        <f t="shared" si="70"/>
        <v>3496</v>
      </c>
      <c r="R128" s="35">
        <f t="shared" si="70"/>
        <v>0</v>
      </c>
      <c r="S128" s="35">
        <f t="shared" si="70"/>
        <v>3496</v>
      </c>
      <c r="T128" s="35">
        <f t="shared" si="70"/>
        <v>0</v>
      </c>
      <c r="U128" s="35">
        <f t="shared" si="70"/>
        <v>3496</v>
      </c>
      <c r="V128" s="35">
        <f t="shared" si="70"/>
        <v>0</v>
      </c>
      <c r="W128" s="35">
        <f t="shared" si="70"/>
        <v>3496</v>
      </c>
      <c r="X128" s="35">
        <f t="shared" si="70"/>
        <v>0</v>
      </c>
      <c r="Y128" s="35">
        <f t="shared" si="70"/>
        <v>3496</v>
      </c>
      <c r="Z128" s="35">
        <f t="shared" si="70"/>
        <v>0</v>
      </c>
      <c r="AA128" s="35">
        <f t="shared" si="68"/>
        <v>3496</v>
      </c>
      <c r="AB128" s="35">
        <f t="shared" si="70"/>
        <v>0</v>
      </c>
      <c r="AC128" s="35">
        <f t="shared" si="56"/>
        <v>3496</v>
      </c>
      <c r="AD128" s="130"/>
      <c r="AE128" s="130"/>
    </row>
    <row r="129" spans="1:31" s="22" customFormat="1" ht="24">
      <c r="A129" s="76"/>
      <c r="B129" s="72">
        <v>75101</v>
      </c>
      <c r="C129" s="76"/>
      <c r="D129" s="36" t="s">
        <v>32</v>
      </c>
      <c r="E129" s="70">
        <f aca="true" t="shared" si="71" ref="E129:X129">SUM(E130:E132)</f>
        <v>3910</v>
      </c>
      <c r="F129" s="70">
        <f t="shared" si="71"/>
        <v>0</v>
      </c>
      <c r="G129" s="70">
        <f t="shared" si="71"/>
        <v>3910</v>
      </c>
      <c r="H129" s="70">
        <f t="shared" si="71"/>
        <v>0</v>
      </c>
      <c r="I129" s="70">
        <f t="shared" si="71"/>
        <v>3910</v>
      </c>
      <c r="J129" s="70">
        <f t="shared" si="71"/>
        <v>0</v>
      </c>
      <c r="K129" s="70">
        <f t="shared" si="71"/>
        <v>3910</v>
      </c>
      <c r="L129" s="70">
        <f t="shared" si="71"/>
        <v>-414</v>
      </c>
      <c r="M129" s="70">
        <f t="shared" si="71"/>
        <v>3496</v>
      </c>
      <c r="N129" s="70">
        <f t="shared" si="71"/>
        <v>0</v>
      </c>
      <c r="O129" s="70">
        <f t="shared" si="71"/>
        <v>3496</v>
      </c>
      <c r="P129" s="70">
        <f t="shared" si="71"/>
        <v>0</v>
      </c>
      <c r="Q129" s="70">
        <f t="shared" si="71"/>
        <v>3496</v>
      </c>
      <c r="R129" s="70">
        <f t="shared" si="71"/>
        <v>0</v>
      </c>
      <c r="S129" s="70">
        <f t="shared" si="71"/>
        <v>3496</v>
      </c>
      <c r="T129" s="70">
        <f t="shared" si="71"/>
        <v>0</v>
      </c>
      <c r="U129" s="70">
        <f t="shared" si="71"/>
        <v>3496</v>
      </c>
      <c r="V129" s="70">
        <f t="shared" si="71"/>
        <v>0</v>
      </c>
      <c r="W129" s="70">
        <f t="shared" si="71"/>
        <v>3496</v>
      </c>
      <c r="X129" s="70">
        <f t="shared" si="71"/>
        <v>0</v>
      </c>
      <c r="Y129" s="70">
        <f>SUM(Y130:Y133)</f>
        <v>3496</v>
      </c>
      <c r="Z129" s="70">
        <f>SUM(Z130:Z133)</f>
        <v>0</v>
      </c>
      <c r="AA129" s="70">
        <f t="shared" si="68"/>
        <v>3496</v>
      </c>
      <c r="AB129" s="70">
        <f>SUM(AB130:AB133)</f>
        <v>0</v>
      </c>
      <c r="AC129" s="70">
        <f t="shared" si="56"/>
        <v>3496</v>
      </c>
      <c r="AD129" s="105"/>
      <c r="AE129" s="105"/>
    </row>
    <row r="130" spans="1:31" s="22" customFormat="1" ht="21" customHeight="1">
      <c r="A130" s="76"/>
      <c r="B130" s="72"/>
      <c r="C130" s="56">
        <v>4210</v>
      </c>
      <c r="D130" s="36" t="s">
        <v>116</v>
      </c>
      <c r="E130" s="70">
        <v>1710</v>
      </c>
      <c r="F130" s="70"/>
      <c r="G130" s="70">
        <f>SUM(E130:F130)</f>
        <v>1710</v>
      </c>
      <c r="H130" s="70"/>
      <c r="I130" s="70">
        <f>SUM(G130:H130)</f>
        <v>1710</v>
      </c>
      <c r="J130" s="70"/>
      <c r="K130" s="70">
        <f>SUM(I130:J130)</f>
        <v>1710</v>
      </c>
      <c r="L130" s="70"/>
      <c r="M130" s="70">
        <f>SUM(K130:L130)</f>
        <v>1710</v>
      </c>
      <c r="N130" s="70"/>
      <c r="O130" s="70">
        <f>SUM(M130:N130)</f>
        <v>1710</v>
      </c>
      <c r="P130" s="70"/>
      <c r="Q130" s="70">
        <f>SUM(O130:P130)</f>
        <v>1710</v>
      </c>
      <c r="R130" s="70"/>
      <c r="S130" s="70">
        <f>SUM(Q130:R130)</f>
        <v>1710</v>
      </c>
      <c r="T130" s="70"/>
      <c r="U130" s="70">
        <f>SUM(S130:T130)</f>
        <v>1710</v>
      </c>
      <c r="V130" s="70"/>
      <c r="W130" s="70">
        <f>SUM(U130:V130)</f>
        <v>1710</v>
      </c>
      <c r="X130" s="70"/>
      <c r="Y130" s="70">
        <f>SUM(W130:X130)</f>
        <v>1710</v>
      </c>
      <c r="Z130" s="70"/>
      <c r="AA130" s="70">
        <f t="shared" si="68"/>
        <v>1710</v>
      </c>
      <c r="AB130" s="70"/>
      <c r="AC130" s="70">
        <f t="shared" si="56"/>
        <v>1710</v>
      </c>
      <c r="AD130" s="105"/>
      <c r="AE130" s="105"/>
    </row>
    <row r="131" spans="1:31" s="22" customFormat="1" ht="24">
      <c r="A131" s="76"/>
      <c r="B131" s="72"/>
      <c r="C131" s="56">
        <v>4700</v>
      </c>
      <c r="D131" s="36" t="s">
        <v>321</v>
      </c>
      <c r="E131" s="70">
        <v>1000</v>
      </c>
      <c r="F131" s="70"/>
      <c r="G131" s="70">
        <f>SUM(E131:F131)</f>
        <v>1000</v>
      </c>
      <c r="H131" s="70"/>
      <c r="I131" s="70">
        <f>SUM(G131:H131)</f>
        <v>1000</v>
      </c>
      <c r="J131" s="70"/>
      <c r="K131" s="70">
        <f>SUM(I131:J131)</f>
        <v>1000</v>
      </c>
      <c r="L131" s="70"/>
      <c r="M131" s="70">
        <f>SUM(K131:L131)</f>
        <v>1000</v>
      </c>
      <c r="N131" s="70"/>
      <c r="O131" s="70">
        <f>SUM(M131:N131)</f>
        <v>1000</v>
      </c>
      <c r="P131" s="70"/>
      <c r="Q131" s="70">
        <f>SUM(O131:P131)</f>
        <v>1000</v>
      </c>
      <c r="R131" s="70"/>
      <c r="S131" s="70">
        <f>SUM(Q131:R131)</f>
        <v>1000</v>
      </c>
      <c r="T131" s="70"/>
      <c r="U131" s="70">
        <f>SUM(S131:T131)</f>
        <v>1000</v>
      </c>
      <c r="V131" s="70"/>
      <c r="W131" s="70">
        <f>SUM(U131:V131)</f>
        <v>1000</v>
      </c>
      <c r="X131" s="70"/>
      <c r="Y131" s="70">
        <f>SUM(W131:X131)</f>
        <v>1000</v>
      </c>
      <c r="Z131" s="70">
        <v>-1000</v>
      </c>
      <c r="AA131" s="70">
        <f t="shared" si="68"/>
        <v>0</v>
      </c>
      <c r="AB131" s="70"/>
      <c r="AC131" s="70">
        <f t="shared" si="56"/>
        <v>0</v>
      </c>
      <c r="AD131" s="105"/>
      <c r="AE131" s="105"/>
    </row>
    <row r="132" spans="1:31" s="22" customFormat="1" ht="24">
      <c r="A132" s="76"/>
      <c r="B132" s="72"/>
      <c r="C132" s="56">
        <v>4740</v>
      </c>
      <c r="D132" s="36" t="s">
        <v>270</v>
      </c>
      <c r="E132" s="70">
        <v>1200</v>
      </c>
      <c r="F132" s="70"/>
      <c r="G132" s="70">
        <f>SUM(E132:F132)</f>
        <v>1200</v>
      </c>
      <c r="H132" s="70"/>
      <c r="I132" s="70">
        <f>SUM(G132:H132)</f>
        <v>1200</v>
      </c>
      <c r="J132" s="70"/>
      <c r="K132" s="70">
        <f>SUM(I132:J132)</f>
        <v>1200</v>
      </c>
      <c r="L132" s="70">
        <v>-414</v>
      </c>
      <c r="M132" s="70">
        <f>SUM(K132:L132)</f>
        <v>786</v>
      </c>
      <c r="N132" s="70"/>
      <c r="O132" s="70">
        <f>SUM(M132:N132)</f>
        <v>786</v>
      </c>
      <c r="P132" s="70"/>
      <c r="Q132" s="70">
        <f>SUM(O132:P132)</f>
        <v>786</v>
      </c>
      <c r="R132" s="70"/>
      <c r="S132" s="70">
        <f>SUM(Q132:R132)</f>
        <v>786</v>
      </c>
      <c r="T132" s="70"/>
      <c r="U132" s="70">
        <f>SUM(S132:T132)</f>
        <v>786</v>
      </c>
      <c r="V132" s="70"/>
      <c r="W132" s="70">
        <f>SUM(U132:V132)</f>
        <v>786</v>
      </c>
      <c r="X132" s="70"/>
      <c r="Y132" s="70">
        <f>SUM(W132:X132)</f>
        <v>786</v>
      </c>
      <c r="Z132" s="70"/>
      <c r="AA132" s="70">
        <f t="shared" si="68"/>
        <v>786</v>
      </c>
      <c r="AB132" s="70"/>
      <c r="AC132" s="70">
        <f t="shared" si="56"/>
        <v>786</v>
      </c>
      <c r="AD132" s="105"/>
      <c r="AE132" s="105"/>
    </row>
    <row r="133" spans="1:31" s="22" customFormat="1" ht="22.5" customHeight="1">
      <c r="A133" s="76"/>
      <c r="B133" s="72"/>
      <c r="C133" s="56">
        <v>4750</v>
      </c>
      <c r="D133" s="36" t="s">
        <v>373</v>
      </c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>
        <v>0</v>
      </c>
      <c r="Z133" s="70">
        <v>1000</v>
      </c>
      <c r="AA133" s="70">
        <f t="shared" si="68"/>
        <v>1000</v>
      </c>
      <c r="AB133" s="70"/>
      <c r="AC133" s="70">
        <f t="shared" si="56"/>
        <v>1000</v>
      </c>
      <c r="AD133" s="105"/>
      <c r="AE133" s="105"/>
    </row>
    <row r="134" spans="1:31" s="5" customFormat="1" ht="24.75" customHeight="1">
      <c r="A134" s="31" t="s">
        <v>33</v>
      </c>
      <c r="B134" s="32"/>
      <c r="C134" s="33"/>
      <c r="D134" s="34" t="s">
        <v>126</v>
      </c>
      <c r="E134" s="35">
        <f aca="true" t="shared" si="72" ref="E134:V134">SUM(E139,E158,E178,E155)</f>
        <v>513920</v>
      </c>
      <c r="F134" s="35">
        <f t="shared" si="72"/>
        <v>193100</v>
      </c>
      <c r="G134" s="35">
        <f t="shared" si="72"/>
        <v>707020</v>
      </c>
      <c r="H134" s="35">
        <f t="shared" si="72"/>
        <v>0</v>
      </c>
      <c r="I134" s="35">
        <f t="shared" si="72"/>
        <v>707020</v>
      </c>
      <c r="J134" s="35">
        <f t="shared" si="72"/>
        <v>0</v>
      </c>
      <c r="K134" s="35">
        <f t="shared" si="72"/>
        <v>707020</v>
      </c>
      <c r="L134" s="35">
        <f t="shared" si="72"/>
        <v>0</v>
      </c>
      <c r="M134" s="35">
        <f t="shared" si="72"/>
        <v>707020</v>
      </c>
      <c r="N134" s="35">
        <f t="shared" si="72"/>
        <v>0</v>
      </c>
      <c r="O134" s="35">
        <f t="shared" si="72"/>
        <v>707020</v>
      </c>
      <c r="P134" s="35">
        <f t="shared" si="72"/>
        <v>0</v>
      </c>
      <c r="Q134" s="35">
        <f t="shared" si="72"/>
        <v>707020</v>
      </c>
      <c r="R134" s="35">
        <f t="shared" si="72"/>
        <v>62000</v>
      </c>
      <c r="S134" s="35">
        <f t="shared" si="72"/>
        <v>769020</v>
      </c>
      <c r="T134" s="35">
        <f t="shared" si="72"/>
        <v>0</v>
      </c>
      <c r="U134" s="35">
        <f t="shared" si="72"/>
        <v>769020</v>
      </c>
      <c r="V134" s="35">
        <f t="shared" si="72"/>
        <v>0</v>
      </c>
      <c r="W134" s="35">
        <f>SUM(W139,W158,W178,W155,W135)</f>
        <v>769020</v>
      </c>
      <c r="X134" s="35">
        <f>SUM(X139,X158,X178,X155,X135)</f>
        <v>67452</v>
      </c>
      <c r="Y134" s="35">
        <f>SUM(Y139,Y158,Y178,Y155,Y135,Y137)</f>
        <v>836472</v>
      </c>
      <c r="Z134" s="35">
        <f>SUM(Z139,Z158,Z178,Z155,Z135,Z137)</f>
        <v>103133</v>
      </c>
      <c r="AA134" s="35">
        <f>SUM(AA139,AA158,AA178,AA155,AA135,AA137)</f>
        <v>939605</v>
      </c>
      <c r="AB134" s="35">
        <f>SUM(AB139,AB158,AB178,AB155,AB135,AB137)</f>
        <v>0</v>
      </c>
      <c r="AC134" s="35">
        <f>SUM(AC139,AC158,AC178,AC155,AC135,AC137)</f>
        <v>939605</v>
      </c>
      <c r="AD134" s="130"/>
      <c r="AE134" s="130"/>
    </row>
    <row r="135" spans="1:31" s="22" customFormat="1" ht="24.75" customHeight="1">
      <c r="A135" s="56"/>
      <c r="B135" s="77">
        <v>75405</v>
      </c>
      <c r="C135" s="76"/>
      <c r="D135" s="36" t="s">
        <v>46</v>
      </c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>
        <f>SUM(W136)</f>
        <v>0</v>
      </c>
      <c r="X135" s="70">
        <f>SUM(X136)</f>
        <v>20000</v>
      </c>
      <c r="Y135" s="70">
        <f>SUM(Y136)</f>
        <v>20000</v>
      </c>
      <c r="Z135" s="70">
        <f>SUM(Z136)</f>
        <v>0</v>
      </c>
      <c r="AA135" s="70">
        <f aca="true" t="shared" si="73" ref="AA135:AA199">SUM(Y135:Z135)</f>
        <v>20000</v>
      </c>
      <c r="AB135" s="70">
        <f>SUM(AB136)</f>
        <v>0</v>
      </c>
      <c r="AC135" s="70">
        <f aca="true" t="shared" si="74" ref="AC135:AC199">SUM(AA135:AB135)</f>
        <v>20000</v>
      </c>
      <c r="AD135" s="105"/>
      <c r="AE135" s="105"/>
    </row>
    <row r="136" spans="1:33" s="22" customFormat="1" ht="48">
      <c r="A136" s="56"/>
      <c r="B136" s="77"/>
      <c r="C136" s="76">
        <v>6620</v>
      </c>
      <c r="D136" s="36" t="s">
        <v>383</v>
      </c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>
        <v>0</v>
      </c>
      <c r="X136" s="70">
        <v>20000</v>
      </c>
      <c r="Y136" s="70">
        <f>SUM(W136:X136)</f>
        <v>20000</v>
      </c>
      <c r="Z136" s="70"/>
      <c r="AA136" s="70">
        <f t="shared" si="73"/>
        <v>20000</v>
      </c>
      <c r="AB136" s="70"/>
      <c r="AC136" s="70">
        <f t="shared" si="74"/>
        <v>20000</v>
      </c>
      <c r="AD136" s="105"/>
      <c r="AE136" s="105"/>
      <c r="AF136" s="105"/>
      <c r="AG136" s="105"/>
    </row>
    <row r="137" spans="1:33" s="22" customFormat="1" ht="21.75" customHeight="1">
      <c r="A137" s="56"/>
      <c r="B137" s="77">
        <v>75411</v>
      </c>
      <c r="C137" s="76"/>
      <c r="D137" s="36" t="s">
        <v>337</v>
      </c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>
        <f>SUM(Y138)</f>
        <v>0</v>
      </c>
      <c r="Z137" s="70">
        <f>SUM(Z138)</f>
        <v>141600</v>
      </c>
      <c r="AA137" s="70">
        <f t="shared" si="73"/>
        <v>141600</v>
      </c>
      <c r="AB137" s="70">
        <f>SUM(AB138)</f>
        <v>0</v>
      </c>
      <c r="AC137" s="70">
        <f t="shared" si="74"/>
        <v>141600</v>
      </c>
      <c r="AD137" s="105"/>
      <c r="AE137" s="105"/>
      <c r="AF137" s="105"/>
      <c r="AG137" s="105"/>
    </row>
    <row r="138" spans="1:33" s="22" customFormat="1" ht="48">
      <c r="A138" s="56"/>
      <c r="B138" s="77"/>
      <c r="C138" s="76">
        <v>6620</v>
      </c>
      <c r="D138" s="36" t="s">
        <v>383</v>
      </c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>
        <v>0</v>
      </c>
      <c r="Z138" s="70">
        <v>141600</v>
      </c>
      <c r="AA138" s="70">
        <f t="shared" si="73"/>
        <v>141600</v>
      </c>
      <c r="AB138" s="70"/>
      <c r="AC138" s="70">
        <f t="shared" si="74"/>
        <v>141600</v>
      </c>
      <c r="AD138" s="105"/>
      <c r="AE138" s="105"/>
      <c r="AF138" s="105"/>
      <c r="AG138" s="105"/>
    </row>
    <row r="139" spans="1:31" s="22" customFormat="1" ht="21.75" customHeight="1">
      <c r="A139" s="76"/>
      <c r="B139" s="72" t="s">
        <v>127</v>
      </c>
      <c r="C139" s="76"/>
      <c r="D139" s="36" t="s">
        <v>128</v>
      </c>
      <c r="E139" s="70">
        <f aca="true" t="shared" si="75" ref="E139:V139">SUM(E141:E152)</f>
        <v>191420</v>
      </c>
      <c r="F139" s="70">
        <f t="shared" si="75"/>
        <v>153100</v>
      </c>
      <c r="G139" s="70">
        <f t="shared" si="75"/>
        <v>344520</v>
      </c>
      <c r="H139" s="70">
        <f t="shared" si="75"/>
        <v>0</v>
      </c>
      <c r="I139" s="70">
        <f t="shared" si="75"/>
        <v>344520</v>
      </c>
      <c r="J139" s="70">
        <f t="shared" si="75"/>
        <v>0</v>
      </c>
      <c r="K139" s="70">
        <f t="shared" si="75"/>
        <v>344520</v>
      </c>
      <c r="L139" s="70">
        <f t="shared" si="75"/>
        <v>0</v>
      </c>
      <c r="M139" s="70">
        <f t="shared" si="75"/>
        <v>344520</v>
      </c>
      <c r="N139" s="70">
        <f t="shared" si="75"/>
        <v>0</v>
      </c>
      <c r="O139" s="70">
        <f t="shared" si="75"/>
        <v>344520</v>
      </c>
      <c r="P139" s="70">
        <f t="shared" si="75"/>
        <v>0</v>
      </c>
      <c r="Q139" s="70">
        <f t="shared" si="75"/>
        <v>344520</v>
      </c>
      <c r="R139" s="70">
        <f t="shared" si="75"/>
        <v>0</v>
      </c>
      <c r="S139" s="70">
        <f t="shared" si="75"/>
        <v>344520</v>
      </c>
      <c r="T139" s="70">
        <f t="shared" si="75"/>
        <v>0</v>
      </c>
      <c r="U139" s="70">
        <f t="shared" si="75"/>
        <v>344520</v>
      </c>
      <c r="V139" s="70">
        <f t="shared" si="75"/>
        <v>0</v>
      </c>
      <c r="W139" s="70">
        <f>SUM(W140:W154)</f>
        <v>344520</v>
      </c>
      <c r="X139" s="70">
        <f>SUM(X140:X154)</f>
        <v>700</v>
      </c>
      <c r="Y139" s="70">
        <f>SUM(Y140:Y154)</f>
        <v>345220</v>
      </c>
      <c r="Z139" s="70">
        <f>SUM(Z140:Z154)</f>
        <v>-1800</v>
      </c>
      <c r="AA139" s="70">
        <f t="shared" si="73"/>
        <v>343420</v>
      </c>
      <c r="AB139" s="70">
        <f>SUM(AB140:AB154)</f>
        <v>0</v>
      </c>
      <c r="AC139" s="70">
        <f t="shared" si="74"/>
        <v>343420</v>
      </c>
      <c r="AD139" s="105"/>
      <c r="AE139" s="105"/>
    </row>
    <row r="140" spans="1:31" s="22" customFormat="1" ht="36">
      <c r="A140" s="76"/>
      <c r="B140" s="72"/>
      <c r="C140" s="76">
        <v>2820</v>
      </c>
      <c r="D140" s="36" t="s">
        <v>355</v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>
        <v>0</v>
      </c>
      <c r="X140" s="70">
        <v>8104</v>
      </c>
      <c r="Y140" s="70">
        <f aca="true" t="shared" si="76" ref="Y140:Y152">SUM(W140:X140)</f>
        <v>8104</v>
      </c>
      <c r="Z140" s="70"/>
      <c r="AA140" s="70">
        <f t="shared" si="73"/>
        <v>8104</v>
      </c>
      <c r="AB140" s="70"/>
      <c r="AC140" s="70">
        <f t="shared" si="74"/>
        <v>8104</v>
      </c>
      <c r="AD140" s="105"/>
      <c r="AE140" s="105"/>
    </row>
    <row r="141" spans="1:31" s="22" customFormat="1" ht="12">
      <c r="A141" s="76"/>
      <c r="B141" s="72"/>
      <c r="C141" s="76">
        <v>3020</v>
      </c>
      <c r="D141" s="36" t="s">
        <v>225</v>
      </c>
      <c r="E141" s="70">
        <v>8500</v>
      </c>
      <c r="F141" s="70"/>
      <c r="G141" s="70">
        <f aca="true" t="shared" si="77" ref="G141:G152">SUM(E141:F141)</f>
        <v>8500</v>
      </c>
      <c r="H141" s="70"/>
      <c r="I141" s="70">
        <f aca="true" t="shared" si="78" ref="I141:I152">SUM(G141:H141)</f>
        <v>8500</v>
      </c>
      <c r="J141" s="70"/>
      <c r="K141" s="70">
        <f aca="true" t="shared" si="79" ref="K141:K152">SUM(I141:J141)</f>
        <v>8500</v>
      </c>
      <c r="L141" s="70"/>
      <c r="M141" s="70">
        <f aca="true" t="shared" si="80" ref="M141:M152">SUM(K141:L141)</f>
        <v>8500</v>
      </c>
      <c r="N141" s="70"/>
      <c r="O141" s="70">
        <f aca="true" t="shared" si="81" ref="O141:O152">SUM(M141:N141)</f>
        <v>8500</v>
      </c>
      <c r="P141" s="70"/>
      <c r="Q141" s="70">
        <f aca="true" t="shared" si="82" ref="Q141:Q152">SUM(O141:P141)</f>
        <v>8500</v>
      </c>
      <c r="R141" s="70"/>
      <c r="S141" s="70">
        <f aca="true" t="shared" si="83" ref="S141:S152">SUM(Q141:R141)</f>
        <v>8500</v>
      </c>
      <c r="T141" s="70">
        <v>1000</v>
      </c>
      <c r="U141" s="70">
        <f aca="true" t="shared" si="84" ref="U141:U152">SUM(S141:T141)</f>
        <v>9500</v>
      </c>
      <c r="V141" s="70"/>
      <c r="W141" s="70">
        <f aca="true" t="shared" si="85" ref="W141:W152">SUM(U141:V141)</f>
        <v>9500</v>
      </c>
      <c r="X141" s="70">
        <v>700</v>
      </c>
      <c r="Y141" s="70">
        <f t="shared" si="76"/>
        <v>10200</v>
      </c>
      <c r="Z141" s="70">
        <v>5000</v>
      </c>
      <c r="AA141" s="70">
        <f t="shared" si="73"/>
        <v>15200</v>
      </c>
      <c r="AB141" s="70">
        <v>3000</v>
      </c>
      <c r="AC141" s="70">
        <f t="shared" si="74"/>
        <v>18200</v>
      </c>
      <c r="AD141" s="105"/>
      <c r="AE141" s="105"/>
    </row>
    <row r="142" spans="1:31" s="22" customFormat="1" ht="21" customHeight="1">
      <c r="A142" s="76"/>
      <c r="B142" s="72"/>
      <c r="C142" s="76">
        <v>3030</v>
      </c>
      <c r="D142" s="36" t="s">
        <v>113</v>
      </c>
      <c r="E142" s="70">
        <v>20000</v>
      </c>
      <c r="F142" s="70"/>
      <c r="G142" s="70">
        <f t="shared" si="77"/>
        <v>20000</v>
      </c>
      <c r="H142" s="70"/>
      <c r="I142" s="70">
        <f t="shared" si="78"/>
        <v>20000</v>
      </c>
      <c r="J142" s="70"/>
      <c r="K142" s="70">
        <f t="shared" si="79"/>
        <v>20000</v>
      </c>
      <c r="L142" s="70"/>
      <c r="M142" s="70">
        <f t="shared" si="80"/>
        <v>20000</v>
      </c>
      <c r="N142" s="70"/>
      <c r="O142" s="70">
        <f t="shared" si="81"/>
        <v>20000</v>
      </c>
      <c r="P142" s="70"/>
      <c r="Q142" s="70">
        <f t="shared" si="82"/>
        <v>20000</v>
      </c>
      <c r="R142" s="70"/>
      <c r="S142" s="70">
        <f t="shared" si="83"/>
        <v>20000</v>
      </c>
      <c r="T142" s="70">
        <v>-5000</v>
      </c>
      <c r="U142" s="70">
        <f t="shared" si="84"/>
        <v>15000</v>
      </c>
      <c r="V142" s="70">
        <v>11500</v>
      </c>
      <c r="W142" s="70">
        <f t="shared" si="85"/>
        <v>26500</v>
      </c>
      <c r="X142" s="70"/>
      <c r="Y142" s="70">
        <f t="shared" si="76"/>
        <v>26500</v>
      </c>
      <c r="Z142" s="70">
        <v>20000</v>
      </c>
      <c r="AA142" s="70">
        <f t="shared" si="73"/>
        <v>46500</v>
      </c>
      <c r="AB142" s="70"/>
      <c r="AC142" s="70">
        <f t="shared" si="74"/>
        <v>46500</v>
      </c>
      <c r="AD142" s="105"/>
      <c r="AE142" s="105"/>
    </row>
    <row r="143" spans="1:31" s="22" customFormat="1" ht="21" customHeight="1">
      <c r="A143" s="76"/>
      <c r="B143" s="72"/>
      <c r="C143" s="76">
        <v>4110</v>
      </c>
      <c r="D143" s="36" t="s">
        <v>110</v>
      </c>
      <c r="E143" s="70">
        <v>4550</v>
      </c>
      <c r="F143" s="70"/>
      <c r="G143" s="70">
        <f t="shared" si="77"/>
        <v>4550</v>
      </c>
      <c r="H143" s="70"/>
      <c r="I143" s="70">
        <f t="shared" si="78"/>
        <v>4550</v>
      </c>
      <c r="J143" s="70"/>
      <c r="K143" s="70">
        <f t="shared" si="79"/>
        <v>4550</v>
      </c>
      <c r="L143" s="70"/>
      <c r="M143" s="70">
        <f t="shared" si="80"/>
        <v>4550</v>
      </c>
      <c r="N143" s="70"/>
      <c r="O143" s="70">
        <f t="shared" si="81"/>
        <v>4550</v>
      </c>
      <c r="P143" s="70"/>
      <c r="Q143" s="70">
        <f t="shared" si="82"/>
        <v>4550</v>
      </c>
      <c r="R143" s="70"/>
      <c r="S143" s="70">
        <f t="shared" si="83"/>
        <v>4550</v>
      </c>
      <c r="T143" s="70"/>
      <c r="U143" s="70">
        <f t="shared" si="84"/>
        <v>4550</v>
      </c>
      <c r="V143" s="70"/>
      <c r="W143" s="70">
        <f t="shared" si="85"/>
        <v>4550</v>
      </c>
      <c r="X143" s="70"/>
      <c r="Y143" s="70">
        <f t="shared" si="76"/>
        <v>4550</v>
      </c>
      <c r="Z143" s="70"/>
      <c r="AA143" s="70">
        <f t="shared" si="73"/>
        <v>4550</v>
      </c>
      <c r="AB143" s="70"/>
      <c r="AC143" s="70">
        <f t="shared" si="74"/>
        <v>4550</v>
      </c>
      <c r="AD143" s="105"/>
      <c r="AE143" s="105"/>
    </row>
    <row r="144" spans="1:31" s="22" customFormat="1" ht="21" customHeight="1">
      <c r="A144" s="76"/>
      <c r="B144" s="72"/>
      <c r="C144" s="76">
        <v>4120</v>
      </c>
      <c r="D144" s="36" t="s">
        <v>259</v>
      </c>
      <c r="E144" s="70">
        <v>650</v>
      </c>
      <c r="F144" s="70"/>
      <c r="G144" s="70">
        <f t="shared" si="77"/>
        <v>650</v>
      </c>
      <c r="H144" s="70"/>
      <c r="I144" s="70">
        <f t="shared" si="78"/>
        <v>650</v>
      </c>
      <c r="J144" s="70"/>
      <c r="K144" s="70">
        <f t="shared" si="79"/>
        <v>650</v>
      </c>
      <c r="L144" s="70"/>
      <c r="M144" s="70">
        <f t="shared" si="80"/>
        <v>650</v>
      </c>
      <c r="N144" s="70"/>
      <c r="O144" s="70">
        <f t="shared" si="81"/>
        <v>650</v>
      </c>
      <c r="P144" s="70"/>
      <c r="Q144" s="70">
        <f t="shared" si="82"/>
        <v>650</v>
      </c>
      <c r="R144" s="70"/>
      <c r="S144" s="70">
        <f t="shared" si="83"/>
        <v>650</v>
      </c>
      <c r="T144" s="70"/>
      <c r="U144" s="70">
        <f t="shared" si="84"/>
        <v>650</v>
      </c>
      <c r="V144" s="70"/>
      <c r="W144" s="70">
        <f t="shared" si="85"/>
        <v>650</v>
      </c>
      <c r="X144" s="70"/>
      <c r="Y144" s="70">
        <f t="shared" si="76"/>
        <v>650</v>
      </c>
      <c r="Z144" s="70"/>
      <c r="AA144" s="70">
        <f t="shared" si="73"/>
        <v>650</v>
      </c>
      <c r="AB144" s="70"/>
      <c r="AC144" s="70">
        <f t="shared" si="74"/>
        <v>650</v>
      </c>
      <c r="AD144" s="105"/>
      <c r="AE144" s="105"/>
    </row>
    <row r="145" spans="1:31" s="22" customFormat="1" ht="21" customHeight="1">
      <c r="A145" s="76"/>
      <c r="B145" s="72"/>
      <c r="C145" s="56">
        <v>4170</v>
      </c>
      <c r="D145" s="36" t="s">
        <v>227</v>
      </c>
      <c r="E145" s="70">
        <v>26200</v>
      </c>
      <c r="F145" s="70"/>
      <c r="G145" s="70">
        <f t="shared" si="77"/>
        <v>26200</v>
      </c>
      <c r="H145" s="70"/>
      <c r="I145" s="70">
        <f t="shared" si="78"/>
        <v>26200</v>
      </c>
      <c r="J145" s="70"/>
      <c r="K145" s="70">
        <f t="shared" si="79"/>
        <v>26200</v>
      </c>
      <c r="L145" s="70"/>
      <c r="M145" s="70">
        <f t="shared" si="80"/>
        <v>26200</v>
      </c>
      <c r="N145" s="70"/>
      <c r="O145" s="70">
        <f t="shared" si="81"/>
        <v>26200</v>
      </c>
      <c r="P145" s="70"/>
      <c r="Q145" s="70">
        <f t="shared" si="82"/>
        <v>26200</v>
      </c>
      <c r="R145" s="70"/>
      <c r="S145" s="70">
        <f t="shared" si="83"/>
        <v>26200</v>
      </c>
      <c r="T145" s="70"/>
      <c r="U145" s="70">
        <f t="shared" si="84"/>
        <v>26200</v>
      </c>
      <c r="V145" s="70"/>
      <c r="W145" s="70">
        <f t="shared" si="85"/>
        <v>26200</v>
      </c>
      <c r="X145" s="70"/>
      <c r="Y145" s="70">
        <f t="shared" si="76"/>
        <v>26200</v>
      </c>
      <c r="Z145" s="70"/>
      <c r="AA145" s="70">
        <f t="shared" si="73"/>
        <v>26200</v>
      </c>
      <c r="AB145" s="70"/>
      <c r="AC145" s="70">
        <f t="shared" si="74"/>
        <v>26200</v>
      </c>
      <c r="AD145" s="105"/>
      <c r="AE145" s="105"/>
    </row>
    <row r="146" spans="1:33" s="22" customFormat="1" ht="21" customHeight="1">
      <c r="A146" s="76"/>
      <c r="B146" s="72"/>
      <c r="C146" s="56">
        <v>4210</v>
      </c>
      <c r="D146" s="36" t="s">
        <v>116</v>
      </c>
      <c r="E146" s="70">
        <f>89200+7100-21680</f>
        <v>74620</v>
      </c>
      <c r="F146" s="70"/>
      <c r="G146" s="70">
        <f t="shared" si="77"/>
        <v>74620</v>
      </c>
      <c r="H146" s="70"/>
      <c r="I146" s="70">
        <f t="shared" si="78"/>
        <v>74620</v>
      </c>
      <c r="J146" s="70"/>
      <c r="K146" s="70">
        <f t="shared" si="79"/>
        <v>74620</v>
      </c>
      <c r="L146" s="70"/>
      <c r="M146" s="70">
        <f t="shared" si="80"/>
        <v>74620</v>
      </c>
      <c r="N146" s="70"/>
      <c r="O146" s="70">
        <f t="shared" si="81"/>
        <v>74620</v>
      </c>
      <c r="P146" s="70"/>
      <c r="Q146" s="70">
        <f t="shared" si="82"/>
        <v>74620</v>
      </c>
      <c r="R146" s="70"/>
      <c r="S146" s="70">
        <f t="shared" si="83"/>
        <v>74620</v>
      </c>
      <c r="T146" s="70">
        <v>2600</v>
      </c>
      <c r="U146" s="70">
        <f t="shared" si="84"/>
        <v>77220</v>
      </c>
      <c r="V146" s="70"/>
      <c r="W146" s="70">
        <f t="shared" si="85"/>
        <v>77220</v>
      </c>
      <c r="X146" s="70">
        <v>-14980</v>
      </c>
      <c r="Y146" s="70">
        <f t="shared" si="76"/>
        <v>62240</v>
      </c>
      <c r="Z146" s="70"/>
      <c r="AA146" s="70">
        <f t="shared" si="73"/>
        <v>62240</v>
      </c>
      <c r="AB146" s="70">
        <v>15000</v>
      </c>
      <c r="AC146" s="70">
        <f t="shared" si="74"/>
        <v>77240</v>
      </c>
      <c r="AD146" s="105"/>
      <c r="AE146" s="105"/>
      <c r="AF146" s="105"/>
      <c r="AG146" s="105"/>
    </row>
    <row r="147" spans="1:31" s="22" customFormat="1" ht="21" customHeight="1">
      <c r="A147" s="76"/>
      <c r="B147" s="72"/>
      <c r="C147" s="56">
        <v>4260</v>
      </c>
      <c r="D147" s="36" t="s">
        <v>119</v>
      </c>
      <c r="E147" s="70">
        <v>12000</v>
      </c>
      <c r="F147" s="70"/>
      <c r="G147" s="70">
        <f t="shared" si="77"/>
        <v>12000</v>
      </c>
      <c r="H147" s="70"/>
      <c r="I147" s="70">
        <f t="shared" si="78"/>
        <v>12000</v>
      </c>
      <c r="J147" s="70"/>
      <c r="K147" s="70">
        <f t="shared" si="79"/>
        <v>12000</v>
      </c>
      <c r="L147" s="70"/>
      <c r="M147" s="70">
        <f t="shared" si="80"/>
        <v>12000</v>
      </c>
      <c r="N147" s="70"/>
      <c r="O147" s="70">
        <f t="shared" si="81"/>
        <v>12000</v>
      </c>
      <c r="P147" s="70"/>
      <c r="Q147" s="70">
        <f t="shared" si="82"/>
        <v>12000</v>
      </c>
      <c r="R147" s="70"/>
      <c r="S147" s="70">
        <f t="shared" si="83"/>
        <v>12000</v>
      </c>
      <c r="T147" s="70"/>
      <c r="U147" s="70">
        <f t="shared" si="84"/>
        <v>12000</v>
      </c>
      <c r="V147" s="70">
        <v>10000</v>
      </c>
      <c r="W147" s="70">
        <f t="shared" si="85"/>
        <v>22000</v>
      </c>
      <c r="X147" s="70"/>
      <c r="Y147" s="70">
        <f t="shared" si="76"/>
        <v>22000</v>
      </c>
      <c r="Z147" s="70"/>
      <c r="AA147" s="70">
        <f t="shared" si="73"/>
        <v>22000</v>
      </c>
      <c r="AB147" s="70"/>
      <c r="AC147" s="70">
        <f t="shared" si="74"/>
        <v>22000</v>
      </c>
      <c r="AD147" s="105"/>
      <c r="AE147" s="105"/>
    </row>
    <row r="148" spans="1:31" s="22" customFormat="1" ht="21" customHeight="1">
      <c r="A148" s="76"/>
      <c r="B148" s="72"/>
      <c r="C148" s="56">
        <v>4270</v>
      </c>
      <c r="D148" s="36" t="s">
        <v>102</v>
      </c>
      <c r="E148" s="70">
        <v>16000</v>
      </c>
      <c r="F148" s="120">
        <v>153100</v>
      </c>
      <c r="G148" s="70">
        <f t="shared" si="77"/>
        <v>169100</v>
      </c>
      <c r="H148" s="60"/>
      <c r="I148" s="70">
        <f t="shared" si="78"/>
        <v>169100</v>
      </c>
      <c r="J148" s="60"/>
      <c r="K148" s="70">
        <f t="shared" si="79"/>
        <v>169100</v>
      </c>
      <c r="L148" s="60"/>
      <c r="M148" s="70">
        <f t="shared" si="80"/>
        <v>169100</v>
      </c>
      <c r="N148" s="60"/>
      <c r="O148" s="70">
        <f t="shared" si="81"/>
        <v>169100</v>
      </c>
      <c r="P148" s="60"/>
      <c r="Q148" s="70">
        <f t="shared" si="82"/>
        <v>169100</v>
      </c>
      <c r="R148" s="60"/>
      <c r="S148" s="70">
        <f t="shared" si="83"/>
        <v>169100</v>
      </c>
      <c r="T148" s="60"/>
      <c r="U148" s="70">
        <f t="shared" si="84"/>
        <v>169100</v>
      </c>
      <c r="V148" s="60">
        <f>-10000-11500</f>
        <v>-21500</v>
      </c>
      <c r="W148" s="70">
        <f t="shared" si="85"/>
        <v>147600</v>
      </c>
      <c r="X148" s="60">
        <v>-8104</v>
      </c>
      <c r="Y148" s="70">
        <f t="shared" si="76"/>
        <v>139496</v>
      </c>
      <c r="Z148" s="60">
        <v>-52800</v>
      </c>
      <c r="AA148" s="70">
        <f t="shared" si="73"/>
        <v>86696</v>
      </c>
      <c r="AB148" s="60">
        <v>-19000</v>
      </c>
      <c r="AC148" s="70">
        <f t="shared" si="74"/>
        <v>67696</v>
      </c>
      <c r="AD148" s="105"/>
      <c r="AE148" s="105"/>
    </row>
    <row r="149" spans="1:31" s="22" customFormat="1" ht="21" customHeight="1">
      <c r="A149" s="76"/>
      <c r="B149" s="72"/>
      <c r="C149" s="56">
        <v>4280</v>
      </c>
      <c r="D149" s="36" t="s">
        <v>258</v>
      </c>
      <c r="E149" s="70">
        <v>3600</v>
      </c>
      <c r="F149" s="70"/>
      <c r="G149" s="70">
        <f t="shared" si="77"/>
        <v>3600</v>
      </c>
      <c r="H149" s="70"/>
      <c r="I149" s="70">
        <f t="shared" si="78"/>
        <v>3600</v>
      </c>
      <c r="J149" s="70"/>
      <c r="K149" s="70">
        <f t="shared" si="79"/>
        <v>3600</v>
      </c>
      <c r="L149" s="70"/>
      <c r="M149" s="70">
        <f t="shared" si="80"/>
        <v>3600</v>
      </c>
      <c r="N149" s="70"/>
      <c r="O149" s="70">
        <f t="shared" si="81"/>
        <v>3600</v>
      </c>
      <c r="P149" s="70"/>
      <c r="Q149" s="70">
        <f t="shared" si="82"/>
        <v>3600</v>
      </c>
      <c r="R149" s="70"/>
      <c r="S149" s="70">
        <f t="shared" si="83"/>
        <v>3600</v>
      </c>
      <c r="T149" s="70">
        <v>1400</v>
      </c>
      <c r="U149" s="70">
        <f t="shared" si="84"/>
        <v>5000</v>
      </c>
      <c r="V149" s="70"/>
      <c r="W149" s="70">
        <f t="shared" si="85"/>
        <v>5000</v>
      </c>
      <c r="X149" s="70"/>
      <c r="Y149" s="70">
        <f t="shared" si="76"/>
        <v>5000</v>
      </c>
      <c r="Z149" s="70">
        <v>1000</v>
      </c>
      <c r="AA149" s="70">
        <f t="shared" si="73"/>
        <v>6000</v>
      </c>
      <c r="AB149" s="70">
        <v>1000</v>
      </c>
      <c r="AC149" s="70">
        <f t="shared" si="74"/>
        <v>7000</v>
      </c>
      <c r="AD149" s="105"/>
      <c r="AE149" s="105"/>
    </row>
    <row r="150" spans="1:31" s="22" customFormat="1" ht="21" customHeight="1">
      <c r="A150" s="76"/>
      <c r="B150" s="72"/>
      <c r="C150" s="56">
        <v>4300</v>
      </c>
      <c r="D150" s="36" t="s">
        <v>103</v>
      </c>
      <c r="E150" s="70">
        <v>11900</v>
      </c>
      <c r="F150" s="70"/>
      <c r="G150" s="70">
        <f t="shared" si="77"/>
        <v>11900</v>
      </c>
      <c r="H150" s="70"/>
      <c r="I150" s="70">
        <f t="shared" si="78"/>
        <v>11900</v>
      </c>
      <c r="J150" s="70"/>
      <c r="K150" s="70">
        <f t="shared" si="79"/>
        <v>11900</v>
      </c>
      <c r="L150" s="70"/>
      <c r="M150" s="70">
        <f t="shared" si="80"/>
        <v>11900</v>
      </c>
      <c r="N150" s="70"/>
      <c r="O150" s="70">
        <f t="shared" si="81"/>
        <v>11900</v>
      </c>
      <c r="P150" s="70"/>
      <c r="Q150" s="70">
        <f t="shared" si="82"/>
        <v>11900</v>
      </c>
      <c r="R150" s="70"/>
      <c r="S150" s="70">
        <f t="shared" si="83"/>
        <v>11900</v>
      </c>
      <c r="T150" s="70"/>
      <c r="U150" s="70">
        <f t="shared" si="84"/>
        <v>11900</v>
      </c>
      <c r="V150" s="70"/>
      <c r="W150" s="70">
        <f t="shared" si="85"/>
        <v>11900</v>
      </c>
      <c r="X150" s="70"/>
      <c r="Y150" s="70">
        <f t="shared" si="76"/>
        <v>11900</v>
      </c>
      <c r="Z150" s="70"/>
      <c r="AA150" s="70">
        <f t="shared" si="73"/>
        <v>11900</v>
      </c>
      <c r="AB150" s="70"/>
      <c r="AC150" s="70">
        <f t="shared" si="74"/>
        <v>11900</v>
      </c>
      <c r="AD150" s="105"/>
      <c r="AE150" s="105"/>
    </row>
    <row r="151" spans="1:31" s="22" customFormat="1" ht="21" customHeight="1">
      <c r="A151" s="76"/>
      <c r="B151" s="72"/>
      <c r="C151" s="56">
        <v>4410</v>
      </c>
      <c r="D151" s="36" t="s">
        <v>114</v>
      </c>
      <c r="E151" s="70">
        <v>3400</v>
      </c>
      <c r="F151" s="70"/>
      <c r="G151" s="70">
        <f t="shared" si="77"/>
        <v>3400</v>
      </c>
      <c r="H151" s="70"/>
      <c r="I151" s="70">
        <f t="shared" si="78"/>
        <v>3400</v>
      </c>
      <c r="J151" s="70"/>
      <c r="K151" s="70">
        <f t="shared" si="79"/>
        <v>3400</v>
      </c>
      <c r="L151" s="70"/>
      <c r="M151" s="70">
        <f t="shared" si="80"/>
        <v>3400</v>
      </c>
      <c r="N151" s="70"/>
      <c r="O151" s="70">
        <f t="shared" si="81"/>
        <v>3400</v>
      </c>
      <c r="P151" s="70"/>
      <c r="Q151" s="70">
        <f t="shared" si="82"/>
        <v>3400</v>
      </c>
      <c r="R151" s="70"/>
      <c r="S151" s="70">
        <f t="shared" si="83"/>
        <v>3400</v>
      </c>
      <c r="T151" s="70"/>
      <c r="U151" s="70">
        <f t="shared" si="84"/>
        <v>3400</v>
      </c>
      <c r="V151" s="70"/>
      <c r="W151" s="70">
        <f t="shared" si="85"/>
        <v>3400</v>
      </c>
      <c r="X151" s="70"/>
      <c r="Y151" s="70">
        <f t="shared" si="76"/>
        <v>3400</v>
      </c>
      <c r="Z151" s="70"/>
      <c r="AA151" s="70">
        <f t="shared" si="73"/>
        <v>3400</v>
      </c>
      <c r="AB151" s="70"/>
      <c r="AC151" s="70">
        <f t="shared" si="74"/>
        <v>3400</v>
      </c>
      <c r="AD151" s="105"/>
      <c r="AE151" s="105"/>
    </row>
    <row r="152" spans="1:31" s="22" customFormat="1" ht="21" customHeight="1">
      <c r="A152" s="76"/>
      <c r="B152" s="72"/>
      <c r="C152" s="56">
        <v>4430</v>
      </c>
      <c r="D152" s="36" t="s">
        <v>118</v>
      </c>
      <c r="E152" s="70">
        <v>10000</v>
      </c>
      <c r="F152" s="70"/>
      <c r="G152" s="70">
        <f t="shared" si="77"/>
        <v>10000</v>
      </c>
      <c r="H152" s="70"/>
      <c r="I152" s="70">
        <f t="shared" si="78"/>
        <v>10000</v>
      </c>
      <c r="J152" s="70"/>
      <c r="K152" s="70">
        <f t="shared" si="79"/>
        <v>10000</v>
      </c>
      <c r="L152" s="70"/>
      <c r="M152" s="70">
        <f t="shared" si="80"/>
        <v>10000</v>
      </c>
      <c r="N152" s="70"/>
      <c r="O152" s="70">
        <f t="shared" si="81"/>
        <v>10000</v>
      </c>
      <c r="P152" s="70"/>
      <c r="Q152" s="70">
        <f t="shared" si="82"/>
        <v>10000</v>
      </c>
      <c r="R152" s="70"/>
      <c r="S152" s="70">
        <f t="shared" si="83"/>
        <v>10000</v>
      </c>
      <c r="T152" s="70"/>
      <c r="U152" s="70">
        <f t="shared" si="84"/>
        <v>10000</v>
      </c>
      <c r="V152" s="70"/>
      <c r="W152" s="70">
        <f t="shared" si="85"/>
        <v>10000</v>
      </c>
      <c r="X152" s="70"/>
      <c r="Y152" s="70">
        <f t="shared" si="76"/>
        <v>10000</v>
      </c>
      <c r="Z152" s="70"/>
      <c r="AA152" s="70">
        <f t="shared" si="73"/>
        <v>10000</v>
      </c>
      <c r="AB152" s="70"/>
      <c r="AC152" s="70">
        <f t="shared" si="74"/>
        <v>10000</v>
      </c>
      <c r="AD152" s="105"/>
      <c r="AE152" s="105"/>
    </row>
    <row r="153" spans="1:33" s="22" customFormat="1" ht="21" customHeight="1">
      <c r="A153" s="76"/>
      <c r="B153" s="72"/>
      <c r="C153" s="56">
        <v>6050</v>
      </c>
      <c r="D153" s="36" t="s">
        <v>97</v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>
        <v>0</v>
      </c>
      <c r="Z153" s="70">
        <v>25000</v>
      </c>
      <c r="AA153" s="70">
        <f t="shared" si="73"/>
        <v>25000</v>
      </c>
      <c r="AB153" s="70"/>
      <c r="AC153" s="70">
        <f t="shared" si="74"/>
        <v>25000</v>
      </c>
      <c r="AD153" s="105"/>
      <c r="AE153" s="105"/>
      <c r="AF153" s="105"/>
      <c r="AG153" s="105"/>
    </row>
    <row r="154" spans="1:33" s="22" customFormat="1" ht="21" customHeight="1">
      <c r="A154" s="76"/>
      <c r="B154" s="72"/>
      <c r="C154" s="56">
        <v>6060</v>
      </c>
      <c r="D154" s="36" t="s">
        <v>120</v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>
        <v>0</v>
      </c>
      <c r="X154" s="70">
        <v>14980</v>
      </c>
      <c r="Y154" s="70">
        <f>SUM(W154:X154)</f>
        <v>14980</v>
      </c>
      <c r="Z154" s="70"/>
      <c r="AA154" s="70">
        <f t="shared" si="73"/>
        <v>14980</v>
      </c>
      <c r="AB154" s="70"/>
      <c r="AC154" s="70">
        <f t="shared" si="74"/>
        <v>14980</v>
      </c>
      <c r="AD154" s="105"/>
      <c r="AE154" s="105"/>
      <c r="AF154" s="105"/>
      <c r="AG154" s="105"/>
    </row>
    <row r="155" spans="1:31" s="22" customFormat="1" ht="21" customHeight="1">
      <c r="A155" s="76"/>
      <c r="B155" s="72">
        <v>75414</v>
      </c>
      <c r="C155" s="56"/>
      <c r="D155" s="36" t="s">
        <v>287</v>
      </c>
      <c r="E155" s="70">
        <f aca="true" t="shared" si="86" ref="E155:T155">SUM(E156)</f>
        <v>2500</v>
      </c>
      <c r="F155" s="70">
        <f t="shared" si="86"/>
        <v>0</v>
      </c>
      <c r="G155" s="70">
        <f t="shared" si="86"/>
        <v>2500</v>
      </c>
      <c r="H155" s="70">
        <f t="shared" si="86"/>
        <v>0</v>
      </c>
      <c r="I155" s="70">
        <f t="shared" si="86"/>
        <v>2500</v>
      </c>
      <c r="J155" s="70">
        <f t="shared" si="86"/>
        <v>0</v>
      </c>
      <c r="K155" s="70">
        <f t="shared" si="86"/>
        <v>2500</v>
      </c>
      <c r="L155" s="70">
        <f t="shared" si="86"/>
        <v>0</v>
      </c>
      <c r="M155" s="70">
        <f t="shared" si="86"/>
        <v>2500</v>
      </c>
      <c r="N155" s="70">
        <f t="shared" si="86"/>
        <v>0</v>
      </c>
      <c r="O155" s="70">
        <f t="shared" si="86"/>
        <v>2500</v>
      </c>
      <c r="P155" s="70">
        <f t="shared" si="86"/>
        <v>0</v>
      </c>
      <c r="Q155" s="70">
        <f t="shared" si="86"/>
        <v>2500</v>
      </c>
      <c r="R155" s="70">
        <f t="shared" si="86"/>
        <v>0</v>
      </c>
      <c r="S155" s="70">
        <f t="shared" si="86"/>
        <v>2500</v>
      </c>
      <c r="T155" s="70">
        <f t="shared" si="86"/>
        <v>0</v>
      </c>
      <c r="U155" s="70">
        <f aca="true" t="shared" si="87" ref="U155:Z155">SUM(U156:U157)</f>
        <v>2500</v>
      </c>
      <c r="V155" s="70">
        <f t="shared" si="87"/>
        <v>0</v>
      </c>
      <c r="W155" s="70">
        <f t="shared" si="87"/>
        <v>2500</v>
      </c>
      <c r="X155" s="70">
        <f t="shared" si="87"/>
        <v>0</v>
      </c>
      <c r="Y155" s="70">
        <f t="shared" si="87"/>
        <v>2500</v>
      </c>
      <c r="Z155" s="70">
        <f t="shared" si="87"/>
        <v>0</v>
      </c>
      <c r="AA155" s="70">
        <f t="shared" si="73"/>
        <v>2500</v>
      </c>
      <c r="AB155" s="70">
        <f>SUM(AB156:AB157)</f>
        <v>0</v>
      </c>
      <c r="AC155" s="70">
        <f t="shared" si="74"/>
        <v>2500</v>
      </c>
      <c r="AD155" s="105"/>
      <c r="AE155" s="105"/>
    </row>
    <row r="156" spans="1:31" s="22" customFormat="1" ht="21" customHeight="1">
      <c r="A156" s="76"/>
      <c r="B156" s="72"/>
      <c r="C156" s="56">
        <v>4210</v>
      </c>
      <c r="D156" s="36" t="s">
        <v>116</v>
      </c>
      <c r="E156" s="70">
        <v>2500</v>
      </c>
      <c r="F156" s="70"/>
      <c r="G156" s="70">
        <f>SUM(E156:F156)</f>
        <v>2500</v>
      </c>
      <c r="H156" s="70"/>
      <c r="I156" s="70">
        <f>SUM(G156:H156)</f>
        <v>2500</v>
      </c>
      <c r="J156" s="70"/>
      <c r="K156" s="70">
        <f>SUM(I156:J156)</f>
        <v>2500</v>
      </c>
      <c r="L156" s="70"/>
      <c r="M156" s="70">
        <f>SUM(K156:L156)</f>
        <v>2500</v>
      </c>
      <c r="N156" s="70"/>
      <c r="O156" s="70">
        <f>SUM(M156:N156)</f>
        <v>2500</v>
      </c>
      <c r="P156" s="70"/>
      <c r="Q156" s="70">
        <f>SUM(O156:P156)</f>
        <v>2500</v>
      </c>
      <c r="R156" s="70"/>
      <c r="S156" s="70">
        <f>SUM(Q156:R156)</f>
        <v>2500</v>
      </c>
      <c r="T156" s="70"/>
      <c r="U156" s="70">
        <f>SUM(S156:T156)</f>
        <v>2500</v>
      </c>
      <c r="V156" s="70">
        <v>-488</v>
      </c>
      <c r="W156" s="70">
        <f>SUM(U156:V156)</f>
        <v>2012</v>
      </c>
      <c r="X156" s="70"/>
      <c r="Y156" s="70">
        <f>SUM(W156:X156)</f>
        <v>2012</v>
      </c>
      <c r="Z156" s="70"/>
      <c r="AA156" s="70">
        <f t="shared" si="73"/>
        <v>2012</v>
      </c>
      <c r="AB156" s="70"/>
      <c r="AC156" s="70">
        <f t="shared" si="74"/>
        <v>2012</v>
      </c>
      <c r="AD156" s="105"/>
      <c r="AE156" s="105"/>
    </row>
    <row r="157" spans="1:31" s="22" customFormat="1" ht="24">
      <c r="A157" s="76"/>
      <c r="B157" s="72"/>
      <c r="C157" s="56">
        <v>4750</v>
      </c>
      <c r="D157" s="36" t="s">
        <v>373</v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>
        <v>0</v>
      </c>
      <c r="V157" s="70">
        <v>488</v>
      </c>
      <c r="W157" s="70">
        <f>SUM(U157:V157)</f>
        <v>488</v>
      </c>
      <c r="X157" s="70"/>
      <c r="Y157" s="70">
        <f>SUM(W157:X157)</f>
        <v>488</v>
      </c>
      <c r="Z157" s="70"/>
      <c r="AA157" s="70">
        <f t="shared" si="73"/>
        <v>488</v>
      </c>
      <c r="AB157" s="70"/>
      <c r="AC157" s="70">
        <f t="shared" si="74"/>
        <v>488</v>
      </c>
      <c r="AD157" s="105"/>
      <c r="AE157" s="105"/>
    </row>
    <row r="158" spans="1:31" s="22" customFormat="1" ht="21.75" customHeight="1">
      <c r="A158" s="76"/>
      <c r="B158" s="72">
        <v>75416</v>
      </c>
      <c r="C158" s="76"/>
      <c r="D158" s="36" t="s">
        <v>36</v>
      </c>
      <c r="E158" s="70">
        <f aca="true" t="shared" si="88" ref="E158:Z158">SUM(E159:E177)</f>
        <v>315000</v>
      </c>
      <c r="F158" s="70">
        <f t="shared" si="88"/>
        <v>0</v>
      </c>
      <c r="G158" s="70">
        <f t="shared" si="88"/>
        <v>315000</v>
      </c>
      <c r="H158" s="70">
        <f t="shared" si="88"/>
        <v>0</v>
      </c>
      <c r="I158" s="70">
        <f t="shared" si="88"/>
        <v>315000</v>
      </c>
      <c r="J158" s="70">
        <f t="shared" si="88"/>
        <v>0</v>
      </c>
      <c r="K158" s="70">
        <f t="shared" si="88"/>
        <v>315000</v>
      </c>
      <c r="L158" s="70">
        <f t="shared" si="88"/>
        <v>0</v>
      </c>
      <c r="M158" s="70">
        <f t="shared" si="88"/>
        <v>315000</v>
      </c>
      <c r="N158" s="70">
        <f t="shared" si="88"/>
        <v>0</v>
      </c>
      <c r="O158" s="70">
        <f t="shared" si="88"/>
        <v>315000</v>
      </c>
      <c r="P158" s="70">
        <f t="shared" si="88"/>
        <v>0</v>
      </c>
      <c r="Q158" s="70">
        <f t="shared" si="88"/>
        <v>315000</v>
      </c>
      <c r="R158" s="70">
        <f t="shared" si="88"/>
        <v>0</v>
      </c>
      <c r="S158" s="70">
        <f t="shared" si="88"/>
        <v>315000</v>
      </c>
      <c r="T158" s="70">
        <f t="shared" si="88"/>
        <v>0</v>
      </c>
      <c r="U158" s="70">
        <f t="shared" si="88"/>
        <v>315000</v>
      </c>
      <c r="V158" s="70">
        <f t="shared" si="88"/>
        <v>0</v>
      </c>
      <c r="W158" s="70">
        <f t="shared" si="88"/>
        <v>315000</v>
      </c>
      <c r="X158" s="70">
        <f t="shared" si="88"/>
        <v>0</v>
      </c>
      <c r="Y158" s="70">
        <f t="shared" si="88"/>
        <v>315000</v>
      </c>
      <c r="Z158" s="70">
        <f t="shared" si="88"/>
        <v>-36667</v>
      </c>
      <c r="AA158" s="70">
        <f t="shared" si="73"/>
        <v>278333</v>
      </c>
      <c r="AB158" s="70">
        <f>SUM(AB159:AB177)</f>
        <v>0</v>
      </c>
      <c r="AC158" s="70">
        <f t="shared" si="74"/>
        <v>278333</v>
      </c>
      <c r="AD158" s="105"/>
      <c r="AE158" s="105"/>
    </row>
    <row r="159" spans="1:31" s="22" customFormat="1" ht="21" customHeight="1">
      <c r="A159" s="76"/>
      <c r="B159" s="72"/>
      <c r="C159" s="56">
        <v>3020</v>
      </c>
      <c r="D159" s="36" t="s">
        <v>225</v>
      </c>
      <c r="E159" s="70">
        <v>14900</v>
      </c>
      <c r="F159" s="70"/>
      <c r="G159" s="70">
        <f aca="true" t="shared" si="89" ref="G159:G173">SUM(E159:F159)</f>
        <v>14900</v>
      </c>
      <c r="H159" s="70"/>
      <c r="I159" s="70">
        <f aca="true" t="shared" si="90" ref="I159:I173">SUM(G159:H159)</f>
        <v>14900</v>
      </c>
      <c r="J159" s="70"/>
      <c r="K159" s="70">
        <f aca="true" t="shared" si="91" ref="K159:K177">SUM(I159:J159)</f>
        <v>14900</v>
      </c>
      <c r="L159" s="70"/>
      <c r="M159" s="70">
        <f aca="true" t="shared" si="92" ref="M159:M177">SUM(K159:L159)</f>
        <v>14900</v>
      </c>
      <c r="N159" s="70"/>
      <c r="O159" s="70">
        <f aca="true" t="shared" si="93" ref="O159:O177">SUM(M159:N159)</f>
        <v>14900</v>
      </c>
      <c r="P159" s="70"/>
      <c r="Q159" s="70">
        <f aca="true" t="shared" si="94" ref="Q159:Q177">SUM(O159:P159)</f>
        <v>14900</v>
      </c>
      <c r="R159" s="70"/>
      <c r="S159" s="70">
        <f aca="true" t="shared" si="95" ref="S159:S177">SUM(Q159:R159)</f>
        <v>14900</v>
      </c>
      <c r="T159" s="70"/>
      <c r="U159" s="70">
        <f aca="true" t="shared" si="96" ref="U159:U177">SUM(S159:T159)</f>
        <v>14900</v>
      </c>
      <c r="V159" s="70"/>
      <c r="W159" s="70">
        <f aca="true" t="shared" si="97" ref="W159:W177">SUM(U159:V159)</f>
        <v>14900</v>
      </c>
      <c r="X159" s="70"/>
      <c r="Y159" s="70">
        <f aca="true" t="shared" si="98" ref="Y159:Y177">SUM(W159:X159)</f>
        <v>14900</v>
      </c>
      <c r="Z159" s="70"/>
      <c r="AA159" s="70">
        <f t="shared" si="73"/>
        <v>14900</v>
      </c>
      <c r="AB159" s="70"/>
      <c r="AC159" s="70">
        <f t="shared" si="74"/>
        <v>14900</v>
      </c>
      <c r="AD159" s="105"/>
      <c r="AE159" s="105"/>
    </row>
    <row r="160" spans="1:31" s="22" customFormat="1" ht="21" customHeight="1">
      <c r="A160" s="76"/>
      <c r="B160" s="72"/>
      <c r="C160" s="56">
        <v>4010</v>
      </c>
      <c r="D160" s="36" t="s">
        <v>108</v>
      </c>
      <c r="E160" s="70">
        <f>180500-250</f>
        <v>180250</v>
      </c>
      <c r="F160" s="70"/>
      <c r="G160" s="70">
        <f t="shared" si="89"/>
        <v>180250</v>
      </c>
      <c r="H160" s="70"/>
      <c r="I160" s="70">
        <f t="shared" si="90"/>
        <v>180250</v>
      </c>
      <c r="J160" s="70"/>
      <c r="K160" s="70">
        <f t="shared" si="91"/>
        <v>180250</v>
      </c>
      <c r="L160" s="70"/>
      <c r="M160" s="70">
        <f t="shared" si="92"/>
        <v>180250</v>
      </c>
      <c r="N160" s="70"/>
      <c r="O160" s="70">
        <f t="shared" si="93"/>
        <v>180250</v>
      </c>
      <c r="P160" s="70"/>
      <c r="Q160" s="70">
        <f t="shared" si="94"/>
        <v>180250</v>
      </c>
      <c r="R160" s="70"/>
      <c r="S160" s="70">
        <f t="shared" si="95"/>
        <v>180250</v>
      </c>
      <c r="T160" s="70"/>
      <c r="U160" s="70">
        <f t="shared" si="96"/>
        <v>180250</v>
      </c>
      <c r="V160" s="70"/>
      <c r="W160" s="70">
        <f t="shared" si="97"/>
        <v>180250</v>
      </c>
      <c r="X160" s="70"/>
      <c r="Y160" s="70">
        <f t="shared" si="98"/>
        <v>180250</v>
      </c>
      <c r="Z160" s="70">
        <v>-30000</v>
      </c>
      <c r="AA160" s="70">
        <f t="shared" si="73"/>
        <v>150250</v>
      </c>
      <c r="AB160" s="70"/>
      <c r="AC160" s="70">
        <f t="shared" si="74"/>
        <v>150250</v>
      </c>
      <c r="AD160" s="105"/>
      <c r="AE160" s="105"/>
    </row>
    <row r="161" spans="1:31" s="22" customFormat="1" ht="21" customHeight="1">
      <c r="A161" s="76"/>
      <c r="B161" s="72"/>
      <c r="C161" s="56">
        <v>4040</v>
      </c>
      <c r="D161" s="36" t="s">
        <v>109</v>
      </c>
      <c r="E161" s="70">
        <v>7000</v>
      </c>
      <c r="F161" s="70"/>
      <c r="G161" s="70">
        <f t="shared" si="89"/>
        <v>7000</v>
      </c>
      <c r="H161" s="70"/>
      <c r="I161" s="70">
        <f t="shared" si="90"/>
        <v>7000</v>
      </c>
      <c r="J161" s="70"/>
      <c r="K161" s="70">
        <f t="shared" si="91"/>
        <v>7000</v>
      </c>
      <c r="L161" s="70"/>
      <c r="M161" s="70">
        <f t="shared" si="92"/>
        <v>7000</v>
      </c>
      <c r="N161" s="70"/>
      <c r="O161" s="70">
        <f t="shared" si="93"/>
        <v>7000</v>
      </c>
      <c r="P161" s="70"/>
      <c r="Q161" s="70">
        <f t="shared" si="94"/>
        <v>7000</v>
      </c>
      <c r="R161" s="70"/>
      <c r="S161" s="70">
        <f t="shared" si="95"/>
        <v>7000</v>
      </c>
      <c r="T161" s="70"/>
      <c r="U161" s="70">
        <f t="shared" si="96"/>
        <v>7000</v>
      </c>
      <c r="V161" s="70"/>
      <c r="W161" s="70">
        <f t="shared" si="97"/>
        <v>7000</v>
      </c>
      <c r="X161" s="70"/>
      <c r="Y161" s="70">
        <f t="shared" si="98"/>
        <v>7000</v>
      </c>
      <c r="Z161" s="70"/>
      <c r="AA161" s="70">
        <f t="shared" si="73"/>
        <v>7000</v>
      </c>
      <c r="AB161" s="70"/>
      <c r="AC161" s="70">
        <f t="shared" si="74"/>
        <v>7000</v>
      </c>
      <c r="AD161" s="105"/>
      <c r="AE161" s="105"/>
    </row>
    <row r="162" spans="1:31" s="22" customFormat="1" ht="21" customHeight="1">
      <c r="A162" s="76"/>
      <c r="B162" s="72"/>
      <c r="C162" s="56">
        <v>4110</v>
      </c>
      <c r="D162" s="36" t="s">
        <v>110</v>
      </c>
      <c r="E162" s="70">
        <v>31900</v>
      </c>
      <c r="F162" s="70"/>
      <c r="G162" s="70">
        <f t="shared" si="89"/>
        <v>31900</v>
      </c>
      <c r="H162" s="70"/>
      <c r="I162" s="70">
        <f t="shared" si="90"/>
        <v>31900</v>
      </c>
      <c r="J162" s="70"/>
      <c r="K162" s="70">
        <f t="shared" si="91"/>
        <v>31900</v>
      </c>
      <c r="L162" s="70"/>
      <c r="M162" s="70">
        <f t="shared" si="92"/>
        <v>31900</v>
      </c>
      <c r="N162" s="70"/>
      <c r="O162" s="70">
        <f t="shared" si="93"/>
        <v>31900</v>
      </c>
      <c r="P162" s="70"/>
      <c r="Q162" s="70">
        <f t="shared" si="94"/>
        <v>31900</v>
      </c>
      <c r="R162" s="70"/>
      <c r="S162" s="70">
        <f t="shared" si="95"/>
        <v>31900</v>
      </c>
      <c r="T162" s="70"/>
      <c r="U162" s="70">
        <f t="shared" si="96"/>
        <v>31900</v>
      </c>
      <c r="V162" s="70"/>
      <c r="W162" s="70">
        <f t="shared" si="97"/>
        <v>31900</v>
      </c>
      <c r="X162" s="70"/>
      <c r="Y162" s="70">
        <f t="shared" si="98"/>
        <v>31900</v>
      </c>
      <c r="Z162" s="70">
        <v>-6667</v>
      </c>
      <c r="AA162" s="70">
        <f t="shared" si="73"/>
        <v>25233</v>
      </c>
      <c r="AB162" s="70"/>
      <c r="AC162" s="70">
        <f t="shared" si="74"/>
        <v>25233</v>
      </c>
      <c r="AD162" s="105"/>
      <c r="AE162" s="105"/>
    </row>
    <row r="163" spans="1:31" s="22" customFormat="1" ht="21" customHeight="1">
      <c r="A163" s="76"/>
      <c r="B163" s="72"/>
      <c r="C163" s="56">
        <v>4120</v>
      </c>
      <c r="D163" s="36" t="s">
        <v>111</v>
      </c>
      <c r="E163" s="70">
        <v>4600</v>
      </c>
      <c r="F163" s="70"/>
      <c r="G163" s="70">
        <f t="shared" si="89"/>
        <v>4600</v>
      </c>
      <c r="H163" s="70"/>
      <c r="I163" s="70">
        <f t="shared" si="90"/>
        <v>4600</v>
      </c>
      <c r="J163" s="70"/>
      <c r="K163" s="70">
        <f t="shared" si="91"/>
        <v>4600</v>
      </c>
      <c r="L163" s="70"/>
      <c r="M163" s="70">
        <f t="shared" si="92"/>
        <v>4600</v>
      </c>
      <c r="N163" s="70"/>
      <c r="O163" s="70">
        <f t="shared" si="93"/>
        <v>4600</v>
      </c>
      <c r="P163" s="70"/>
      <c r="Q163" s="70">
        <f t="shared" si="94"/>
        <v>4600</v>
      </c>
      <c r="R163" s="70"/>
      <c r="S163" s="70">
        <f t="shared" si="95"/>
        <v>4600</v>
      </c>
      <c r="T163" s="70"/>
      <c r="U163" s="70">
        <f t="shared" si="96"/>
        <v>4600</v>
      </c>
      <c r="V163" s="70"/>
      <c r="W163" s="70">
        <f t="shared" si="97"/>
        <v>4600</v>
      </c>
      <c r="X163" s="70"/>
      <c r="Y163" s="70">
        <f t="shared" si="98"/>
        <v>4600</v>
      </c>
      <c r="Z163" s="70"/>
      <c r="AA163" s="70">
        <f t="shared" si="73"/>
        <v>4600</v>
      </c>
      <c r="AB163" s="70"/>
      <c r="AC163" s="70">
        <f t="shared" si="74"/>
        <v>4600</v>
      </c>
      <c r="AD163" s="105"/>
      <c r="AE163" s="105"/>
    </row>
    <row r="164" spans="1:31" s="22" customFormat="1" ht="21" customHeight="1">
      <c r="A164" s="76"/>
      <c r="B164" s="72"/>
      <c r="C164" s="56">
        <v>4210</v>
      </c>
      <c r="D164" s="36" t="s">
        <v>116</v>
      </c>
      <c r="E164" s="70">
        <v>10000</v>
      </c>
      <c r="F164" s="70"/>
      <c r="G164" s="70">
        <f t="shared" si="89"/>
        <v>10000</v>
      </c>
      <c r="H164" s="70"/>
      <c r="I164" s="70">
        <f t="shared" si="90"/>
        <v>10000</v>
      </c>
      <c r="J164" s="70"/>
      <c r="K164" s="70">
        <f t="shared" si="91"/>
        <v>10000</v>
      </c>
      <c r="L164" s="70"/>
      <c r="M164" s="70">
        <f t="shared" si="92"/>
        <v>10000</v>
      </c>
      <c r="N164" s="70"/>
      <c r="O164" s="70">
        <f t="shared" si="93"/>
        <v>10000</v>
      </c>
      <c r="P164" s="70"/>
      <c r="Q164" s="70">
        <f t="shared" si="94"/>
        <v>10000</v>
      </c>
      <c r="R164" s="70"/>
      <c r="S164" s="70">
        <f t="shared" si="95"/>
        <v>10000</v>
      </c>
      <c r="T164" s="70"/>
      <c r="U164" s="70">
        <f t="shared" si="96"/>
        <v>10000</v>
      </c>
      <c r="V164" s="70"/>
      <c r="W164" s="70">
        <f t="shared" si="97"/>
        <v>10000</v>
      </c>
      <c r="X164" s="70"/>
      <c r="Y164" s="70">
        <f t="shared" si="98"/>
        <v>10000</v>
      </c>
      <c r="Z164" s="70"/>
      <c r="AA164" s="70">
        <f t="shared" si="73"/>
        <v>10000</v>
      </c>
      <c r="AB164" s="70"/>
      <c r="AC164" s="70">
        <f t="shared" si="74"/>
        <v>10000</v>
      </c>
      <c r="AD164" s="105"/>
      <c r="AE164" s="105"/>
    </row>
    <row r="165" spans="1:31" s="22" customFormat="1" ht="21" customHeight="1">
      <c r="A165" s="76"/>
      <c r="B165" s="72"/>
      <c r="C165" s="56">
        <v>4270</v>
      </c>
      <c r="D165" s="36" t="s">
        <v>102</v>
      </c>
      <c r="E165" s="70">
        <v>4000</v>
      </c>
      <c r="F165" s="70"/>
      <c r="G165" s="70">
        <f t="shared" si="89"/>
        <v>4000</v>
      </c>
      <c r="H165" s="70"/>
      <c r="I165" s="70">
        <f t="shared" si="90"/>
        <v>4000</v>
      </c>
      <c r="J165" s="70"/>
      <c r="K165" s="70">
        <f t="shared" si="91"/>
        <v>4000</v>
      </c>
      <c r="L165" s="70"/>
      <c r="M165" s="70">
        <f t="shared" si="92"/>
        <v>4000</v>
      </c>
      <c r="N165" s="70"/>
      <c r="O165" s="70">
        <f t="shared" si="93"/>
        <v>4000</v>
      </c>
      <c r="P165" s="70"/>
      <c r="Q165" s="70">
        <f t="shared" si="94"/>
        <v>4000</v>
      </c>
      <c r="R165" s="70"/>
      <c r="S165" s="70">
        <f t="shared" si="95"/>
        <v>4000</v>
      </c>
      <c r="T165" s="70"/>
      <c r="U165" s="70">
        <f t="shared" si="96"/>
        <v>4000</v>
      </c>
      <c r="V165" s="70"/>
      <c r="W165" s="70">
        <f t="shared" si="97"/>
        <v>4000</v>
      </c>
      <c r="X165" s="70"/>
      <c r="Y165" s="70">
        <f t="shared" si="98"/>
        <v>4000</v>
      </c>
      <c r="Z165" s="70"/>
      <c r="AA165" s="70">
        <f t="shared" si="73"/>
        <v>4000</v>
      </c>
      <c r="AB165" s="70"/>
      <c r="AC165" s="70">
        <f t="shared" si="74"/>
        <v>4000</v>
      </c>
      <c r="AD165" s="105"/>
      <c r="AE165" s="105"/>
    </row>
    <row r="166" spans="1:31" s="22" customFormat="1" ht="21" customHeight="1">
      <c r="A166" s="76"/>
      <c r="B166" s="72"/>
      <c r="C166" s="56">
        <v>4280</v>
      </c>
      <c r="D166" s="36" t="s">
        <v>258</v>
      </c>
      <c r="E166" s="70">
        <v>1200</v>
      </c>
      <c r="F166" s="70"/>
      <c r="G166" s="70">
        <f t="shared" si="89"/>
        <v>1200</v>
      </c>
      <c r="H166" s="70"/>
      <c r="I166" s="70">
        <f t="shared" si="90"/>
        <v>1200</v>
      </c>
      <c r="J166" s="70"/>
      <c r="K166" s="70">
        <f t="shared" si="91"/>
        <v>1200</v>
      </c>
      <c r="L166" s="70"/>
      <c r="M166" s="70">
        <f t="shared" si="92"/>
        <v>1200</v>
      </c>
      <c r="N166" s="70"/>
      <c r="O166" s="70">
        <f t="shared" si="93"/>
        <v>1200</v>
      </c>
      <c r="P166" s="70"/>
      <c r="Q166" s="70">
        <f t="shared" si="94"/>
        <v>1200</v>
      </c>
      <c r="R166" s="70"/>
      <c r="S166" s="70">
        <f t="shared" si="95"/>
        <v>1200</v>
      </c>
      <c r="T166" s="70"/>
      <c r="U166" s="70">
        <f t="shared" si="96"/>
        <v>1200</v>
      </c>
      <c r="V166" s="70"/>
      <c r="W166" s="70">
        <f t="shared" si="97"/>
        <v>1200</v>
      </c>
      <c r="X166" s="70"/>
      <c r="Y166" s="70">
        <f t="shared" si="98"/>
        <v>1200</v>
      </c>
      <c r="Z166" s="70"/>
      <c r="AA166" s="70">
        <f t="shared" si="73"/>
        <v>1200</v>
      </c>
      <c r="AB166" s="70"/>
      <c r="AC166" s="70">
        <f t="shared" si="74"/>
        <v>1200</v>
      </c>
      <c r="AD166" s="105"/>
      <c r="AE166" s="105"/>
    </row>
    <row r="167" spans="1:31" s="22" customFormat="1" ht="21" customHeight="1">
      <c r="A167" s="76"/>
      <c r="B167" s="72"/>
      <c r="C167" s="56">
        <v>4300</v>
      </c>
      <c r="D167" s="36" t="s">
        <v>103</v>
      </c>
      <c r="E167" s="70">
        <v>3000</v>
      </c>
      <c r="F167" s="70"/>
      <c r="G167" s="70">
        <f t="shared" si="89"/>
        <v>3000</v>
      </c>
      <c r="H167" s="70"/>
      <c r="I167" s="70">
        <f t="shared" si="90"/>
        <v>3000</v>
      </c>
      <c r="J167" s="70"/>
      <c r="K167" s="70">
        <f t="shared" si="91"/>
        <v>3000</v>
      </c>
      <c r="L167" s="70"/>
      <c r="M167" s="70">
        <f t="shared" si="92"/>
        <v>3000</v>
      </c>
      <c r="N167" s="70"/>
      <c r="O167" s="70">
        <f t="shared" si="93"/>
        <v>3000</v>
      </c>
      <c r="P167" s="70"/>
      <c r="Q167" s="70">
        <f t="shared" si="94"/>
        <v>3000</v>
      </c>
      <c r="R167" s="70"/>
      <c r="S167" s="70">
        <f t="shared" si="95"/>
        <v>3000</v>
      </c>
      <c r="T167" s="70"/>
      <c r="U167" s="70">
        <f t="shared" si="96"/>
        <v>3000</v>
      </c>
      <c r="V167" s="70"/>
      <c r="W167" s="70">
        <f t="shared" si="97"/>
        <v>3000</v>
      </c>
      <c r="X167" s="70"/>
      <c r="Y167" s="70">
        <f t="shared" si="98"/>
        <v>3000</v>
      </c>
      <c r="Z167" s="70"/>
      <c r="AA167" s="70">
        <f t="shared" si="73"/>
        <v>3000</v>
      </c>
      <c r="AB167" s="70">
        <v>-40</v>
      </c>
      <c r="AC167" s="70">
        <f t="shared" si="74"/>
        <v>2960</v>
      </c>
      <c r="AD167" s="105"/>
      <c r="AE167" s="105"/>
    </row>
    <row r="168" spans="1:31" s="22" customFormat="1" ht="24">
      <c r="A168" s="76"/>
      <c r="B168" s="72"/>
      <c r="C168" s="56">
        <v>4360</v>
      </c>
      <c r="D168" s="36" t="s">
        <v>278</v>
      </c>
      <c r="E168" s="70">
        <v>1500</v>
      </c>
      <c r="F168" s="70"/>
      <c r="G168" s="70">
        <f t="shared" si="89"/>
        <v>1500</v>
      </c>
      <c r="H168" s="70"/>
      <c r="I168" s="70">
        <f t="shared" si="90"/>
        <v>1500</v>
      </c>
      <c r="J168" s="70"/>
      <c r="K168" s="70">
        <f t="shared" si="91"/>
        <v>1500</v>
      </c>
      <c r="L168" s="70"/>
      <c r="M168" s="70">
        <f t="shared" si="92"/>
        <v>1500</v>
      </c>
      <c r="N168" s="70"/>
      <c r="O168" s="70">
        <f t="shared" si="93"/>
        <v>1500</v>
      </c>
      <c r="P168" s="70"/>
      <c r="Q168" s="70">
        <f t="shared" si="94"/>
        <v>1500</v>
      </c>
      <c r="R168" s="70"/>
      <c r="S168" s="70">
        <f t="shared" si="95"/>
        <v>1500</v>
      </c>
      <c r="T168" s="70"/>
      <c r="U168" s="70">
        <f t="shared" si="96"/>
        <v>1500</v>
      </c>
      <c r="V168" s="70"/>
      <c r="W168" s="70">
        <f t="shared" si="97"/>
        <v>1500</v>
      </c>
      <c r="X168" s="70"/>
      <c r="Y168" s="70">
        <f t="shared" si="98"/>
        <v>1500</v>
      </c>
      <c r="Z168" s="70"/>
      <c r="AA168" s="70">
        <f t="shared" si="73"/>
        <v>1500</v>
      </c>
      <c r="AB168" s="70"/>
      <c r="AC168" s="70">
        <f t="shared" si="74"/>
        <v>1500</v>
      </c>
      <c r="AD168" s="105"/>
      <c r="AE168" s="105"/>
    </row>
    <row r="169" spans="1:31" s="22" customFormat="1" ht="24">
      <c r="A169" s="76"/>
      <c r="B169" s="72"/>
      <c r="C169" s="56">
        <v>4370</v>
      </c>
      <c r="D169" s="36" t="s">
        <v>269</v>
      </c>
      <c r="E169" s="70">
        <v>1500</v>
      </c>
      <c r="F169" s="70"/>
      <c r="G169" s="70">
        <f t="shared" si="89"/>
        <v>1500</v>
      </c>
      <c r="H169" s="70"/>
      <c r="I169" s="70">
        <f t="shared" si="90"/>
        <v>1500</v>
      </c>
      <c r="J169" s="70"/>
      <c r="K169" s="70">
        <f t="shared" si="91"/>
        <v>1500</v>
      </c>
      <c r="L169" s="70"/>
      <c r="M169" s="70">
        <f t="shared" si="92"/>
        <v>1500</v>
      </c>
      <c r="N169" s="70"/>
      <c r="O169" s="70">
        <f t="shared" si="93"/>
        <v>1500</v>
      </c>
      <c r="P169" s="70"/>
      <c r="Q169" s="70">
        <f t="shared" si="94"/>
        <v>1500</v>
      </c>
      <c r="R169" s="70"/>
      <c r="S169" s="70">
        <f t="shared" si="95"/>
        <v>1500</v>
      </c>
      <c r="T169" s="70"/>
      <c r="U169" s="70">
        <f t="shared" si="96"/>
        <v>1500</v>
      </c>
      <c r="V169" s="70"/>
      <c r="W169" s="70">
        <f t="shared" si="97"/>
        <v>1500</v>
      </c>
      <c r="X169" s="70"/>
      <c r="Y169" s="70">
        <f t="shared" si="98"/>
        <v>1500</v>
      </c>
      <c r="Z169" s="70"/>
      <c r="AA169" s="70">
        <f t="shared" si="73"/>
        <v>1500</v>
      </c>
      <c r="AB169" s="70"/>
      <c r="AC169" s="70">
        <f t="shared" si="74"/>
        <v>1500</v>
      </c>
      <c r="AD169" s="105"/>
      <c r="AE169" s="105"/>
    </row>
    <row r="170" spans="1:31" s="22" customFormat="1" ht="24">
      <c r="A170" s="76"/>
      <c r="B170" s="72"/>
      <c r="C170" s="56">
        <v>4400</v>
      </c>
      <c r="D170" s="36" t="s">
        <v>288</v>
      </c>
      <c r="E170" s="70">
        <v>1000</v>
      </c>
      <c r="F170" s="70"/>
      <c r="G170" s="70">
        <f t="shared" si="89"/>
        <v>1000</v>
      </c>
      <c r="H170" s="70"/>
      <c r="I170" s="70">
        <f t="shared" si="90"/>
        <v>1000</v>
      </c>
      <c r="J170" s="70"/>
      <c r="K170" s="70">
        <f t="shared" si="91"/>
        <v>1000</v>
      </c>
      <c r="L170" s="70"/>
      <c r="M170" s="70">
        <f t="shared" si="92"/>
        <v>1000</v>
      </c>
      <c r="N170" s="70"/>
      <c r="O170" s="70">
        <f t="shared" si="93"/>
        <v>1000</v>
      </c>
      <c r="P170" s="70"/>
      <c r="Q170" s="70">
        <f t="shared" si="94"/>
        <v>1000</v>
      </c>
      <c r="R170" s="70"/>
      <c r="S170" s="70">
        <f t="shared" si="95"/>
        <v>1000</v>
      </c>
      <c r="T170" s="70"/>
      <c r="U170" s="70">
        <f t="shared" si="96"/>
        <v>1000</v>
      </c>
      <c r="V170" s="70"/>
      <c r="W170" s="70">
        <f t="shared" si="97"/>
        <v>1000</v>
      </c>
      <c r="X170" s="70"/>
      <c r="Y170" s="70">
        <f t="shared" si="98"/>
        <v>1000</v>
      </c>
      <c r="Z170" s="70"/>
      <c r="AA170" s="70">
        <f t="shared" si="73"/>
        <v>1000</v>
      </c>
      <c r="AB170" s="70"/>
      <c r="AC170" s="70">
        <f t="shared" si="74"/>
        <v>1000</v>
      </c>
      <c r="AD170" s="105"/>
      <c r="AE170" s="105"/>
    </row>
    <row r="171" spans="1:31" s="22" customFormat="1" ht="21" customHeight="1">
      <c r="A171" s="76"/>
      <c r="B171" s="72"/>
      <c r="C171" s="56">
        <v>4410</v>
      </c>
      <c r="D171" s="36" t="s">
        <v>114</v>
      </c>
      <c r="E171" s="70">
        <v>700</v>
      </c>
      <c r="F171" s="70"/>
      <c r="G171" s="70">
        <f t="shared" si="89"/>
        <v>700</v>
      </c>
      <c r="H171" s="70"/>
      <c r="I171" s="70">
        <f t="shared" si="90"/>
        <v>700</v>
      </c>
      <c r="J171" s="70"/>
      <c r="K171" s="70">
        <f t="shared" si="91"/>
        <v>700</v>
      </c>
      <c r="L171" s="70"/>
      <c r="M171" s="70">
        <f t="shared" si="92"/>
        <v>700</v>
      </c>
      <c r="N171" s="70"/>
      <c r="O171" s="70">
        <f t="shared" si="93"/>
        <v>700</v>
      </c>
      <c r="P171" s="70"/>
      <c r="Q171" s="70">
        <f t="shared" si="94"/>
        <v>700</v>
      </c>
      <c r="R171" s="70"/>
      <c r="S171" s="70">
        <f t="shared" si="95"/>
        <v>700</v>
      </c>
      <c r="T171" s="70"/>
      <c r="U171" s="70">
        <f t="shared" si="96"/>
        <v>700</v>
      </c>
      <c r="V171" s="70"/>
      <c r="W171" s="70">
        <f t="shared" si="97"/>
        <v>700</v>
      </c>
      <c r="X171" s="70"/>
      <c r="Y171" s="70">
        <f t="shared" si="98"/>
        <v>700</v>
      </c>
      <c r="Z171" s="70"/>
      <c r="AA171" s="70">
        <f t="shared" si="73"/>
        <v>700</v>
      </c>
      <c r="AB171" s="70"/>
      <c r="AC171" s="70">
        <f t="shared" si="74"/>
        <v>700</v>
      </c>
      <c r="AD171" s="105"/>
      <c r="AE171" s="105"/>
    </row>
    <row r="172" spans="1:31" s="22" customFormat="1" ht="21" customHeight="1">
      <c r="A172" s="76"/>
      <c r="B172" s="72"/>
      <c r="C172" s="59">
        <v>4430</v>
      </c>
      <c r="D172" s="36" t="s">
        <v>118</v>
      </c>
      <c r="E172" s="70">
        <v>3500</v>
      </c>
      <c r="F172" s="70"/>
      <c r="G172" s="70">
        <f t="shared" si="89"/>
        <v>3500</v>
      </c>
      <c r="H172" s="70"/>
      <c r="I172" s="70">
        <f t="shared" si="90"/>
        <v>3500</v>
      </c>
      <c r="J172" s="70">
        <v>-200</v>
      </c>
      <c r="K172" s="70">
        <f t="shared" si="91"/>
        <v>3300</v>
      </c>
      <c r="L172" s="70"/>
      <c r="M172" s="70">
        <f t="shared" si="92"/>
        <v>3300</v>
      </c>
      <c r="N172" s="70"/>
      <c r="O172" s="70">
        <f t="shared" si="93"/>
        <v>3300</v>
      </c>
      <c r="P172" s="70"/>
      <c r="Q172" s="70">
        <f t="shared" si="94"/>
        <v>3300</v>
      </c>
      <c r="R172" s="70"/>
      <c r="S172" s="70">
        <f t="shared" si="95"/>
        <v>3300</v>
      </c>
      <c r="T172" s="70"/>
      <c r="U172" s="70">
        <f t="shared" si="96"/>
        <v>3300</v>
      </c>
      <c r="V172" s="70"/>
      <c r="W172" s="70">
        <f t="shared" si="97"/>
        <v>3300</v>
      </c>
      <c r="X172" s="70"/>
      <c r="Y172" s="70">
        <f t="shared" si="98"/>
        <v>3300</v>
      </c>
      <c r="Z172" s="70"/>
      <c r="AA172" s="70">
        <f t="shared" si="73"/>
        <v>3300</v>
      </c>
      <c r="AB172" s="70"/>
      <c r="AC172" s="70">
        <f t="shared" si="74"/>
        <v>3300</v>
      </c>
      <c r="AD172" s="105"/>
      <c r="AE172" s="105"/>
    </row>
    <row r="173" spans="1:31" s="22" customFormat="1" ht="21" customHeight="1">
      <c r="A173" s="76"/>
      <c r="B173" s="72"/>
      <c r="C173" s="59">
        <v>4440</v>
      </c>
      <c r="D173" s="36" t="s">
        <v>112</v>
      </c>
      <c r="E173" s="70">
        <v>4950</v>
      </c>
      <c r="F173" s="70"/>
      <c r="G173" s="70">
        <f t="shared" si="89"/>
        <v>4950</v>
      </c>
      <c r="H173" s="70"/>
      <c r="I173" s="70">
        <f t="shared" si="90"/>
        <v>4950</v>
      </c>
      <c r="J173" s="70"/>
      <c r="K173" s="70">
        <f t="shared" si="91"/>
        <v>4950</v>
      </c>
      <c r="L173" s="70"/>
      <c r="M173" s="70">
        <f t="shared" si="92"/>
        <v>4950</v>
      </c>
      <c r="N173" s="70"/>
      <c r="O173" s="70">
        <f t="shared" si="93"/>
        <v>4950</v>
      </c>
      <c r="P173" s="70"/>
      <c r="Q173" s="70">
        <f t="shared" si="94"/>
        <v>4950</v>
      </c>
      <c r="R173" s="70"/>
      <c r="S173" s="70">
        <f t="shared" si="95"/>
        <v>4950</v>
      </c>
      <c r="T173" s="70"/>
      <c r="U173" s="70">
        <f t="shared" si="96"/>
        <v>4950</v>
      </c>
      <c r="V173" s="70"/>
      <c r="W173" s="70">
        <f t="shared" si="97"/>
        <v>4950</v>
      </c>
      <c r="X173" s="70"/>
      <c r="Y173" s="70">
        <f t="shared" si="98"/>
        <v>4950</v>
      </c>
      <c r="Z173" s="70"/>
      <c r="AA173" s="70">
        <f t="shared" si="73"/>
        <v>4950</v>
      </c>
      <c r="AB173" s="70"/>
      <c r="AC173" s="70">
        <f t="shared" si="74"/>
        <v>4950</v>
      </c>
      <c r="AD173" s="105"/>
      <c r="AE173" s="105"/>
    </row>
    <row r="174" spans="1:31" s="22" customFormat="1" ht="21" customHeight="1">
      <c r="A174" s="76"/>
      <c r="B174" s="72"/>
      <c r="C174" s="59">
        <v>4510</v>
      </c>
      <c r="D174" s="36" t="s">
        <v>175</v>
      </c>
      <c r="E174" s="70"/>
      <c r="F174" s="70"/>
      <c r="G174" s="70"/>
      <c r="H174" s="70"/>
      <c r="I174" s="70">
        <v>0</v>
      </c>
      <c r="J174" s="70">
        <v>200</v>
      </c>
      <c r="K174" s="70">
        <f t="shared" si="91"/>
        <v>200</v>
      </c>
      <c r="L174" s="70"/>
      <c r="M174" s="70">
        <f t="shared" si="92"/>
        <v>200</v>
      </c>
      <c r="N174" s="70"/>
      <c r="O174" s="70">
        <f t="shared" si="93"/>
        <v>200</v>
      </c>
      <c r="P174" s="70"/>
      <c r="Q174" s="70">
        <f t="shared" si="94"/>
        <v>200</v>
      </c>
      <c r="R174" s="70"/>
      <c r="S174" s="70">
        <f t="shared" si="95"/>
        <v>200</v>
      </c>
      <c r="T174" s="70"/>
      <c r="U174" s="70">
        <f t="shared" si="96"/>
        <v>200</v>
      </c>
      <c r="V174" s="70"/>
      <c r="W174" s="70">
        <f t="shared" si="97"/>
        <v>200</v>
      </c>
      <c r="X174" s="70"/>
      <c r="Y174" s="70">
        <f t="shared" si="98"/>
        <v>200</v>
      </c>
      <c r="Z174" s="70"/>
      <c r="AA174" s="70">
        <f t="shared" si="73"/>
        <v>200</v>
      </c>
      <c r="AB174" s="70"/>
      <c r="AC174" s="70">
        <f t="shared" si="74"/>
        <v>200</v>
      </c>
      <c r="AD174" s="105"/>
      <c r="AE174" s="105"/>
    </row>
    <row r="175" spans="1:31" s="22" customFormat="1" ht="21" customHeight="1">
      <c r="A175" s="76"/>
      <c r="B175" s="72"/>
      <c r="C175" s="59">
        <v>4580</v>
      </c>
      <c r="D175" s="36" t="s">
        <v>22</v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>
        <v>0</v>
      </c>
      <c r="AB175" s="70">
        <v>40</v>
      </c>
      <c r="AC175" s="70">
        <f t="shared" si="74"/>
        <v>40</v>
      </c>
      <c r="AD175" s="105"/>
      <c r="AE175" s="105"/>
    </row>
    <row r="176" spans="1:31" s="22" customFormat="1" ht="24">
      <c r="A176" s="76"/>
      <c r="B176" s="72"/>
      <c r="C176" s="59">
        <v>4700</v>
      </c>
      <c r="D176" s="36" t="s">
        <v>321</v>
      </c>
      <c r="E176" s="70">
        <v>10000</v>
      </c>
      <c r="F176" s="70"/>
      <c r="G176" s="70">
        <f>SUM(E176:F176)</f>
        <v>10000</v>
      </c>
      <c r="H176" s="70"/>
      <c r="I176" s="70">
        <f>SUM(G176:H176)</f>
        <v>10000</v>
      </c>
      <c r="J176" s="70"/>
      <c r="K176" s="70">
        <f t="shared" si="91"/>
        <v>10000</v>
      </c>
      <c r="L176" s="70"/>
      <c r="M176" s="70">
        <f t="shared" si="92"/>
        <v>10000</v>
      </c>
      <c r="N176" s="70"/>
      <c r="O176" s="70">
        <f t="shared" si="93"/>
        <v>10000</v>
      </c>
      <c r="P176" s="70"/>
      <c r="Q176" s="70">
        <f t="shared" si="94"/>
        <v>10000</v>
      </c>
      <c r="R176" s="70"/>
      <c r="S176" s="70">
        <f t="shared" si="95"/>
        <v>10000</v>
      </c>
      <c r="T176" s="70"/>
      <c r="U176" s="70">
        <f t="shared" si="96"/>
        <v>10000</v>
      </c>
      <c r="V176" s="70"/>
      <c r="W176" s="70">
        <f t="shared" si="97"/>
        <v>10000</v>
      </c>
      <c r="X176" s="70"/>
      <c r="Y176" s="70">
        <f t="shared" si="98"/>
        <v>10000</v>
      </c>
      <c r="Z176" s="70"/>
      <c r="AA176" s="70">
        <f t="shared" si="73"/>
        <v>10000</v>
      </c>
      <c r="AB176" s="70"/>
      <c r="AC176" s="70">
        <f t="shared" si="74"/>
        <v>10000</v>
      </c>
      <c r="AD176" s="105"/>
      <c r="AE176" s="105"/>
    </row>
    <row r="177" spans="1:33" s="22" customFormat="1" ht="21" customHeight="1">
      <c r="A177" s="76"/>
      <c r="B177" s="72"/>
      <c r="C177" s="59">
        <v>6060</v>
      </c>
      <c r="D177" s="36" t="s">
        <v>120</v>
      </c>
      <c r="E177" s="70">
        <v>35000</v>
      </c>
      <c r="F177" s="70"/>
      <c r="G177" s="70">
        <f>SUM(E177:F177)</f>
        <v>35000</v>
      </c>
      <c r="H177" s="70"/>
      <c r="I177" s="70">
        <f>SUM(G177:H177)</f>
        <v>35000</v>
      </c>
      <c r="J177" s="70"/>
      <c r="K177" s="70">
        <f t="shared" si="91"/>
        <v>35000</v>
      </c>
      <c r="L177" s="70"/>
      <c r="M177" s="70">
        <f t="shared" si="92"/>
        <v>35000</v>
      </c>
      <c r="N177" s="70"/>
      <c r="O177" s="70">
        <f t="shared" si="93"/>
        <v>35000</v>
      </c>
      <c r="P177" s="70"/>
      <c r="Q177" s="70">
        <f t="shared" si="94"/>
        <v>35000</v>
      </c>
      <c r="R177" s="70"/>
      <c r="S177" s="70">
        <f t="shared" si="95"/>
        <v>35000</v>
      </c>
      <c r="T177" s="70"/>
      <c r="U177" s="70">
        <f t="shared" si="96"/>
        <v>35000</v>
      </c>
      <c r="V177" s="70"/>
      <c r="W177" s="70">
        <f t="shared" si="97"/>
        <v>35000</v>
      </c>
      <c r="X177" s="70"/>
      <c r="Y177" s="70">
        <f t="shared" si="98"/>
        <v>35000</v>
      </c>
      <c r="Z177" s="70"/>
      <c r="AA177" s="70">
        <f t="shared" si="73"/>
        <v>35000</v>
      </c>
      <c r="AB177" s="70"/>
      <c r="AC177" s="70">
        <f t="shared" si="74"/>
        <v>35000</v>
      </c>
      <c r="AD177" s="105"/>
      <c r="AE177" s="105"/>
      <c r="AF177" s="105"/>
      <c r="AG177" s="105"/>
    </row>
    <row r="178" spans="1:31" s="22" customFormat="1" ht="21.75" customHeight="1">
      <c r="A178" s="76"/>
      <c r="B178" s="72" t="s">
        <v>129</v>
      </c>
      <c r="C178" s="76"/>
      <c r="D178" s="36" t="s">
        <v>17</v>
      </c>
      <c r="E178" s="70">
        <f aca="true" t="shared" si="99" ref="E178:Z178">SUM(E179:E180)</f>
        <v>5000</v>
      </c>
      <c r="F178" s="70">
        <f t="shared" si="99"/>
        <v>40000</v>
      </c>
      <c r="G178" s="70">
        <f t="shared" si="99"/>
        <v>45000</v>
      </c>
      <c r="H178" s="70">
        <f t="shared" si="99"/>
        <v>0</v>
      </c>
      <c r="I178" s="70">
        <f t="shared" si="99"/>
        <v>45000</v>
      </c>
      <c r="J178" s="70">
        <f t="shared" si="99"/>
        <v>0</v>
      </c>
      <c r="K178" s="70">
        <f t="shared" si="99"/>
        <v>45000</v>
      </c>
      <c r="L178" s="70">
        <f t="shared" si="99"/>
        <v>0</v>
      </c>
      <c r="M178" s="70">
        <f t="shared" si="99"/>
        <v>45000</v>
      </c>
      <c r="N178" s="70">
        <f t="shared" si="99"/>
        <v>0</v>
      </c>
      <c r="O178" s="70">
        <f t="shared" si="99"/>
        <v>45000</v>
      </c>
      <c r="P178" s="70">
        <f t="shared" si="99"/>
        <v>0</v>
      </c>
      <c r="Q178" s="70">
        <f t="shared" si="99"/>
        <v>45000</v>
      </c>
      <c r="R178" s="70">
        <f t="shared" si="99"/>
        <v>62000</v>
      </c>
      <c r="S178" s="70">
        <f t="shared" si="99"/>
        <v>107000</v>
      </c>
      <c r="T178" s="70">
        <f t="shared" si="99"/>
        <v>0</v>
      </c>
      <c r="U178" s="70">
        <f t="shared" si="99"/>
        <v>107000</v>
      </c>
      <c r="V178" s="70">
        <f t="shared" si="99"/>
        <v>0</v>
      </c>
      <c r="W178" s="70">
        <f t="shared" si="99"/>
        <v>107000</v>
      </c>
      <c r="X178" s="70">
        <f t="shared" si="99"/>
        <v>46752</v>
      </c>
      <c r="Y178" s="70">
        <f t="shared" si="99"/>
        <v>153752</v>
      </c>
      <c r="Z178" s="70">
        <f t="shared" si="99"/>
        <v>0</v>
      </c>
      <c r="AA178" s="70">
        <f t="shared" si="73"/>
        <v>153752</v>
      </c>
      <c r="AB178" s="70">
        <f>SUM(AB179:AB180)</f>
        <v>0</v>
      </c>
      <c r="AC178" s="70">
        <f t="shared" si="74"/>
        <v>153752</v>
      </c>
      <c r="AD178" s="105"/>
      <c r="AE178" s="105"/>
    </row>
    <row r="179" spans="1:31" s="22" customFormat="1" ht="21" customHeight="1">
      <c r="A179" s="76"/>
      <c r="B179" s="72"/>
      <c r="C179" s="59">
        <v>4430</v>
      </c>
      <c r="D179" s="36" t="s">
        <v>118</v>
      </c>
      <c r="E179" s="70">
        <v>5000</v>
      </c>
      <c r="F179" s="70"/>
      <c r="G179" s="70">
        <f>SUM(E179:F179)</f>
        <v>5000</v>
      </c>
      <c r="H179" s="70"/>
      <c r="I179" s="70">
        <f>SUM(G179:H179)</f>
        <v>5000</v>
      </c>
      <c r="J179" s="70"/>
      <c r="K179" s="70">
        <f>SUM(I179:J179)</f>
        <v>5000</v>
      </c>
      <c r="L179" s="70"/>
      <c r="M179" s="70">
        <f>SUM(K179:L179)</f>
        <v>5000</v>
      </c>
      <c r="N179" s="70"/>
      <c r="O179" s="70">
        <f>SUM(M179:N179)</f>
        <v>5000</v>
      </c>
      <c r="P179" s="70"/>
      <c r="Q179" s="70">
        <f>SUM(O179:P179)</f>
        <v>5000</v>
      </c>
      <c r="R179" s="70"/>
      <c r="S179" s="70">
        <f>SUM(Q179:R179)</f>
        <v>5000</v>
      </c>
      <c r="T179" s="70"/>
      <c r="U179" s="70">
        <f>SUM(S179:T179)</f>
        <v>5000</v>
      </c>
      <c r="V179" s="70"/>
      <c r="W179" s="70">
        <f>SUM(U179:V179)</f>
        <v>5000</v>
      </c>
      <c r="X179" s="70"/>
      <c r="Y179" s="70">
        <f>SUM(W179:X179)</f>
        <v>5000</v>
      </c>
      <c r="Z179" s="70"/>
      <c r="AA179" s="70">
        <f t="shared" si="73"/>
        <v>5000</v>
      </c>
      <c r="AB179" s="70"/>
      <c r="AC179" s="70">
        <f t="shared" si="74"/>
        <v>5000</v>
      </c>
      <c r="AD179" s="105"/>
      <c r="AE179" s="105"/>
    </row>
    <row r="180" spans="1:33" s="22" customFormat="1" ht="21" customHeight="1">
      <c r="A180" s="76"/>
      <c r="B180" s="72"/>
      <c r="C180" s="59">
        <v>6050</v>
      </c>
      <c r="D180" s="36" t="s">
        <v>97</v>
      </c>
      <c r="E180" s="70">
        <v>0</v>
      </c>
      <c r="F180" s="70">
        <v>40000</v>
      </c>
      <c r="G180" s="70">
        <f>SUM(E180:F180)</f>
        <v>40000</v>
      </c>
      <c r="H180" s="70"/>
      <c r="I180" s="70">
        <f>SUM(G180:H180)</f>
        <v>40000</v>
      </c>
      <c r="J180" s="70"/>
      <c r="K180" s="70">
        <f>SUM(I180:J180)</f>
        <v>40000</v>
      </c>
      <c r="L180" s="70"/>
      <c r="M180" s="70">
        <f>SUM(K180:L180)</f>
        <v>40000</v>
      </c>
      <c r="N180" s="70"/>
      <c r="O180" s="70">
        <f>SUM(M180:N180)</f>
        <v>40000</v>
      </c>
      <c r="P180" s="70"/>
      <c r="Q180" s="70">
        <f>SUM(O180:P180)</f>
        <v>40000</v>
      </c>
      <c r="R180" s="70">
        <v>62000</v>
      </c>
      <c r="S180" s="70">
        <f>SUM(Q180:R180)</f>
        <v>102000</v>
      </c>
      <c r="T180" s="70"/>
      <c r="U180" s="70">
        <f>SUM(S180:T180)</f>
        <v>102000</v>
      </c>
      <c r="V180" s="70"/>
      <c r="W180" s="70">
        <f>SUM(U180:V180)</f>
        <v>102000</v>
      </c>
      <c r="X180" s="70">
        <f>26752+20000</f>
        <v>46752</v>
      </c>
      <c r="Y180" s="70">
        <f>SUM(W180:X180)</f>
        <v>148752</v>
      </c>
      <c r="Z180" s="70"/>
      <c r="AA180" s="70">
        <f t="shared" si="73"/>
        <v>148752</v>
      </c>
      <c r="AB180" s="70"/>
      <c r="AC180" s="70">
        <f t="shared" si="74"/>
        <v>148752</v>
      </c>
      <c r="AD180" s="105"/>
      <c r="AE180" s="105"/>
      <c r="AF180" s="105"/>
      <c r="AG180" s="105"/>
    </row>
    <row r="181" spans="1:31" s="38" customFormat="1" ht="60">
      <c r="A181" s="33">
        <v>756</v>
      </c>
      <c r="B181" s="50"/>
      <c r="C181" s="49"/>
      <c r="D181" s="34" t="s">
        <v>335</v>
      </c>
      <c r="E181" s="35">
        <f aca="true" t="shared" si="100" ref="E181:AB181">SUM(E182)</f>
        <v>86000</v>
      </c>
      <c r="F181" s="35">
        <f t="shared" si="100"/>
        <v>3900</v>
      </c>
      <c r="G181" s="35">
        <f t="shared" si="100"/>
        <v>89900</v>
      </c>
      <c r="H181" s="35">
        <f t="shared" si="100"/>
        <v>0</v>
      </c>
      <c r="I181" s="35">
        <f t="shared" si="100"/>
        <v>89900</v>
      </c>
      <c r="J181" s="35">
        <f t="shared" si="100"/>
        <v>0</v>
      </c>
      <c r="K181" s="35">
        <f t="shared" si="100"/>
        <v>89900</v>
      </c>
      <c r="L181" s="35">
        <f t="shared" si="100"/>
        <v>0</v>
      </c>
      <c r="M181" s="35">
        <f t="shared" si="100"/>
        <v>89900</v>
      </c>
      <c r="N181" s="35">
        <f t="shared" si="100"/>
        <v>4519</v>
      </c>
      <c r="O181" s="35">
        <f t="shared" si="100"/>
        <v>94419</v>
      </c>
      <c r="P181" s="35">
        <f t="shared" si="100"/>
        <v>0</v>
      </c>
      <c r="Q181" s="35">
        <f t="shared" si="100"/>
        <v>94419</v>
      </c>
      <c r="R181" s="35">
        <f t="shared" si="100"/>
        <v>0</v>
      </c>
      <c r="S181" s="35">
        <f t="shared" si="100"/>
        <v>94419</v>
      </c>
      <c r="T181" s="35">
        <f t="shared" si="100"/>
        <v>0</v>
      </c>
      <c r="U181" s="35">
        <f t="shared" si="100"/>
        <v>94419</v>
      </c>
      <c r="V181" s="35">
        <f t="shared" si="100"/>
        <v>0</v>
      </c>
      <c r="W181" s="35">
        <f t="shared" si="100"/>
        <v>94419</v>
      </c>
      <c r="X181" s="35">
        <f t="shared" si="100"/>
        <v>0</v>
      </c>
      <c r="Y181" s="35">
        <f t="shared" si="100"/>
        <v>94419</v>
      </c>
      <c r="Z181" s="35">
        <f t="shared" si="100"/>
        <v>0</v>
      </c>
      <c r="AA181" s="35">
        <f t="shared" si="73"/>
        <v>94419</v>
      </c>
      <c r="AB181" s="35">
        <f t="shared" si="100"/>
        <v>0</v>
      </c>
      <c r="AC181" s="35">
        <f t="shared" si="74"/>
        <v>94419</v>
      </c>
      <c r="AD181" s="37"/>
      <c r="AE181" s="37"/>
    </row>
    <row r="182" spans="1:31" s="22" customFormat="1" ht="24">
      <c r="A182" s="76"/>
      <c r="B182" s="72">
        <v>75647</v>
      </c>
      <c r="C182" s="59"/>
      <c r="D182" s="36" t="s">
        <v>213</v>
      </c>
      <c r="E182" s="70">
        <f aca="true" t="shared" si="101" ref="E182:Z182">SUM(E183:E190)</f>
        <v>86000</v>
      </c>
      <c r="F182" s="70">
        <f t="shared" si="101"/>
        <v>3900</v>
      </c>
      <c r="G182" s="70">
        <f t="shared" si="101"/>
        <v>89900</v>
      </c>
      <c r="H182" s="70">
        <f t="shared" si="101"/>
        <v>0</v>
      </c>
      <c r="I182" s="70">
        <f t="shared" si="101"/>
        <v>89900</v>
      </c>
      <c r="J182" s="70">
        <f t="shared" si="101"/>
        <v>0</v>
      </c>
      <c r="K182" s="70">
        <f t="shared" si="101"/>
        <v>89900</v>
      </c>
      <c r="L182" s="70">
        <f t="shared" si="101"/>
        <v>0</v>
      </c>
      <c r="M182" s="70">
        <f t="shared" si="101"/>
        <v>89900</v>
      </c>
      <c r="N182" s="70">
        <f t="shared" si="101"/>
        <v>4519</v>
      </c>
      <c r="O182" s="70">
        <f t="shared" si="101"/>
        <v>94419</v>
      </c>
      <c r="P182" s="70">
        <f t="shared" si="101"/>
        <v>0</v>
      </c>
      <c r="Q182" s="70">
        <f t="shared" si="101"/>
        <v>94419</v>
      </c>
      <c r="R182" s="70">
        <f t="shared" si="101"/>
        <v>0</v>
      </c>
      <c r="S182" s="70">
        <f t="shared" si="101"/>
        <v>94419</v>
      </c>
      <c r="T182" s="70">
        <f t="shared" si="101"/>
        <v>0</v>
      </c>
      <c r="U182" s="70">
        <f t="shared" si="101"/>
        <v>94419</v>
      </c>
      <c r="V182" s="70">
        <f t="shared" si="101"/>
        <v>0</v>
      </c>
      <c r="W182" s="70">
        <f t="shared" si="101"/>
        <v>94419</v>
      </c>
      <c r="X182" s="70">
        <f t="shared" si="101"/>
        <v>0</v>
      </c>
      <c r="Y182" s="70">
        <f t="shared" si="101"/>
        <v>94419</v>
      </c>
      <c r="Z182" s="70">
        <f t="shared" si="101"/>
        <v>0</v>
      </c>
      <c r="AA182" s="70">
        <f t="shared" si="73"/>
        <v>94419</v>
      </c>
      <c r="AB182" s="70">
        <f>SUM(AB183:AB190)</f>
        <v>0</v>
      </c>
      <c r="AC182" s="70">
        <f t="shared" si="74"/>
        <v>94419</v>
      </c>
      <c r="AD182" s="105"/>
      <c r="AE182" s="105"/>
    </row>
    <row r="183" spans="1:31" s="22" customFormat="1" ht="24.75" customHeight="1">
      <c r="A183" s="76"/>
      <c r="B183" s="72"/>
      <c r="C183" s="59">
        <v>4100</v>
      </c>
      <c r="D183" s="36" t="s">
        <v>121</v>
      </c>
      <c r="E183" s="70">
        <v>40000</v>
      </c>
      <c r="F183" s="70"/>
      <c r="G183" s="70">
        <f>SUM(E183:F183)</f>
        <v>40000</v>
      </c>
      <c r="H183" s="70"/>
      <c r="I183" s="70">
        <f>SUM(G183:H183)</f>
        <v>40000</v>
      </c>
      <c r="J183" s="70"/>
      <c r="K183" s="70">
        <f>SUM(I183:J183)</f>
        <v>40000</v>
      </c>
      <c r="L183" s="70"/>
      <c r="M183" s="70">
        <f>SUM(K183:L183)</f>
        <v>40000</v>
      </c>
      <c r="N183" s="70"/>
      <c r="O183" s="70">
        <f aca="true" t="shared" si="102" ref="O183:O190">SUM(M183:N183)</f>
        <v>40000</v>
      </c>
      <c r="P183" s="70"/>
      <c r="Q183" s="70">
        <f aca="true" t="shared" si="103" ref="Q183:Q190">SUM(O183:P183)</f>
        <v>40000</v>
      </c>
      <c r="R183" s="70"/>
      <c r="S183" s="70">
        <f aca="true" t="shared" si="104" ref="S183:S190">SUM(Q183:R183)</f>
        <v>40000</v>
      </c>
      <c r="T183" s="70"/>
      <c r="U183" s="70">
        <f aca="true" t="shared" si="105" ref="U183:U190">SUM(S183:T183)</f>
        <v>40000</v>
      </c>
      <c r="V183" s="70"/>
      <c r="W183" s="70">
        <f aca="true" t="shared" si="106" ref="W183:W190">SUM(U183:V183)</f>
        <v>40000</v>
      </c>
      <c r="X183" s="70"/>
      <c r="Y183" s="70">
        <f aca="true" t="shared" si="107" ref="Y183:Y190">SUM(W183:X183)</f>
        <v>40000</v>
      </c>
      <c r="Z183" s="70"/>
      <c r="AA183" s="70">
        <f t="shared" si="73"/>
        <v>40000</v>
      </c>
      <c r="AB183" s="70"/>
      <c r="AC183" s="70">
        <f t="shared" si="74"/>
        <v>40000</v>
      </c>
      <c r="AD183" s="105"/>
      <c r="AE183" s="105"/>
    </row>
    <row r="184" spans="1:31" s="22" customFormat="1" ht="23.25" customHeight="1">
      <c r="A184" s="76"/>
      <c r="B184" s="72"/>
      <c r="C184" s="59">
        <v>4170</v>
      </c>
      <c r="D184" s="36" t="s">
        <v>227</v>
      </c>
      <c r="E184" s="70">
        <v>5000</v>
      </c>
      <c r="F184" s="70"/>
      <c r="G184" s="70">
        <f>SUM(E184:F184)</f>
        <v>5000</v>
      </c>
      <c r="H184" s="70"/>
      <c r="I184" s="70">
        <f>SUM(G184:H184)</f>
        <v>5000</v>
      </c>
      <c r="J184" s="70"/>
      <c r="K184" s="70">
        <f>SUM(I184:J184)</f>
        <v>5000</v>
      </c>
      <c r="L184" s="70"/>
      <c r="M184" s="70">
        <f>SUM(K184:L184)</f>
        <v>5000</v>
      </c>
      <c r="N184" s="70"/>
      <c r="O184" s="70">
        <f t="shared" si="102"/>
        <v>5000</v>
      </c>
      <c r="P184" s="70"/>
      <c r="Q184" s="70">
        <f t="shared" si="103"/>
        <v>5000</v>
      </c>
      <c r="R184" s="70"/>
      <c r="S184" s="70">
        <f t="shared" si="104"/>
        <v>5000</v>
      </c>
      <c r="T184" s="70"/>
      <c r="U184" s="70">
        <f t="shared" si="105"/>
        <v>5000</v>
      </c>
      <c r="V184" s="70"/>
      <c r="W184" s="70">
        <f t="shared" si="106"/>
        <v>5000</v>
      </c>
      <c r="X184" s="70"/>
      <c r="Y184" s="70">
        <f t="shared" si="107"/>
        <v>5000</v>
      </c>
      <c r="Z184" s="70"/>
      <c r="AA184" s="70">
        <f t="shared" si="73"/>
        <v>5000</v>
      </c>
      <c r="AB184" s="70"/>
      <c r="AC184" s="70">
        <f t="shared" si="74"/>
        <v>5000</v>
      </c>
      <c r="AD184" s="105"/>
      <c r="AE184" s="105"/>
    </row>
    <row r="185" spans="1:31" s="22" customFormat="1" ht="21" customHeight="1">
      <c r="A185" s="76"/>
      <c r="B185" s="72"/>
      <c r="C185" s="59">
        <v>4210</v>
      </c>
      <c r="D185" s="36" t="s">
        <v>96</v>
      </c>
      <c r="E185" s="70">
        <v>2000</v>
      </c>
      <c r="F185" s="70"/>
      <c r="G185" s="70">
        <f>SUM(E185:F185)</f>
        <v>2000</v>
      </c>
      <c r="H185" s="70"/>
      <c r="I185" s="70">
        <f>SUM(G185:H185)</f>
        <v>2000</v>
      </c>
      <c r="J185" s="70"/>
      <c r="K185" s="70">
        <f>SUM(I185:J185)</f>
        <v>2000</v>
      </c>
      <c r="L185" s="70"/>
      <c r="M185" s="70">
        <f>SUM(K185:L185)</f>
        <v>2000</v>
      </c>
      <c r="N185" s="70"/>
      <c r="O185" s="70">
        <f t="shared" si="102"/>
        <v>2000</v>
      </c>
      <c r="P185" s="70"/>
      <c r="Q185" s="70">
        <f t="shared" si="103"/>
        <v>2000</v>
      </c>
      <c r="R185" s="70"/>
      <c r="S185" s="70">
        <f t="shared" si="104"/>
        <v>2000</v>
      </c>
      <c r="T185" s="70"/>
      <c r="U185" s="70">
        <f t="shared" si="105"/>
        <v>2000</v>
      </c>
      <c r="V185" s="70"/>
      <c r="W185" s="70">
        <f t="shared" si="106"/>
        <v>2000</v>
      </c>
      <c r="X185" s="70"/>
      <c r="Y185" s="70">
        <f t="shared" si="107"/>
        <v>2000</v>
      </c>
      <c r="Z185" s="70"/>
      <c r="AA185" s="70">
        <f t="shared" si="73"/>
        <v>2000</v>
      </c>
      <c r="AB185" s="70"/>
      <c r="AC185" s="70">
        <f t="shared" si="74"/>
        <v>2000</v>
      </c>
      <c r="AD185" s="105"/>
      <c r="AE185" s="105"/>
    </row>
    <row r="186" spans="1:31" s="22" customFormat="1" ht="24" customHeight="1">
      <c r="A186" s="76"/>
      <c r="B186" s="72"/>
      <c r="C186" s="59">
        <v>4300</v>
      </c>
      <c r="D186" s="36" t="s">
        <v>103</v>
      </c>
      <c r="E186" s="70">
        <v>20000</v>
      </c>
      <c r="F186" s="70"/>
      <c r="G186" s="70">
        <f>SUM(E186:F186)</f>
        <v>20000</v>
      </c>
      <c r="H186" s="70"/>
      <c r="I186" s="70">
        <f>SUM(G186:H186)</f>
        <v>20000</v>
      </c>
      <c r="J186" s="70"/>
      <c r="K186" s="70">
        <f>SUM(I186:J186)</f>
        <v>20000</v>
      </c>
      <c r="L186" s="70"/>
      <c r="M186" s="70">
        <f>SUM(K186:L186)</f>
        <v>20000</v>
      </c>
      <c r="N186" s="70"/>
      <c r="O186" s="70">
        <f t="shared" si="102"/>
        <v>20000</v>
      </c>
      <c r="P186" s="70"/>
      <c r="Q186" s="70">
        <f t="shared" si="103"/>
        <v>20000</v>
      </c>
      <c r="R186" s="70"/>
      <c r="S186" s="70">
        <f t="shared" si="104"/>
        <v>20000</v>
      </c>
      <c r="T186" s="70"/>
      <c r="U186" s="70">
        <f t="shared" si="105"/>
        <v>20000</v>
      </c>
      <c r="V186" s="70"/>
      <c r="W186" s="70">
        <f t="shared" si="106"/>
        <v>20000</v>
      </c>
      <c r="X186" s="70"/>
      <c r="Y186" s="70">
        <f t="shared" si="107"/>
        <v>20000</v>
      </c>
      <c r="Z186" s="70"/>
      <c r="AA186" s="70">
        <f t="shared" si="73"/>
        <v>20000</v>
      </c>
      <c r="AB186" s="70"/>
      <c r="AC186" s="70">
        <f t="shared" si="74"/>
        <v>20000</v>
      </c>
      <c r="AD186" s="105"/>
      <c r="AE186" s="105"/>
    </row>
    <row r="187" spans="1:31" s="22" customFormat="1" ht="21" customHeight="1">
      <c r="A187" s="76"/>
      <c r="B187" s="72"/>
      <c r="C187" s="59">
        <v>4430</v>
      </c>
      <c r="D187" s="36" t="s">
        <v>118</v>
      </c>
      <c r="E187" s="70">
        <v>7000</v>
      </c>
      <c r="F187" s="70">
        <v>3900</v>
      </c>
      <c r="G187" s="70">
        <f>SUM(E187:F187)</f>
        <v>10900</v>
      </c>
      <c r="H187" s="70"/>
      <c r="I187" s="70">
        <f>SUM(G187:H187)</f>
        <v>10900</v>
      </c>
      <c r="J187" s="70"/>
      <c r="K187" s="70">
        <f>SUM(I187:J187)</f>
        <v>10900</v>
      </c>
      <c r="L187" s="70"/>
      <c r="M187" s="70">
        <f>SUM(K187:L187)</f>
        <v>10900</v>
      </c>
      <c r="N187" s="70"/>
      <c r="O187" s="70">
        <f t="shared" si="102"/>
        <v>10900</v>
      </c>
      <c r="P187" s="70"/>
      <c r="Q187" s="70">
        <f t="shared" si="103"/>
        <v>10900</v>
      </c>
      <c r="R187" s="70"/>
      <c r="S187" s="70">
        <f t="shared" si="104"/>
        <v>10900</v>
      </c>
      <c r="T187" s="70"/>
      <c r="U187" s="70">
        <f t="shared" si="105"/>
        <v>10900</v>
      </c>
      <c r="V187" s="70"/>
      <c r="W187" s="70">
        <f t="shared" si="106"/>
        <v>10900</v>
      </c>
      <c r="X187" s="70">
        <v>-8000</v>
      </c>
      <c r="Y187" s="70">
        <f t="shared" si="107"/>
        <v>2900</v>
      </c>
      <c r="Z187" s="70"/>
      <c r="AA187" s="70">
        <f t="shared" si="73"/>
        <v>2900</v>
      </c>
      <c r="AB187" s="70">
        <v>-2000</v>
      </c>
      <c r="AC187" s="70">
        <f t="shared" si="74"/>
        <v>900</v>
      </c>
      <c r="AD187" s="105"/>
      <c r="AE187" s="105"/>
    </row>
    <row r="188" spans="1:31" s="22" customFormat="1" ht="21" customHeight="1">
      <c r="A188" s="76"/>
      <c r="B188" s="72"/>
      <c r="C188" s="59">
        <v>4530</v>
      </c>
      <c r="D188" s="36" t="s">
        <v>380</v>
      </c>
      <c r="E188" s="70"/>
      <c r="F188" s="70"/>
      <c r="G188" s="70"/>
      <c r="H188" s="70"/>
      <c r="I188" s="70"/>
      <c r="J188" s="70"/>
      <c r="K188" s="70"/>
      <c r="L188" s="70"/>
      <c r="M188" s="70">
        <v>0</v>
      </c>
      <c r="N188" s="70">
        <v>4519</v>
      </c>
      <c r="O188" s="70">
        <f t="shared" si="102"/>
        <v>4519</v>
      </c>
      <c r="P188" s="70"/>
      <c r="Q188" s="70">
        <f t="shared" si="103"/>
        <v>4519</v>
      </c>
      <c r="R188" s="70"/>
      <c r="S188" s="70">
        <f t="shared" si="104"/>
        <v>4519</v>
      </c>
      <c r="T188" s="70"/>
      <c r="U188" s="70">
        <f t="shared" si="105"/>
        <v>4519</v>
      </c>
      <c r="V188" s="70"/>
      <c r="W188" s="70">
        <f t="shared" si="106"/>
        <v>4519</v>
      </c>
      <c r="X188" s="70"/>
      <c r="Y188" s="70">
        <f t="shared" si="107"/>
        <v>4519</v>
      </c>
      <c r="Z188" s="70"/>
      <c r="AA188" s="70">
        <f t="shared" si="73"/>
        <v>4519</v>
      </c>
      <c r="AB188" s="70"/>
      <c r="AC188" s="70">
        <f t="shared" si="74"/>
        <v>4519</v>
      </c>
      <c r="AD188" s="105"/>
      <c r="AE188" s="105"/>
    </row>
    <row r="189" spans="1:31" s="22" customFormat="1" ht="24">
      <c r="A189" s="76"/>
      <c r="B189" s="72"/>
      <c r="C189" s="59">
        <v>4610</v>
      </c>
      <c r="D189" s="36" t="s">
        <v>215</v>
      </c>
      <c r="E189" s="70">
        <v>8000</v>
      </c>
      <c r="F189" s="70"/>
      <c r="G189" s="70">
        <f>SUM(E189:F189)</f>
        <v>8000</v>
      </c>
      <c r="H189" s="70"/>
      <c r="I189" s="70">
        <f>SUM(G189:H189)</f>
        <v>8000</v>
      </c>
      <c r="J189" s="70"/>
      <c r="K189" s="70">
        <f>SUM(I189:J189)</f>
        <v>8000</v>
      </c>
      <c r="L189" s="70"/>
      <c r="M189" s="70">
        <f>SUM(K189:L189)</f>
        <v>8000</v>
      </c>
      <c r="N189" s="70"/>
      <c r="O189" s="70">
        <f t="shared" si="102"/>
        <v>8000</v>
      </c>
      <c r="P189" s="70"/>
      <c r="Q189" s="70">
        <f t="shared" si="103"/>
        <v>8000</v>
      </c>
      <c r="R189" s="70"/>
      <c r="S189" s="70">
        <f t="shared" si="104"/>
        <v>8000</v>
      </c>
      <c r="T189" s="70"/>
      <c r="U189" s="70">
        <f t="shared" si="105"/>
        <v>8000</v>
      </c>
      <c r="V189" s="70"/>
      <c r="W189" s="70">
        <f t="shared" si="106"/>
        <v>8000</v>
      </c>
      <c r="X189" s="70">
        <v>8000</v>
      </c>
      <c r="Y189" s="70">
        <f t="shared" si="107"/>
        <v>16000</v>
      </c>
      <c r="Z189" s="70"/>
      <c r="AA189" s="70">
        <f t="shared" si="73"/>
        <v>16000</v>
      </c>
      <c r="AB189" s="70">
        <v>4000</v>
      </c>
      <c r="AC189" s="70">
        <f t="shared" si="74"/>
        <v>20000</v>
      </c>
      <c r="AD189" s="105"/>
      <c r="AE189" s="105"/>
    </row>
    <row r="190" spans="1:31" s="22" customFormat="1" ht="24">
      <c r="A190" s="76"/>
      <c r="B190" s="72"/>
      <c r="C190" s="59">
        <v>4740</v>
      </c>
      <c r="D190" s="36" t="s">
        <v>270</v>
      </c>
      <c r="E190" s="70">
        <v>4000</v>
      </c>
      <c r="F190" s="70"/>
      <c r="G190" s="70">
        <f>SUM(E190:F190)</f>
        <v>4000</v>
      </c>
      <c r="H190" s="70"/>
      <c r="I190" s="70">
        <f>SUM(G190:H190)</f>
        <v>4000</v>
      </c>
      <c r="J190" s="70"/>
      <c r="K190" s="70">
        <f>SUM(I190:J190)</f>
        <v>4000</v>
      </c>
      <c r="L190" s="70"/>
      <c r="M190" s="70">
        <f>SUM(K190:L190)</f>
        <v>4000</v>
      </c>
      <c r="N190" s="70"/>
      <c r="O190" s="70">
        <f t="shared" si="102"/>
        <v>4000</v>
      </c>
      <c r="P190" s="70"/>
      <c r="Q190" s="70">
        <f t="shared" si="103"/>
        <v>4000</v>
      </c>
      <c r="R190" s="70"/>
      <c r="S190" s="70">
        <f t="shared" si="104"/>
        <v>4000</v>
      </c>
      <c r="T190" s="70"/>
      <c r="U190" s="70">
        <f t="shared" si="105"/>
        <v>4000</v>
      </c>
      <c r="V190" s="70"/>
      <c r="W190" s="70">
        <f t="shared" si="106"/>
        <v>4000</v>
      </c>
      <c r="X190" s="70"/>
      <c r="Y190" s="70">
        <f t="shared" si="107"/>
        <v>4000</v>
      </c>
      <c r="Z190" s="70"/>
      <c r="AA190" s="70">
        <f t="shared" si="73"/>
        <v>4000</v>
      </c>
      <c r="AB190" s="70">
        <v>-2000</v>
      </c>
      <c r="AC190" s="70">
        <f t="shared" si="74"/>
        <v>2000</v>
      </c>
      <c r="AD190" s="105"/>
      <c r="AE190" s="105"/>
    </row>
    <row r="191" spans="1:31" s="5" customFormat="1" ht="21.75" customHeight="1">
      <c r="A191" s="31" t="s">
        <v>130</v>
      </c>
      <c r="B191" s="32"/>
      <c r="C191" s="33"/>
      <c r="D191" s="34" t="s">
        <v>131</v>
      </c>
      <c r="E191" s="35">
        <f aca="true" t="shared" si="108" ref="E191:AB191">SUM(E192)</f>
        <v>425000</v>
      </c>
      <c r="F191" s="35">
        <f t="shared" si="108"/>
        <v>0</v>
      </c>
      <c r="G191" s="35">
        <f t="shared" si="108"/>
        <v>425000</v>
      </c>
      <c r="H191" s="35">
        <f t="shared" si="108"/>
        <v>0</v>
      </c>
      <c r="I191" s="35">
        <f t="shared" si="108"/>
        <v>425000</v>
      </c>
      <c r="J191" s="35">
        <f t="shared" si="108"/>
        <v>0</v>
      </c>
      <c r="K191" s="35">
        <f t="shared" si="108"/>
        <v>425000</v>
      </c>
      <c r="L191" s="35">
        <f t="shared" si="108"/>
        <v>0</v>
      </c>
      <c r="M191" s="35">
        <f t="shared" si="108"/>
        <v>425000</v>
      </c>
      <c r="N191" s="35">
        <f t="shared" si="108"/>
        <v>0</v>
      </c>
      <c r="O191" s="35">
        <f t="shared" si="108"/>
        <v>425000</v>
      </c>
      <c r="P191" s="35">
        <f t="shared" si="108"/>
        <v>0</v>
      </c>
      <c r="Q191" s="35">
        <f t="shared" si="108"/>
        <v>425000</v>
      </c>
      <c r="R191" s="35">
        <f t="shared" si="108"/>
        <v>0</v>
      </c>
      <c r="S191" s="35">
        <f t="shared" si="108"/>
        <v>425000</v>
      </c>
      <c r="T191" s="35">
        <f t="shared" si="108"/>
        <v>0</v>
      </c>
      <c r="U191" s="35">
        <f t="shared" si="108"/>
        <v>425000</v>
      </c>
      <c r="V191" s="35">
        <f t="shared" si="108"/>
        <v>0</v>
      </c>
      <c r="W191" s="35">
        <f t="shared" si="108"/>
        <v>425000</v>
      </c>
      <c r="X191" s="35">
        <f t="shared" si="108"/>
        <v>0</v>
      </c>
      <c r="Y191" s="35">
        <f t="shared" si="108"/>
        <v>425000</v>
      </c>
      <c r="Z191" s="35">
        <f t="shared" si="108"/>
        <v>0</v>
      </c>
      <c r="AA191" s="35">
        <f t="shared" si="73"/>
        <v>425000</v>
      </c>
      <c r="AB191" s="35">
        <f t="shared" si="108"/>
        <v>0</v>
      </c>
      <c r="AC191" s="35">
        <f t="shared" si="74"/>
        <v>425000</v>
      </c>
      <c r="AD191" s="130"/>
      <c r="AE191" s="130"/>
    </row>
    <row r="192" spans="1:31" s="22" customFormat="1" ht="24">
      <c r="A192" s="56"/>
      <c r="B192" s="72" t="s">
        <v>132</v>
      </c>
      <c r="C192" s="76"/>
      <c r="D192" s="36" t="s">
        <v>133</v>
      </c>
      <c r="E192" s="70">
        <f aca="true" t="shared" si="109" ref="E192:AB192">SUM(E193:E193)</f>
        <v>425000</v>
      </c>
      <c r="F192" s="70">
        <f t="shared" si="109"/>
        <v>0</v>
      </c>
      <c r="G192" s="70">
        <f t="shared" si="109"/>
        <v>425000</v>
      </c>
      <c r="H192" s="70">
        <f t="shared" si="109"/>
        <v>0</v>
      </c>
      <c r="I192" s="70">
        <f t="shared" si="109"/>
        <v>425000</v>
      </c>
      <c r="J192" s="70">
        <f t="shared" si="109"/>
        <v>0</v>
      </c>
      <c r="K192" s="70">
        <f t="shared" si="109"/>
        <v>425000</v>
      </c>
      <c r="L192" s="70">
        <f t="shared" si="109"/>
        <v>0</v>
      </c>
      <c r="M192" s="70">
        <f t="shared" si="109"/>
        <v>425000</v>
      </c>
      <c r="N192" s="70">
        <f t="shared" si="109"/>
        <v>0</v>
      </c>
      <c r="O192" s="70">
        <f t="shared" si="109"/>
        <v>425000</v>
      </c>
      <c r="P192" s="70">
        <f t="shared" si="109"/>
        <v>0</v>
      </c>
      <c r="Q192" s="70">
        <f t="shared" si="109"/>
        <v>425000</v>
      </c>
      <c r="R192" s="70">
        <f t="shared" si="109"/>
        <v>0</v>
      </c>
      <c r="S192" s="70">
        <f t="shared" si="109"/>
        <v>425000</v>
      </c>
      <c r="T192" s="70">
        <f t="shared" si="109"/>
        <v>0</v>
      </c>
      <c r="U192" s="70">
        <f t="shared" si="109"/>
        <v>425000</v>
      </c>
      <c r="V192" s="70">
        <f t="shared" si="109"/>
        <v>0</v>
      </c>
      <c r="W192" s="70">
        <f t="shared" si="109"/>
        <v>425000</v>
      </c>
      <c r="X192" s="70">
        <f t="shared" si="109"/>
        <v>0</v>
      </c>
      <c r="Y192" s="70">
        <f t="shared" si="109"/>
        <v>425000</v>
      </c>
      <c r="Z192" s="70">
        <f t="shared" si="109"/>
        <v>0</v>
      </c>
      <c r="AA192" s="70">
        <f t="shared" si="73"/>
        <v>425000</v>
      </c>
      <c r="AB192" s="70">
        <f t="shared" si="109"/>
        <v>0</v>
      </c>
      <c r="AC192" s="70">
        <f t="shared" si="74"/>
        <v>425000</v>
      </c>
      <c r="AD192" s="105"/>
      <c r="AE192" s="105"/>
    </row>
    <row r="193" spans="1:31" s="22" customFormat="1" ht="48">
      <c r="A193" s="56"/>
      <c r="B193" s="77"/>
      <c r="C193" s="76">
        <v>8070</v>
      </c>
      <c r="D193" s="36" t="s">
        <v>341</v>
      </c>
      <c r="E193" s="70">
        <v>425000</v>
      </c>
      <c r="F193" s="70"/>
      <c r="G193" s="70">
        <f>SUM(E193:F193)</f>
        <v>425000</v>
      </c>
      <c r="H193" s="70"/>
      <c r="I193" s="70">
        <f>SUM(G193:H193)</f>
        <v>425000</v>
      </c>
      <c r="J193" s="70"/>
      <c r="K193" s="70">
        <f>SUM(I193:J193)</f>
        <v>425000</v>
      </c>
      <c r="L193" s="70"/>
      <c r="M193" s="70">
        <f>SUM(K193:L193)</f>
        <v>425000</v>
      </c>
      <c r="N193" s="70"/>
      <c r="O193" s="70">
        <f>SUM(M193:N193)</f>
        <v>425000</v>
      </c>
      <c r="P193" s="70"/>
      <c r="Q193" s="70">
        <f>SUM(O193:P193)</f>
        <v>425000</v>
      </c>
      <c r="R193" s="70"/>
      <c r="S193" s="70">
        <f>SUM(Q193:R193)</f>
        <v>425000</v>
      </c>
      <c r="T193" s="70"/>
      <c r="U193" s="70">
        <f>SUM(S193:T193)</f>
        <v>425000</v>
      </c>
      <c r="V193" s="70"/>
      <c r="W193" s="70">
        <f>SUM(U193:V193)</f>
        <v>425000</v>
      </c>
      <c r="X193" s="70"/>
      <c r="Y193" s="70">
        <f>SUM(W193:X193)</f>
        <v>425000</v>
      </c>
      <c r="Z193" s="70"/>
      <c r="AA193" s="70">
        <f t="shared" si="73"/>
        <v>425000</v>
      </c>
      <c r="AB193" s="70"/>
      <c r="AC193" s="70">
        <f t="shared" si="74"/>
        <v>425000</v>
      </c>
      <c r="AD193" s="105"/>
      <c r="AE193" s="105"/>
    </row>
    <row r="194" spans="1:31" s="5" customFormat="1" ht="24.75" customHeight="1">
      <c r="A194" s="31" t="s">
        <v>66</v>
      </c>
      <c r="B194" s="32"/>
      <c r="C194" s="33"/>
      <c r="D194" s="34" t="s">
        <v>67</v>
      </c>
      <c r="E194" s="35">
        <f aca="true" t="shared" si="110" ref="E194:AB194">SUM(E195)</f>
        <v>641570</v>
      </c>
      <c r="F194" s="35">
        <f t="shared" si="110"/>
        <v>888333</v>
      </c>
      <c r="G194" s="35">
        <f t="shared" si="110"/>
        <v>1529903</v>
      </c>
      <c r="H194" s="35">
        <f t="shared" si="110"/>
        <v>-125802</v>
      </c>
      <c r="I194" s="35">
        <f t="shared" si="110"/>
        <v>1404101</v>
      </c>
      <c r="J194" s="35">
        <f t="shared" si="110"/>
        <v>-215000</v>
      </c>
      <c r="K194" s="35">
        <f t="shared" si="110"/>
        <v>1189101</v>
      </c>
      <c r="L194" s="35">
        <f t="shared" si="110"/>
        <v>0</v>
      </c>
      <c r="M194" s="35">
        <f t="shared" si="110"/>
        <v>1189101</v>
      </c>
      <c r="N194" s="35">
        <f t="shared" si="110"/>
        <v>-4519</v>
      </c>
      <c r="O194" s="35">
        <f t="shared" si="110"/>
        <v>1184582</v>
      </c>
      <c r="P194" s="35">
        <f t="shared" si="110"/>
        <v>0</v>
      </c>
      <c r="Q194" s="35">
        <f t="shared" si="110"/>
        <v>1184582</v>
      </c>
      <c r="R194" s="35">
        <f t="shared" si="110"/>
        <v>0</v>
      </c>
      <c r="S194" s="35">
        <f t="shared" si="110"/>
        <v>1184582</v>
      </c>
      <c r="T194" s="35">
        <f t="shared" si="110"/>
        <v>-80000</v>
      </c>
      <c r="U194" s="35">
        <f t="shared" si="110"/>
        <v>1104582</v>
      </c>
      <c r="V194" s="35">
        <f t="shared" si="110"/>
        <v>0</v>
      </c>
      <c r="W194" s="35">
        <f t="shared" si="110"/>
        <v>1104582</v>
      </c>
      <c r="X194" s="35">
        <f t="shared" si="110"/>
        <v>-319000</v>
      </c>
      <c r="Y194" s="35">
        <f t="shared" si="110"/>
        <v>785582</v>
      </c>
      <c r="Z194" s="35">
        <f t="shared" si="110"/>
        <v>-633333</v>
      </c>
      <c r="AA194" s="35">
        <f t="shared" si="73"/>
        <v>152249</v>
      </c>
      <c r="AB194" s="35">
        <f t="shared" si="110"/>
        <v>0</v>
      </c>
      <c r="AC194" s="35">
        <f t="shared" si="74"/>
        <v>152249</v>
      </c>
      <c r="AD194" s="130"/>
      <c r="AE194" s="130"/>
    </row>
    <row r="195" spans="1:31" s="22" customFormat="1" ht="21.75" customHeight="1">
      <c r="A195" s="56"/>
      <c r="B195" s="72" t="s">
        <v>134</v>
      </c>
      <c r="C195" s="76"/>
      <c r="D195" s="36" t="s">
        <v>135</v>
      </c>
      <c r="E195" s="70">
        <f aca="true" t="shared" si="111" ref="E195:Z195">SUM(E196:E197)</f>
        <v>641570</v>
      </c>
      <c r="F195" s="70">
        <f t="shared" si="111"/>
        <v>888333</v>
      </c>
      <c r="G195" s="70">
        <f t="shared" si="111"/>
        <v>1529903</v>
      </c>
      <c r="H195" s="70">
        <f t="shared" si="111"/>
        <v>-125802</v>
      </c>
      <c r="I195" s="70">
        <f t="shared" si="111"/>
        <v>1404101</v>
      </c>
      <c r="J195" s="70">
        <f t="shared" si="111"/>
        <v>-215000</v>
      </c>
      <c r="K195" s="70">
        <f t="shared" si="111"/>
        <v>1189101</v>
      </c>
      <c r="L195" s="70">
        <f t="shared" si="111"/>
        <v>0</v>
      </c>
      <c r="M195" s="70">
        <f t="shared" si="111"/>
        <v>1189101</v>
      </c>
      <c r="N195" s="70">
        <f t="shared" si="111"/>
        <v>-4519</v>
      </c>
      <c r="O195" s="70">
        <f t="shared" si="111"/>
        <v>1184582</v>
      </c>
      <c r="P195" s="70">
        <f t="shared" si="111"/>
        <v>0</v>
      </c>
      <c r="Q195" s="70">
        <f t="shared" si="111"/>
        <v>1184582</v>
      </c>
      <c r="R195" s="70">
        <f t="shared" si="111"/>
        <v>0</v>
      </c>
      <c r="S195" s="70">
        <f t="shared" si="111"/>
        <v>1184582</v>
      </c>
      <c r="T195" s="70">
        <f t="shared" si="111"/>
        <v>-80000</v>
      </c>
      <c r="U195" s="70">
        <f t="shared" si="111"/>
        <v>1104582</v>
      </c>
      <c r="V195" s="70">
        <f t="shared" si="111"/>
        <v>0</v>
      </c>
      <c r="W195" s="70">
        <f t="shared" si="111"/>
        <v>1104582</v>
      </c>
      <c r="X195" s="70">
        <f t="shared" si="111"/>
        <v>-319000</v>
      </c>
      <c r="Y195" s="70">
        <f t="shared" si="111"/>
        <v>785582</v>
      </c>
      <c r="Z195" s="70">
        <f t="shared" si="111"/>
        <v>-633333</v>
      </c>
      <c r="AA195" s="70">
        <f t="shared" si="73"/>
        <v>152249</v>
      </c>
      <c r="AB195" s="70">
        <f>SUM(AB196:AB197)</f>
        <v>0</v>
      </c>
      <c r="AC195" s="70">
        <f t="shared" si="74"/>
        <v>152249</v>
      </c>
      <c r="AD195" s="105"/>
      <c r="AE195" s="105"/>
    </row>
    <row r="196" spans="1:31" s="22" customFormat="1" ht="21" customHeight="1">
      <c r="A196" s="56"/>
      <c r="B196" s="77"/>
      <c r="C196" s="76">
        <v>4810</v>
      </c>
      <c r="D196" s="36" t="s">
        <v>136</v>
      </c>
      <c r="E196" s="70">
        <f>400000+241570</f>
        <v>641570</v>
      </c>
      <c r="F196" s="70">
        <f>-100000+33333</f>
        <v>-66667</v>
      </c>
      <c r="G196" s="70">
        <f>SUM(E196:F196)</f>
        <v>574903</v>
      </c>
      <c r="H196" s="70">
        <f>-52000-48502-25300</f>
        <v>-125802</v>
      </c>
      <c r="I196" s="70">
        <f>SUM(G196:H196)</f>
        <v>449101</v>
      </c>
      <c r="J196" s="70"/>
      <c r="K196" s="70">
        <f>SUM(I196:J196)</f>
        <v>449101</v>
      </c>
      <c r="L196" s="70"/>
      <c r="M196" s="70">
        <f>SUM(K196:L196)</f>
        <v>449101</v>
      </c>
      <c r="N196" s="70">
        <v>-4519</v>
      </c>
      <c r="O196" s="70">
        <f>SUM(M196:N196)</f>
        <v>444582</v>
      </c>
      <c r="P196" s="70"/>
      <c r="Q196" s="70">
        <f>SUM(O196:P196)</f>
        <v>444582</v>
      </c>
      <c r="R196" s="70"/>
      <c r="S196" s="70">
        <f>SUM(Q196:R196)</f>
        <v>444582</v>
      </c>
      <c r="T196" s="70"/>
      <c r="U196" s="70">
        <f>SUM(S196:T196)</f>
        <v>444582</v>
      </c>
      <c r="V196" s="70"/>
      <c r="W196" s="70">
        <f>SUM(U196:V196)</f>
        <v>444582</v>
      </c>
      <c r="X196" s="70">
        <f>-220000-25000-34000</f>
        <v>-279000</v>
      </c>
      <c r="Y196" s="70">
        <f>SUM(W196:X196)</f>
        <v>165582</v>
      </c>
      <c r="Z196" s="70">
        <v>-33333</v>
      </c>
      <c r="AA196" s="70">
        <f t="shared" si="73"/>
        <v>132249</v>
      </c>
      <c r="AB196" s="70"/>
      <c r="AC196" s="70">
        <f t="shared" si="74"/>
        <v>132249</v>
      </c>
      <c r="AD196" s="105"/>
      <c r="AE196" s="105"/>
    </row>
    <row r="197" spans="1:33" s="22" customFormat="1" ht="25.5" customHeight="1">
      <c r="A197" s="56"/>
      <c r="B197" s="77"/>
      <c r="C197" s="76">
        <v>6800</v>
      </c>
      <c r="D197" s="36" t="s">
        <v>349</v>
      </c>
      <c r="E197" s="70">
        <v>0</v>
      </c>
      <c r="F197" s="70">
        <f>100000+10000+80000+10000+20000+20000+500000+150000+65000</f>
        <v>955000</v>
      </c>
      <c r="G197" s="70">
        <f>SUM(E197:F197)</f>
        <v>955000</v>
      </c>
      <c r="H197" s="70"/>
      <c r="I197" s="70">
        <f>SUM(G197:H197)</f>
        <v>955000</v>
      </c>
      <c r="J197" s="70">
        <f>-150000-65000</f>
        <v>-215000</v>
      </c>
      <c r="K197" s="70">
        <f>SUM(I197:J197)</f>
        <v>740000</v>
      </c>
      <c r="L197" s="70"/>
      <c r="M197" s="70">
        <f>SUM(K197:L197)</f>
        <v>740000</v>
      </c>
      <c r="N197" s="70"/>
      <c r="O197" s="70">
        <f>SUM(M197:N197)</f>
        <v>740000</v>
      </c>
      <c r="P197" s="70"/>
      <c r="Q197" s="70">
        <f>SUM(O197:P197)</f>
        <v>740000</v>
      </c>
      <c r="R197" s="70"/>
      <c r="S197" s="70">
        <f>SUM(Q197:R197)</f>
        <v>740000</v>
      </c>
      <c r="T197" s="70">
        <v>-80000</v>
      </c>
      <c r="U197" s="70">
        <f>SUM(S197:T197)</f>
        <v>660000</v>
      </c>
      <c r="V197" s="70"/>
      <c r="W197" s="70">
        <f>SUM(U197:V197)</f>
        <v>660000</v>
      </c>
      <c r="X197" s="70">
        <f>-20000-20000</f>
        <v>-40000</v>
      </c>
      <c r="Y197" s="70">
        <f>SUM(W197:X197)</f>
        <v>620000</v>
      </c>
      <c r="Z197" s="70">
        <v>-600000</v>
      </c>
      <c r="AA197" s="70">
        <f t="shared" si="73"/>
        <v>20000</v>
      </c>
      <c r="AB197" s="70"/>
      <c r="AC197" s="70">
        <f t="shared" si="74"/>
        <v>20000</v>
      </c>
      <c r="AD197" s="105"/>
      <c r="AE197" s="105"/>
      <c r="AF197" s="105"/>
      <c r="AG197" s="105"/>
    </row>
    <row r="198" spans="1:31" s="6" customFormat="1" ht="27.75" customHeight="1">
      <c r="A198" s="31" t="s">
        <v>137</v>
      </c>
      <c r="B198" s="32"/>
      <c r="C198" s="33"/>
      <c r="D198" s="34" t="s">
        <v>138</v>
      </c>
      <c r="E198" s="35">
        <f aca="true" t="shared" si="112" ref="E198:Z198">SUM(E199,E224,E238,E242,E267,E274,E278,E294)</f>
        <v>20953687</v>
      </c>
      <c r="F198" s="35">
        <f t="shared" si="112"/>
        <v>0</v>
      </c>
      <c r="G198" s="35">
        <f t="shared" si="112"/>
        <v>20953687</v>
      </c>
      <c r="H198" s="35">
        <f t="shared" si="112"/>
        <v>600</v>
      </c>
      <c r="I198" s="35">
        <f t="shared" si="112"/>
        <v>20954287</v>
      </c>
      <c r="J198" s="35">
        <f t="shared" si="112"/>
        <v>0</v>
      </c>
      <c r="K198" s="35">
        <f t="shared" si="112"/>
        <v>20954287</v>
      </c>
      <c r="L198" s="35">
        <f t="shared" si="112"/>
        <v>0</v>
      </c>
      <c r="M198" s="35">
        <f t="shared" si="112"/>
        <v>20954287</v>
      </c>
      <c r="N198" s="35">
        <f t="shared" si="112"/>
        <v>0</v>
      </c>
      <c r="O198" s="35">
        <f t="shared" si="112"/>
        <v>20954287</v>
      </c>
      <c r="P198" s="35">
        <f t="shared" si="112"/>
        <v>988148</v>
      </c>
      <c r="Q198" s="35">
        <f t="shared" si="112"/>
        <v>21942435</v>
      </c>
      <c r="R198" s="35">
        <f t="shared" si="112"/>
        <v>0</v>
      </c>
      <c r="S198" s="35">
        <f t="shared" si="112"/>
        <v>21942435</v>
      </c>
      <c r="T198" s="35">
        <f t="shared" si="112"/>
        <v>76734</v>
      </c>
      <c r="U198" s="35">
        <f t="shared" si="112"/>
        <v>22019169</v>
      </c>
      <c r="V198" s="35">
        <f t="shared" si="112"/>
        <v>65857</v>
      </c>
      <c r="W198" s="35">
        <f t="shared" si="112"/>
        <v>22085026</v>
      </c>
      <c r="X198" s="35">
        <f t="shared" si="112"/>
        <v>132201</v>
      </c>
      <c r="Y198" s="35">
        <f t="shared" si="112"/>
        <v>22217227</v>
      </c>
      <c r="Z198" s="35">
        <f t="shared" si="112"/>
        <v>0</v>
      </c>
      <c r="AA198" s="35">
        <f t="shared" si="73"/>
        <v>22217227</v>
      </c>
      <c r="AB198" s="35">
        <f>SUM(AB199,AB224,AB238,AB242,AB267,AB274,AB278,AB294)</f>
        <v>128501</v>
      </c>
      <c r="AC198" s="35">
        <f t="shared" si="74"/>
        <v>22345728</v>
      </c>
      <c r="AD198" s="23"/>
      <c r="AE198" s="23"/>
    </row>
    <row r="199" spans="1:31" s="22" customFormat="1" ht="24.75" customHeight="1">
      <c r="A199" s="56"/>
      <c r="B199" s="72" t="s">
        <v>139</v>
      </c>
      <c r="C199" s="76"/>
      <c r="D199" s="36" t="s">
        <v>74</v>
      </c>
      <c r="E199" s="70">
        <f aca="true" t="shared" si="113" ref="E199:Z199">SUM(E200:E223)</f>
        <v>10383555</v>
      </c>
      <c r="F199" s="70">
        <f t="shared" si="113"/>
        <v>0</v>
      </c>
      <c r="G199" s="70">
        <f t="shared" si="113"/>
        <v>10383555</v>
      </c>
      <c r="H199" s="70">
        <f t="shared" si="113"/>
        <v>600</v>
      </c>
      <c r="I199" s="70">
        <f t="shared" si="113"/>
        <v>10384155</v>
      </c>
      <c r="J199" s="70">
        <f t="shared" si="113"/>
        <v>0</v>
      </c>
      <c r="K199" s="70">
        <f t="shared" si="113"/>
        <v>10384155</v>
      </c>
      <c r="L199" s="70">
        <f t="shared" si="113"/>
        <v>0</v>
      </c>
      <c r="M199" s="70">
        <f t="shared" si="113"/>
        <v>10384155</v>
      </c>
      <c r="N199" s="70">
        <f t="shared" si="113"/>
        <v>0</v>
      </c>
      <c r="O199" s="70">
        <f t="shared" si="113"/>
        <v>10384155</v>
      </c>
      <c r="P199" s="70">
        <f t="shared" si="113"/>
        <v>439256</v>
      </c>
      <c r="Q199" s="70">
        <f t="shared" si="113"/>
        <v>10823411</v>
      </c>
      <c r="R199" s="70">
        <f t="shared" si="113"/>
        <v>50000</v>
      </c>
      <c r="S199" s="70">
        <f t="shared" si="113"/>
        <v>10873411</v>
      </c>
      <c r="T199" s="70">
        <f t="shared" si="113"/>
        <v>75670</v>
      </c>
      <c r="U199" s="70">
        <f t="shared" si="113"/>
        <v>10949081</v>
      </c>
      <c r="V199" s="70">
        <f t="shared" si="113"/>
        <v>-300</v>
      </c>
      <c r="W199" s="70">
        <f t="shared" si="113"/>
        <v>10948781</v>
      </c>
      <c r="X199" s="70">
        <f t="shared" si="113"/>
        <v>72294</v>
      </c>
      <c r="Y199" s="70">
        <f t="shared" si="113"/>
        <v>11021075</v>
      </c>
      <c r="Z199" s="70">
        <f t="shared" si="113"/>
        <v>0</v>
      </c>
      <c r="AA199" s="70">
        <f t="shared" si="73"/>
        <v>11021075</v>
      </c>
      <c r="AB199" s="70">
        <f>SUM(AB200:AB223)</f>
        <v>0</v>
      </c>
      <c r="AC199" s="70">
        <f t="shared" si="74"/>
        <v>11021075</v>
      </c>
      <c r="AD199" s="105"/>
      <c r="AE199" s="105"/>
    </row>
    <row r="200" spans="1:31" s="22" customFormat="1" ht="25.5" customHeight="1">
      <c r="A200" s="56"/>
      <c r="B200" s="72"/>
      <c r="C200" s="76">
        <v>2540</v>
      </c>
      <c r="D200" s="36" t="s">
        <v>216</v>
      </c>
      <c r="E200" s="70">
        <v>308280</v>
      </c>
      <c r="F200" s="70"/>
      <c r="G200" s="70">
        <f aca="true" t="shared" si="114" ref="G200:G219">SUM(E200:F200)</f>
        <v>308280</v>
      </c>
      <c r="H200" s="70"/>
      <c r="I200" s="70">
        <f aca="true" t="shared" si="115" ref="I200:I219">SUM(G200:H200)</f>
        <v>308280</v>
      </c>
      <c r="J200" s="70"/>
      <c r="K200" s="70">
        <f aca="true" t="shared" si="116" ref="K200:K219">SUM(I200:J200)</f>
        <v>308280</v>
      </c>
      <c r="L200" s="70"/>
      <c r="M200" s="70">
        <f aca="true" t="shared" si="117" ref="M200:M219">SUM(K200:L200)</f>
        <v>308280</v>
      </c>
      <c r="N200" s="70"/>
      <c r="O200" s="70">
        <f aca="true" t="shared" si="118" ref="O200:O219">SUM(M200:N200)</f>
        <v>308280</v>
      </c>
      <c r="P200" s="70"/>
      <c r="Q200" s="70">
        <f aca="true" t="shared" si="119" ref="Q200:Q223">SUM(O200:P200)</f>
        <v>308280</v>
      </c>
      <c r="R200" s="70"/>
      <c r="S200" s="70">
        <f aca="true" t="shared" si="120" ref="S200:S223">SUM(Q200:R200)</f>
        <v>308280</v>
      </c>
      <c r="T200" s="70"/>
      <c r="U200" s="70">
        <f aca="true" t="shared" si="121" ref="U200:U223">SUM(S200:T200)</f>
        <v>308280</v>
      </c>
      <c r="V200" s="70"/>
      <c r="W200" s="70">
        <f aca="true" t="shared" si="122" ref="W200:W223">SUM(U200:V200)</f>
        <v>308280</v>
      </c>
      <c r="X200" s="119">
        <v>31920</v>
      </c>
      <c r="Y200" s="70">
        <f aca="true" t="shared" si="123" ref="Y200:Y223">SUM(W200:X200)</f>
        <v>340200</v>
      </c>
      <c r="Z200" s="119"/>
      <c r="AA200" s="70">
        <f aca="true" t="shared" si="124" ref="AA200:AA263">SUM(Y200:Z200)</f>
        <v>340200</v>
      </c>
      <c r="AB200" s="119"/>
      <c r="AC200" s="70">
        <f aca="true" t="shared" si="125" ref="AC200:AC263">SUM(AA200:AB200)</f>
        <v>340200</v>
      </c>
      <c r="AD200" s="105"/>
      <c r="AE200" s="105"/>
    </row>
    <row r="201" spans="1:31" s="22" customFormat="1" ht="12">
      <c r="A201" s="56"/>
      <c r="B201" s="72"/>
      <c r="C201" s="56">
        <v>3020</v>
      </c>
      <c r="D201" s="36" t="s">
        <v>249</v>
      </c>
      <c r="E201" s="70">
        <v>175005</v>
      </c>
      <c r="F201" s="70"/>
      <c r="G201" s="70">
        <f t="shared" si="114"/>
        <v>175005</v>
      </c>
      <c r="H201" s="70"/>
      <c r="I201" s="70">
        <f t="shared" si="115"/>
        <v>175005</v>
      </c>
      <c r="J201" s="70"/>
      <c r="K201" s="70">
        <f t="shared" si="116"/>
        <v>175005</v>
      </c>
      <c r="L201" s="70"/>
      <c r="M201" s="70">
        <f t="shared" si="117"/>
        <v>175005</v>
      </c>
      <c r="N201" s="70"/>
      <c r="O201" s="70">
        <f t="shared" si="118"/>
        <v>175005</v>
      </c>
      <c r="P201" s="70"/>
      <c r="Q201" s="70">
        <f t="shared" si="119"/>
        <v>175005</v>
      </c>
      <c r="R201" s="70"/>
      <c r="S201" s="70">
        <f t="shared" si="120"/>
        <v>175005</v>
      </c>
      <c r="T201" s="70"/>
      <c r="U201" s="70">
        <f t="shared" si="121"/>
        <v>175005</v>
      </c>
      <c r="V201" s="70"/>
      <c r="W201" s="70">
        <f t="shared" si="122"/>
        <v>175005</v>
      </c>
      <c r="X201" s="70"/>
      <c r="Y201" s="70">
        <f t="shared" si="123"/>
        <v>175005</v>
      </c>
      <c r="Z201" s="70"/>
      <c r="AA201" s="70">
        <f t="shared" si="124"/>
        <v>175005</v>
      </c>
      <c r="AB201" s="70"/>
      <c r="AC201" s="70">
        <f t="shared" si="125"/>
        <v>175005</v>
      </c>
      <c r="AD201" s="105"/>
      <c r="AE201" s="105"/>
    </row>
    <row r="202" spans="1:31" s="22" customFormat="1" ht="24" customHeight="1">
      <c r="A202" s="56"/>
      <c r="B202" s="72"/>
      <c r="C202" s="56">
        <v>4010</v>
      </c>
      <c r="D202" s="36" t="s">
        <v>108</v>
      </c>
      <c r="E202" s="70">
        <v>6165427</v>
      </c>
      <c r="F202" s="70"/>
      <c r="G202" s="70">
        <f t="shared" si="114"/>
        <v>6165427</v>
      </c>
      <c r="H202" s="70"/>
      <c r="I202" s="70">
        <f t="shared" si="115"/>
        <v>6165427</v>
      </c>
      <c r="J202" s="70"/>
      <c r="K202" s="70">
        <f t="shared" si="116"/>
        <v>6165427</v>
      </c>
      <c r="L202" s="70"/>
      <c r="M202" s="70">
        <f t="shared" si="117"/>
        <v>6165427</v>
      </c>
      <c r="N202" s="70"/>
      <c r="O202" s="70">
        <f t="shared" si="118"/>
        <v>6165427</v>
      </c>
      <c r="P202" s="70">
        <v>355394</v>
      </c>
      <c r="Q202" s="70">
        <f t="shared" si="119"/>
        <v>6520821</v>
      </c>
      <c r="R202" s="70"/>
      <c r="S202" s="70">
        <f t="shared" si="120"/>
        <v>6520821</v>
      </c>
      <c r="T202" s="70">
        <v>64133</v>
      </c>
      <c r="U202" s="70">
        <f t="shared" si="121"/>
        <v>6584954</v>
      </c>
      <c r="V202" s="70"/>
      <c r="W202" s="70">
        <f t="shared" si="122"/>
        <v>6584954</v>
      </c>
      <c r="X202" s="70">
        <v>-8800</v>
      </c>
      <c r="Y202" s="70">
        <f t="shared" si="123"/>
        <v>6576154</v>
      </c>
      <c r="Z202" s="70"/>
      <c r="AA202" s="70">
        <f t="shared" si="124"/>
        <v>6576154</v>
      </c>
      <c r="AB202" s="70"/>
      <c r="AC202" s="70">
        <f t="shared" si="125"/>
        <v>6576154</v>
      </c>
      <c r="AD202" s="105"/>
      <c r="AE202" s="105"/>
    </row>
    <row r="203" spans="1:31" s="22" customFormat="1" ht="21" customHeight="1">
      <c r="A203" s="56"/>
      <c r="B203" s="72"/>
      <c r="C203" s="56">
        <v>4040</v>
      </c>
      <c r="D203" s="36" t="s">
        <v>109</v>
      </c>
      <c r="E203" s="70">
        <v>497862</v>
      </c>
      <c r="F203" s="70"/>
      <c r="G203" s="70">
        <f t="shared" si="114"/>
        <v>497862</v>
      </c>
      <c r="H203" s="70"/>
      <c r="I203" s="70">
        <f t="shared" si="115"/>
        <v>497862</v>
      </c>
      <c r="J203" s="70"/>
      <c r="K203" s="70">
        <f t="shared" si="116"/>
        <v>497862</v>
      </c>
      <c r="L203" s="70"/>
      <c r="M203" s="70">
        <f t="shared" si="117"/>
        <v>497862</v>
      </c>
      <c r="N203" s="70"/>
      <c r="O203" s="70">
        <f t="shared" si="118"/>
        <v>497862</v>
      </c>
      <c r="P203" s="70">
        <v>-17138</v>
      </c>
      <c r="Q203" s="70">
        <f t="shared" si="119"/>
        <v>480724</v>
      </c>
      <c r="R203" s="70"/>
      <c r="S203" s="70">
        <f t="shared" si="120"/>
        <v>480724</v>
      </c>
      <c r="T203" s="70"/>
      <c r="U203" s="70">
        <f t="shared" si="121"/>
        <v>480724</v>
      </c>
      <c r="V203" s="70"/>
      <c r="W203" s="70">
        <f t="shared" si="122"/>
        <v>480724</v>
      </c>
      <c r="X203" s="70"/>
      <c r="Y203" s="70">
        <f t="shared" si="123"/>
        <v>480724</v>
      </c>
      <c r="Z203" s="70"/>
      <c r="AA203" s="70">
        <f t="shared" si="124"/>
        <v>480724</v>
      </c>
      <c r="AB203" s="70"/>
      <c r="AC203" s="70">
        <f t="shared" si="125"/>
        <v>480724</v>
      </c>
      <c r="AD203" s="105"/>
      <c r="AE203" s="105"/>
    </row>
    <row r="204" spans="1:31" s="22" customFormat="1" ht="21" customHeight="1">
      <c r="A204" s="56"/>
      <c r="B204" s="72"/>
      <c r="C204" s="56">
        <v>4110</v>
      </c>
      <c r="D204" s="36" t="s">
        <v>110</v>
      </c>
      <c r="E204" s="70">
        <v>1169785</v>
      </c>
      <c r="F204" s="70"/>
      <c r="G204" s="70">
        <f t="shared" si="114"/>
        <v>1169785</v>
      </c>
      <c r="H204" s="70"/>
      <c r="I204" s="70">
        <f t="shared" si="115"/>
        <v>1169785</v>
      </c>
      <c r="J204" s="70"/>
      <c r="K204" s="70">
        <f t="shared" si="116"/>
        <v>1169785</v>
      </c>
      <c r="L204" s="70"/>
      <c r="M204" s="70">
        <f t="shared" si="117"/>
        <v>1169785</v>
      </c>
      <c r="N204" s="70"/>
      <c r="O204" s="70">
        <f t="shared" si="118"/>
        <v>1169785</v>
      </c>
      <c r="P204" s="70"/>
      <c r="Q204" s="70">
        <f t="shared" si="119"/>
        <v>1169785</v>
      </c>
      <c r="R204" s="70"/>
      <c r="S204" s="70">
        <f t="shared" si="120"/>
        <v>1169785</v>
      </c>
      <c r="T204" s="70">
        <v>9951</v>
      </c>
      <c r="U204" s="70">
        <f t="shared" si="121"/>
        <v>1179736</v>
      </c>
      <c r="V204" s="70"/>
      <c r="W204" s="70">
        <f t="shared" si="122"/>
        <v>1179736</v>
      </c>
      <c r="X204" s="70">
        <v>-1360</v>
      </c>
      <c r="Y204" s="70">
        <f t="shared" si="123"/>
        <v>1178376</v>
      </c>
      <c r="Z204" s="70"/>
      <c r="AA204" s="70">
        <f t="shared" si="124"/>
        <v>1178376</v>
      </c>
      <c r="AB204" s="70"/>
      <c r="AC204" s="70">
        <f t="shared" si="125"/>
        <v>1178376</v>
      </c>
      <c r="AD204" s="105"/>
      <c r="AE204" s="105"/>
    </row>
    <row r="205" spans="1:31" s="22" customFormat="1" ht="21" customHeight="1">
      <c r="A205" s="56"/>
      <c r="B205" s="72"/>
      <c r="C205" s="56">
        <v>4120</v>
      </c>
      <c r="D205" s="36" t="s">
        <v>111</v>
      </c>
      <c r="E205" s="70">
        <v>164820</v>
      </c>
      <c r="F205" s="70"/>
      <c r="G205" s="70">
        <f t="shared" si="114"/>
        <v>164820</v>
      </c>
      <c r="H205" s="70"/>
      <c r="I205" s="70">
        <f t="shared" si="115"/>
        <v>164820</v>
      </c>
      <c r="J205" s="70"/>
      <c r="K205" s="70">
        <f t="shared" si="116"/>
        <v>164820</v>
      </c>
      <c r="L205" s="70"/>
      <c r="M205" s="70">
        <f t="shared" si="117"/>
        <v>164820</v>
      </c>
      <c r="N205" s="70"/>
      <c r="O205" s="70">
        <f t="shared" si="118"/>
        <v>164820</v>
      </c>
      <c r="P205" s="70"/>
      <c r="Q205" s="70">
        <f t="shared" si="119"/>
        <v>164820</v>
      </c>
      <c r="R205" s="70"/>
      <c r="S205" s="70">
        <f t="shared" si="120"/>
        <v>164820</v>
      </c>
      <c r="T205" s="70">
        <v>1586</v>
      </c>
      <c r="U205" s="70">
        <f t="shared" si="121"/>
        <v>166406</v>
      </c>
      <c r="V205" s="70"/>
      <c r="W205" s="70">
        <f t="shared" si="122"/>
        <v>166406</v>
      </c>
      <c r="X205" s="70">
        <v>-216</v>
      </c>
      <c r="Y205" s="70">
        <f t="shared" si="123"/>
        <v>166190</v>
      </c>
      <c r="Z205" s="70"/>
      <c r="AA205" s="70">
        <f t="shared" si="124"/>
        <v>166190</v>
      </c>
      <c r="AB205" s="70"/>
      <c r="AC205" s="70">
        <f t="shared" si="125"/>
        <v>166190</v>
      </c>
      <c r="AD205" s="105"/>
      <c r="AE205" s="105"/>
    </row>
    <row r="206" spans="1:31" s="22" customFormat="1" ht="21" customHeight="1">
      <c r="A206" s="56"/>
      <c r="B206" s="72"/>
      <c r="C206" s="56">
        <v>4170</v>
      </c>
      <c r="D206" s="36" t="s">
        <v>227</v>
      </c>
      <c r="E206" s="70">
        <v>39600</v>
      </c>
      <c r="F206" s="70"/>
      <c r="G206" s="70">
        <f t="shared" si="114"/>
        <v>39600</v>
      </c>
      <c r="H206" s="70"/>
      <c r="I206" s="70">
        <f t="shared" si="115"/>
        <v>39600</v>
      </c>
      <c r="J206" s="70"/>
      <c r="K206" s="70">
        <f t="shared" si="116"/>
        <v>39600</v>
      </c>
      <c r="L206" s="70"/>
      <c r="M206" s="70">
        <f t="shared" si="117"/>
        <v>39600</v>
      </c>
      <c r="N206" s="70"/>
      <c r="O206" s="70">
        <f t="shared" si="118"/>
        <v>39600</v>
      </c>
      <c r="P206" s="70"/>
      <c r="Q206" s="70">
        <f t="shared" si="119"/>
        <v>39600</v>
      </c>
      <c r="R206" s="70"/>
      <c r="S206" s="70">
        <f t="shared" si="120"/>
        <v>39600</v>
      </c>
      <c r="T206" s="70"/>
      <c r="U206" s="70">
        <f t="shared" si="121"/>
        <v>39600</v>
      </c>
      <c r="V206" s="70"/>
      <c r="W206" s="70">
        <f t="shared" si="122"/>
        <v>39600</v>
      </c>
      <c r="X206" s="70">
        <v>2000</v>
      </c>
      <c r="Y206" s="70">
        <f t="shared" si="123"/>
        <v>41600</v>
      </c>
      <c r="Z206" s="70"/>
      <c r="AA206" s="70">
        <f t="shared" si="124"/>
        <v>41600</v>
      </c>
      <c r="AB206" s="70"/>
      <c r="AC206" s="70">
        <f t="shared" si="125"/>
        <v>41600</v>
      </c>
      <c r="AD206" s="105"/>
      <c r="AE206" s="105"/>
    </row>
    <row r="207" spans="1:31" s="22" customFormat="1" ht="21" customHeight="1">
      <c r="A207" s="56"/>
      <c r="B207" s="72"/>
      <c r="C207" s="56">
        <v>4210</v>
      </c>
      <c r="D207" s="36" t="s">
        <v>116</v>
      </c>
      <c r="E207" s="70">
        <f>425250+6500</f>
        <v>431750</v>
      </c>
      <c r="F207" s="70"/>
      <c r="G207" s="70">
        <f t="shared" si="114"/>
        <v>431750</v>
      </c>
      <c r="H207" s="70">
        <f>300+300</f>
        <v>600</v>
      </c>
      <c r="I207" s="70">
        <f t="shared" si="115"/>
        <v>432350</v>
      </c>
      <c r="J207" s="70"/>
      <c r="K207" s="70">
        <f t="shared" si="116"/>
        <v>432350</v>
      </c>
      <c r="L207" s="70"/>
      <c r="M207" s="70">
        <f t="shared" si="117"/>
        <v>432350</v>
      </c>
      <c r="N207" s="70"/>
      <c r="O207" s="70">
        <f t="shared" si="118"/>
        <v>432350</v>
      </c>
      <c r="P207" s="70"/>
      <c r="Q207" s="70">
        <f t="shared" si="119"/>
        <v>432350</v>
      </c>
      <c r="R207" s="70"/>
      <c r="S207" s="70">
        <f t="shared" si="120"/>
        <v>432350</v>
      </c>
      <c r="T207" s="70"/>
      <c r="U207" s="70">
        <f t="shared" si="121"/>
        <v>432350</v>
      </c>
      <c r="V207" s="70">
        <v>5600</v>
      </c>
      <c r="W207" s="70">
        <f t="shared" si="122"/>
        <v>437950</v>
      </c>
      <c r="X207" s="70"/>
      <c r="Y207" s="70">
        <f t="shared" si="123"/>
        <v>437950</v>
      </c>
      <c r="Z207" s="70"/>
      <c r="AA207" s="70">
        <f t="shared" si="124"/>
        <v>437950</v>
      </c>
      <c r="AB207" s="70"/>
      <c r="AC207" s="70">
        <f t="shared" si="125"/>
        <v>437950</v>
      </c>
      <c r="AD207" s="105"/>
      <c r="AE207" s="105"/>
    </row>
    <row r="208" spans="1:31" s="22" customFormat="1" ht="24">
      <c r="A208" s="56"/>
      <c r="B208" s="72"/>
      <c r="C208" s="76">
        <v>4230</v>
      </c>
      <c r="D208" s="36" t="s">
        <v>319</v>
      </c>
      <c r="E208" s="70">
        <v>1430</v>
      </c>
      <c r="F208" s="70"/>
      <c r="G208" s="70">
        <f t="shared" si="114"/>
        <v>1430</v>
      </c>
      <c r="H208" s="70"/>
      <c r="I208" s="70">
        <f t="shared" si="115"/>
        <v>1430</v>
      </c>
      <c r="J208" s="70"/>
      <c r="K208" s="70">
        <f t="shared" si="116"/>
        <v>1430</v>
      </c>
      <c r="L208" s="70"/>
      <c r="M208" s="70">
        <f t="shared" si="117"/>
        <v>1430</v>
      </c>
      <c r="N208" s="70"/>
      <c r="O208" s="70">
        <f t="shared" si="118"/>
        <v>1430</v>
      </c>
      <c r="P208" s="70"/>
      <c r="Q208" s="70">
        <f t="shared" si="119"/>
        <v>1430</v>
      </c>
      <c r="R208" s="70"/>
      <c r="S208" s="70">
        <f t="shared" si="120"/>
        <v>1430</v>
      </c>
      <c r="T208" s="70"/>
      <c r="U208" s="70">
        <f t="shared" si="121"/>
        <v>1430</v>
      </c>
      <c r="V208" s="70"/>
      <c r="W208" s="70">
        <f t="shared" si="122"/>
        <v>1430</v>
      </c>
      <c r="X208" s="70"/>
      <c r="Y208" s="70">
        <f t="shared" si="123"/>
        <v>1430</v>
      </c>
      <c r="Z208" s="70"/>
      <c r="AA208" s="70">
        <f t="shared" si="124"/>
        <v>1430</v>
      </c>
      <c r="AB208" s="70"/>
      <c r="AC208" s="70">
        <f t="shared" si="125"/>
        <v>1430</v>
      </c>
      <c r="AD208" s="105"/>
      <c r="AE208" s="105"/>
    </row>
    <row r="209" spans="1:31" s="22" customFormat="1" ht="24">
      <c r="A209" s="56"/>
      <c r="B209" s="72"/>
      <c r="C209" s="76">
        <v>4240</v>
      </c>
      <c r="D209" s="36" t="s">
        <v>151</v>
      </c>
      <c r="E209" s="70">
        <v>32950</v>
      </c>
      <c r="F209" s="70"/>
      <c r="G209" s="70">
        <f t="shared" si="114"/>
        <v>32950</v>
      </c>
      <c r="H209" s="70"/>
      <c r="I209" s="70">
        <f t="shared" si="115"/>
        <v>32950</v>
      </c>
      <c r="J209" s="70"/>
      <c r="K209" s="70">
        <f t="shared" si="116"/>
        <v>32950</v>
      </c>
      <c r="L209" s="70"/>
      <c r="M209" s="70">
        <f t="shared" si="117"/>
        <v>32950</v>
      </c>
      <c r="N209" s="70"/>
      <c r="O209" s="70">
        <f t="shared" si="118"/>
        <v>32950</v>
      </c>
      <c r="P209" s="70"/>
      <c r="Q209" s="70">
        <f t="shared" si="119"/>
        <v>32950</v>
      </c>
      <c r="R209" s="70"/>
      <c r="S209" s="70">
        <f t="shared" si="120"/>
        <v>32950</v>
      </c>
      <c r="T209" s="70"/>
      <c r="U209" s="70">
        <f t="shared" si="121"/>
        <v>32950</v>
      </c>
      <c r="V209" s="70">
        <v>600</v>
      </c>
      <c r="W209" s="70">
        <f t="shared" si="122"/>
        <v>33550</v>
      </c>
      <c r="X209" s="70"/>
      <c r="Y209" s="70">
        <f t="shared" si="123"/>
        <v>33550</v>
      </c>
      <c r="Z209" s="70"/>
      <c r="AA209" s="70">
        <f t="shared" si="124"/>
        <v>33550</v>
      </c>
      <c r="AB209" s="70"/>
      <c r="AC209" s="70">
        <f t="shared" si="125"/>
        <v>33550</v>
      </c>
      <c r="AD209" s="105"/>
      <c r="AE209" s="105"/>
    </row>
    <row r="210" spans="1:31" s="22" customFormat="1" ht="21" customHeight="1">
      <c r="A210" s="56"/>
      <c r="B210" s="72"/>
      <c r="C210" s="56">
        <v>4260</v>
      </c>
      <c r="D210" s="36" t="s">
        <v>119</v>
      </c>
      <c r="E210" s="70">
        <v>481080</v>
      </c>
      <c r="F210" s="70"/>
      <c r="G210" s="70">
        <f t="shared" si="114"/>
        <v>481080</v>
      </c>
      <c r="H210" s="70"/>
      <c r="I210" s="70">
        <f t="shared" si="115"/>
        <v>481080</v>
      </c>
      <c r="J210" s="70"/>
      <c r="K210" s="70">
        <f t="shared" si="116"/>
        <v>481080</v>
      </c>
      <c r="L210" s="70"/>
      <c r="M210" s="70">
        <f t="shared" si="117"/>
        <v>481080</v>
      </c>
      <c r="N210" s="70"/>
      <c r="O210" s="70">
        <f t="shared" si="118"/>
        <v>481080</v>
      </c>
      <c r="P210" s="70"/>
      <c r="Q210" s="70">
        <f t="shared" si="119"/>
        <v>481080</v>
      </c>
      <c r="R210" s="70"/>
      <c r="S210" s="70">
        <f t="shared" si="120"/>
        <v>481080</v>
      </c>
      <c r="T210" s="70"/>
      <c r="U210" s="70">
        <f t="shared" si="121"/>
        <v>481080</v>
      </c>
      <c r="V210" s="70"/>
      <c r="W210" s="70">
        <f t="shared" si="122"/>
        <v>481080</v>
      </c>
      <c r="X210" s="70">
        <v>20500</v>
      </c>
      <c r="Y210" s="70">
        <f t="shared" si="123"/>
        <v>501580</v>
      </c>
      <c r="Z210" s="70"/>
      <c r="AA210" s="70">
        <f t="shared" si="124"/>
        <v>501580</v>
      </c>
      <c r="AB210" s="70"/>
      <c r="AC210" s="70">
        <f t="shared" si="125"/>
        <v>501580</v>
      </c>
      <c r="AD210" s="105"/>
      <c r="AE210" s="105"/>
    </row>
    <row r="211" spans="1:31" s="22" customFormat="1" ht="21" customHeight="1">
      <c r="A211" s="56"/>
      <c r="B211" s="72"/>
      <c r="C211" s="56">
        <v>4270</v>
      </c>
      <c r="D211" s="36" t="s">
        <v>102</v>
      </c>
      <c r="E211" s="70">
        <f>110200+150000</f>
        <v>260200</v>
      </c>
      <c r="F211" s="70"/>
      <c r="G211" s="70">
        <f t="shared" si="114"/>
        <v>260200</v>
      </c>
      <c r="H211" s="70"/>
      <c r="I211" s="70">
        <f t="shared" si="115"/>
        <v>260200</v>
      </c>
      <c r="J211" s="70"/>
      <c r="K211" s="70">
        <f t="shared" si="116"/>
        <v>260200</v>
      </c>
      <c r="L211" s="70"/>
      <c r="M211" s="70">
        <f t="shared" si="117"/>
        <v>260200</v>
      </c>
      <c r="N211" s="70"/>
      <c r="O211" s="70">
        <f t="shared" si="118"/>
        <v>260200</v>
      </c>
      <c r="P211" s="70">
        <v>100000</v>
      </c>
      <c r="Q211" s="70">
        <f t="shared" si="119"/>
        <v>360200</v>
      </c>
      <c r="R211" s="70">
        <v>50000</v>
      </c>
      <c r="S211" s="70">
        <f t="shared" si="120"/>
        <v>410200</v>
      </c>
      <c r="T211" s="70"/>
      <c r="U211" s="70">
        <f t="shared" si="121"/>
        <v>410200</v>
      </c>
      <c r="V211" s="70">
        <v>-6500</v>
      </c>
      <c r="W211" s="70">
        <f t="shared" si="122"/>
        <v>403700</v>
      </c>
      <c r="X211" s="70">
        <f>20250+8000</f>
        <v>28250</v>
      </c>
      <c r="Y211" s="70">
        <f t="shared" si="123"/>
        <v>431950</v>
      </c>
      <c r="Z211" s="70"/>
      <c r="AA211" s="70">
        <f t="shared" si="124"/>
        <v>431950</v>
      </c>
      <c r="AB211" s="70"/>
      <c r="AC211" s="70">
        <f t="shared" si="125"/>
        <v>431950</v>
      </c>
      <c r="AD211" s="105"/>
      <c r="AE211" s="105"/>
    </row>
    <row r="212" spans="1:31" s="22" customFormat="1" ht="21" customHeight="1">
      <c r="A212" s="56"/>
      <c r="B212" s="72"/>
      <c r="C212" s="56">
        <v>4280</v>
      </c>
      <c r="D212" s="36" t="s">
        <v>233</v>
      </c>
      <c r="E212" s="70">
        <v>20740</v>
      </c>
      <c r="F212" s="70"/>
      <c r="G212" s="70">
        <f t="shared" si="114"/>
        <v>20740</v>
      </c>
      <c r="H212" s="70"/>
      <c r="I212" s="70">
        <f t="shared" si="115"/>
        <v>20740</v>
      </c>
      <c r="J212" s="70"/>
      <c r="K212" s="70">
        <f t="shared" si="116"/>
        <v>20740</v>
      </c>
      <c r="L212" s="70"/>
      <c r="M212" s="70">
        <f t="shared" si="117"/>
        <v>20740</v>
      </c>
      <c r="N212" s="70"/>
      <c r="O212" s="70">
        <f t="shared" si="118"/>
        <v>20740</v>
      </c>
      <c r="P212" s="70"/>
      <c r="Q212" s="70">
        <f t="shared" si="119"/>
        <v>20740</v>
      </c>
      <c r="R212" s="70"/>
      <c r="S212" s="70">
        <f t="shared" si="120"/>
        <v>20740</v>
      </c>
      <c r="T212" s="70"/>
      <c r="U212" s="70">
        <f t="shared" si="121"/>
        <v>20740</v>
      </c>
      <c r="V212" s="70"/>
      <c r="W212" s="70">
        <f t="shared" si="122"/>
        <v>20740</v>
      </c>
      <c r="X212" s="70"/>
      <c r="Y212" s="70">
        <f t="shared" si="123"/>
        <v>20740</v>
      </c>
      <c r="Z212" s="70"/>
      <c r="AA212" s="70">
        <f t="shared" si="124"/>
        <v>20740</v>
      </c>
      <c r="AB212" s="70"/>
      <c r="AC212" s="70">
        <f t="shared" si="125"/>
        <v>20740</v>
      </c>
      <c r="AD212" s="105"/>
      <c r="AE212" s="105"/>
    </row>
    <row r="213" spans="1:31" s="22" customFormat="1" ht="21" customHeight="1">
      <c r="A213" s="56"/>
      <c r="B213" s="72"/>
      <c r="C213" s="56">
        <v>4300</v>
      </c>
      <c r="D213" s="36" t="s">
        <v>103</v>
      </c>
      <c r="E213" s="70">
        <v>113800</v>
      </c>
      <c r="F213" s="70"/>
      <c r="G213" s="70">
        <f t="shared" si="114"/>
        <v>113800</v>
      </c>
      <c r="H213" s="70"/>
      <c r="I213" s="70">
        <f t="shared" si="115"/>
        <v>113800</v>
      </c>
      <c r="J213" s="70"/>
      <c r="K213" s="70">
        <f t="shared" si="116"/>
        <v>113800</v>
      </c>
      <c r="L213" s="70"/>
      <c r="M213" s="70">
        <f t="shared" si="117"/>
        <v>113800</v>
      </c>
      <c r="N213" s="70"/>
      <c r="O213" s="70">
        <f t="shared" si="118"/>
        <v>113800</v>
      </c>
      <c r="P213" s="70"/>
      <c r="Q213" s="70">
        <f t="shared" si="119"/>
        <v>113800</v>
      </c>
      <c r="R213" s="70"/>
      <c r="S213" s="70">
        <f t="shared" si="120"/>
        <v>113800</v>
      </c>
      <c r="T213" s="70"/>
      <c r="U213" s="70">
        <f t="shared" si="121"/>
        <v>113800</v>
      </c>
      <c r="V213" s="70"/>
      <c r="W213" s="70">
        <f t="shared" si="122"/>
        <v>113800</v>
      </c>
      <c r="X213" s="70"/>
      <c r="Y213" s="70">
        <f t="shared" si="123"/>
        <v>113800</v>
      </c>
      <c r="Z213" s="70"/>
      <c r="AA213" s="70">
        <f t="shared" si="124"/>
        <v>113800</v>
      </c>
      <c r="AB213" s="70"/>
      <c r="AC213" s="70">
        <f t="shared" si="125"/>
        <v>113800</v>
      </c>
      <c r="AD213" s="105"/>
      <c r="AE213" s="105"/>
    </row>
    <row r="214" spans="1:31" s="22" customFormat="1" ht="21" customHeight="1">
      <c r="A214" s="56"/>
      <c r="B214" s="72"/>
      <c r="C214" s="56">
        <v>4350</v>
      </c>
      <c r="D214" s="36" t="s">
        <v>245</v>
      </c>
      <c r="E214" s="70">
        <v>8650</v>
      </c>
      <c r="F214" s="70"/>
      <c r="G214" s="70">
        <f t="shared" si="114"/>
        <v>8650</v>
      </c>
      <c r="H214" s="70"/>
      <c r="I214" s="70">
        <f t="shared" si="115"/>
        <v>8650</v>
      </c>
      <c r="J214" s="70"/>
      <c r="K214" s="70">
        <f t="shared" si="116"/>
        <v>8650</v>
      </c>
      <c r="L214" s="70"/>
      <c r="M214" s="70">
        <f t="shared" si="117"/>
        <v>8650</v>
      </c>
      <c r="N214" s="70"/>
      <c r="O214" s="70">
        <f t="shared" si="118"/>
        <v>8650</v>
      </c>
      <c r="P214" s="70"/>
      <c r="Q214" s="70">
        <f t="shared" si="119"/>
        <v>8650</v>
      </c>
      <c r="R214" s="70"/>
      <c r="S214" s="70">
        <f t="shared" si="120"/>
        <v>8650</v>
      </c>
      <c r="T214" s="70"/>
      <c r="U214" s="70">
        <f t="shared" si="121"/>
        <v>8650</v>
      </c>
      <c r="V214" s="70"/>
      <c r="W214" s="70">
        <f t="shared" si="122"/>
        <v>8650</v>
      </c>
      <c r="X214" s="70">
        <v>-1000</v>
      </c>
      <c r="Y214" s="70">
        <f t="shared" si="123"/>
        <v>7650</v>
      </c>
      <c r="Z214" s="70"/>
      <c r="AA214" s="70">
        <f t="shared" si="124"/>
        <v>7650</v>
      </c>
      <c r="AB214" s="70"/>
      <c r="AC214" s="70">
        <f t="shared" si="125"/>
        <v>7650</v>
      </c>
      <c r="AD214" s="105"/>
      <c r="AE214" s="105"/>
    </row>
    <row r="215" spans="1:31" s="22" customFormat="1" ht="24">
      <c r="A215" s="56"/>
      <c r="B215" s="72"/>
      <c r="C215" s="56">
        <v>4370</v>
      </c>
      <c r="D215" s="12" t="s">
        <v>269</v>
      </c>
      <c r="E215" s="70">
        <v>31570</v>
      </c>
      <c r="F215" s="70"/>
      <c r="G215" s="70">
        <f t="shared" si="114"/>
        <v>31570</v>
      </c>
      <c r="H215" s="70"/>
      <c r="I215" s="70">
        <f t="shared" si="115"/>
        <v>31570</v>
      </c>
      <c r="J215" s="70"/>
      <c r="K215" s="70">
        <f t="shared" si="116"/>
        <v>31570</v>
      </c>
      <c r="L215" s="70"/>
      <c r="M215" s="70">
        <f t="shared" si="117"/>
        <v>31570</v>
      </c>
      <c r="N215" s="70"/>
      <c r="O215" s="70">
        <f t="shared" si="118"/>
        <v>31570</v>
      </c>
      <c r="P215" s="70">
        <v>1000</v>
      </c>
      <c r="Q215" s="70">
        <f t="shared" si="119"/>
        <v>32570</v>
      </c>
      <c r="R215" s="70"/>
      <c r="S215" s="70">
        <f t="shared" si="120"/>
        <v>32570</v>
      </c>
      <c r="T215" s="70"/>
      <c r="U215" s="70">
        <f t="shared" si="121"/>
        <v>32570</v>
      </c>
      <c r="V215" s="70">
        <v>-900</v>
      </c>
      <c r="W215" s="70">
        <f t="shared" si="122"/>
        <v>31670</v>
      </c>
      <c r="X215" s="70"/>
      <c r="Y215" s="70">
        <f t="shared" si="123"/>
        <v>31670</v>
      </c>
      <c r="Z215" s="70"/>
      <c r="AA215" s="70">
        <f t="shared" si="124"/>
        <v>31670</v>
      </c>
      <c r="AB215" s="70"/>
      <c r="AC215" s="70">
        <f t="shared" si="125"/>
        <v>31670</v>
      </c>
      <c r="AD215" s="105"/>
      <c r="AE215" s="105"/>
    </row>
    <row r="216" spans="1:31" s="22" customFormat="1" ht="24">
      <c r="A216" s="56"/>
      <c r="B216" s="72"/>
      <c r="C216" s="56">
        <v>4390</v>
      </c>
      <c r="D216" s="36" t="s">
        <v>375</v>
      </c>
      <c r="E216" s="70">
        <v>5100</v>
      </c>
      <c r="F216" s="70"/>
      <c r="G216" s="70">
        <f t="shared" si="114"/>
        <v>5100</v>
      </c>
      <c r="H216" s="70"/>
      <c r="I216" s="70">
        <f t="shared" si="115"/>
        <v>5100</v>
      </c>
      <c r="J216" s="70"/>
      <c r="K216" s="70">
        <f t="shared" si="116"/>
        <v>5100</v>
      </c>
      <c r="L216" s="70"/>
      <c r="M216" s="70">
        <f t="shared" si="117"/>
        <v>5100</v>
      </c>
      <c r="N216" s="70"/>
      <c r="O216" s="70">
        <f t="shared" si="118"/>
        <v>5100</v>
      </c>
      <c r="P216" s="70"/>
      <c r="Q216" s="70">
        <f t="shared" si="119"/>
        <v>5100</v>
      </c>
      <c r="R216" s="70"/>
      <c r="S216" s="70">
        <f t="shared" si="120"/>
        <v>5100</v>
      </c>
      <c r="T216" s="70"/>
      <c r="U216" s="70">
        <f t="shared" si="121"/>
        <v>5100</v>
      </c>
      <c r="V216" s="70"/>
      <c r="W216" s="70">
        <f t="shared" si="122"/>
        <v>5100</v>
      </c>
      <c r="X216" s="70"/>
      <c r="Y216" s="70">
        <f t="shared" si="123"/>
        <v>5100</v>
      </c>
      <c r="Z216" s="70"/>
      <c r="AA216" s="70">
        <f t="shared" si="124"/>
        <v>5100</v>
      </c>
      <c r="AB216" s="70"/>
      <c r="AC216" s="70">
        <f t="shared" si="125"/>
        <v>5100</v>
      </c>
      <c r="AD216" s="105"/>
      <c r="AE216" s="105"/>
    </row>
    <row r="217" spans="1:31" s="22" customFormat="1" ht="21" customHeight="1">
      <c r="A217" s="56"/>
      <c r="B217" s="72"/>
      <c r="C217" s="56">
        <v>4410</v>
      </c>
      <c r="D217" s="36" t="s">
        <v>114</v>
      </c>
      <c r="E217" s="70">
        <v>15900</v>
      </c>
      <c r="F217" s="70"/>
      <c r="G217" s="70">
        <f t="shared" si="114"/>
        <v>15900</v>
      </c>
      <c r="H217" s="70"/>
      <c r="I217" s="70">
        <f t="shared" si="115"/>
        <v>15900</v>
      </c>
      <c r="J217" s="70"/>
      <c r="K217" s="70">
        <f t="shared" si="116"/>
        <v>15900</v>
      </c>
      <c r="L217" s="70"/>
      <c r="M217" s="70">
        <f t="shared" si="117"/>
        <v>15900</v>
      </c>
      <c r="N217" s="70"/>
      <c r="O217" s="70">
        <f t="shared" si="118"/>
        <v>15900</v>
      </c>
      <c r="P217" s="70"/>
      <c r="Q217" s="70">
        <f t="shared" si="119"/>
        <v>15900</v>
      </c>
      <c r="R217" s="70"/>
      <c r="S217" s="70">
        <f t="shared" si="120"/>
        <v>15900</v>
      </c>
      <c r="T217" s="70"/>
      <c r="U217" s="70">
        <f t="shared" si="121"/>
        <v>15900</v>
      </c>
      <c r="V217" s="70">
        <v>900</v>
      </c>
      <c r="W217" s="70">
        <f t="shared" si="122"/>
        <v>16800</v>
      </c>
      <c r="X217" s="70">
        <v>1000</v>
      </c>
      <c r="Y217" s="70">
        <f t="shared" si="123"/>
        <v>17800</v>
      </c>
      <c r="Z217" s="70"/>
      <c r="AA217" s="70">
        <f t="shared" si="124"/>
        <v>17800</v>
      </c>
      <c r="AB217" s="70"/>
      <c r="AC217" s="70">
        <f t="shared" si="125"/>
        <v>17800</v>
      </c>
      <c r="AD217" s="105"/>
      <c r="AE217" s="105"/>
    </row>
    <row r="218" spans="1:31" s="22" customFormat="1" ht="21" customHeight="1">
      <c r="A218" s="56"/>
      <c r="B218" s="72"/>
      <c r="C218" s="59">
        <v>4430</v>
      </c>
      <c r="D218" s="36" t="s">
        <v>118</v>
      </c>
      <c r="E218" s="70">
        <v>8335</v>
      </c>
      <c r="F218" s="70"/>
      <c r="G218" s="70">
        <f t="shared" si="114"/>
        <v>8335</v>
      </c>
      <c r="H218" s="70"/>
      <c r="I218" s="70">
        <f t="shared" si="115"/>
        <v>8335</v>
      </c>
      <c r="J218" s="70"/>
      <c r="K218" s="70">
        <f t="shared" si="116"/>
        <v>8335</v>
      </c>
      <c r="L218" s="70"/>
      <c r="M218" s="70">
        <f t="shared" si="117"/>
        <v>8335</v>
      </c>
      <c r="N218" s="70"/>
      <c r="O218" s="70">
        <f t="shared" si="118"/>
        <v>8335</v>
      </c>
      <c r="P218" s="70">
        <v>-200</v>
      </c>
      <c r="Q218" s="70">
        <f t="shared" si="119"/>
        <v>8135</v>
      </c>
      <c r="R218" s="70"/>
      <c r="S218" s="70">
        <f t="shared" si="120"/>
        <v>8135</v>
      </c>
      <c r="T218" s="70"/>
      <c r="U218" s="70">
        <f t="shared" si="121"/>
        <v>8135</v>
      </c>
      <c r="V218" s="70"/>
      <c r="W218" s="70">
        <f t="shared" si="122"/>
        <v>8135</v>
      </c>
      <c r="X218" s="70"/>
      <c r="Y218" s="70">
        <f t="shared" si="123"/>
        <v>8135</v>
      </c>
      <c r="Z218" s="70"/>
      <c r="AA218" s="70">
        <f t="shared" si="124"/>
        <v>8135</v>
      </c>
      <c r="AB218" s="70"/>
      <c r="AC218" s="70">
        <f t="shared" si="125"/>
        <v>8135</v>
      </c>
      <c r="AD218" s="105"/>
      <c r="AE218" s="105"/>
    </row>
    <row r="219" spans="1:31" s="22" customFormat="1" ht="24">
      <c r="A219" s="56"/>
      <c r="B219" s="72"/>
      <c r="C219" s="59">
        <v>4440</v>
      </c>
      <c r="D219" s="36" t="s">
        <v>112</v>
      </c>
      <c r="E219" s="70">
        <v>394936</v>
      </c>
      <c r="F219" s="70"/>
      <c r="G219" s="70">
        <f t="shared" si="114"/>
        <v>394936</v>
      </c>
      <c r="H219" s="70"/>
      <c r="I219" s="70">
        <f t="shared" si="115"/>
        <v>394936</v>
      </c>
      <c r="J219" s="70"/>
      <c r="K219" s="70">
        <f t="shared" si="116"/>
        <v>394936</v>
      </c>
      <c r="L219" s="70"/>
      <c r="M219" s="70">
        <f t="shared" si="117"/>
        <v>394936</v>
      </c>
      <c r="N219" s="70"/>
      <c r="O219" s="70">
        <f t="shared" si="118"/>
        <v>394936</v>
      </c>
      <c r="P219" s="70"/>
      <c r="Q219" s="70">
        <f t="shared" si="119"/>
        <v>394936</v>
      </c>
      <c r="R219" s="70"/>
      <c r="S219" s="70">
        <f t="shared" si="120"/>
        <v>394936</v>
      </c>
      <c r="T219" s="70"/>
      <c r="U219" s="70">
        <f t="shared" si="121"/>
        <v>394936</v>
      </c>
      <c r="V219" s="70"/>
      <c r="W219" s="70">
        <f t="shared" si="122"/>
        <v>394936</v>
      </c>
      <c r="X219" s="70"/>
      <c r="Y219" s="70">
        <f t="shared" si="123"/>
        <v>394936</v>
      </c>
      <c r="Z219" s="70"/>
      <c r="AA219" s="70">
        <f t="shared" si="124"/>
        <v>394936</v>
      </c>
      <c r="AB219" s="70"/>
      <c r="AC219" s="70">
        <f t="shared" si="125"/>
        <v>394936</v>
      </c>
      <c r="AD219" s="105"/>
      <c r="AE219" s="105"/>
    </row>
    <row r="220" spans="1:31" s="22" customFormat="1" ht="22.5" customHeight="1">
      <c r="A220" s="56"/>
      <c r="B220" s="72"/>
      <c r="C220" s="59">
        <v>4510</v>
      </c>
      <c r="D220" s="36" t="s">
        <v>175</v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>
        <v>0</v>
      </c>
      <c r="P220" s="70">
        <v>200</v>
      </c>
      <c r="Q220" s="70">
        <f t="shared" si="119"/>
        <v>200</v>
      </c>
      <c r="R220" s="70"/>
      <c r="S220" s="70">
        <f t="shared" si="120"/>
        <v>200</v>
      </c>
      <c r="T220" s="70"/>
      <c r="U220" s="70">
        <f t="shared" si="121"/>
        <v>200</v>
      </c>
      <c r="V220" s="70"/>
      <c r="W220" s="70">
        <f t="shared" si="122"/>
        <v>200</v>
      </c>
      <c r="X220" s="70"/>
      <c r="Y220" s="70">
        <f t="shared" si="123"/>
        <v>200</v>
      </c>
      <c r="Z220" s="70"/>
      <c r="AA220" s="70">
        <f t="shared" si="124"/>
        <v>200</v>
      </c>
      <c r="AB220" s="70"/>
      <c r="AC220" s="70">
        <f t="shared" si="125"/>
        <v>200</v>
      </c>
      <c r="AD220" s="105"/>
      <c r="AE220" s="105"/>
    </row>
    <row r="221" spans="1:31" s="22" customFormat="1" ht="24">
      <c r="A221" s="56"/>
      <c r="B221" s="72"/>
      <c r="C221" s="59">
        <v>4700</v>
      </c>
      <c r="D221" s="36" t="s">
        <v>321</v>
      </c>
      <c r="E221" s="70">
        <v>7350</v>
      </c>
      <c r="F221" s="70"/>
      <c r="G221" s="70">
        <f>SUM(E221:F221)</f>
        <v>7350</v>
      </c>
      <c r="H221" s="70"/>
      <c r="I221" s="70">
        <f>SUM(G221:H221)</f>
        <v>7350</v>
      </c>
      <c r="J221" s="70"/>
      <c r="K221" s="70">
        <f>SUM(I221:J221)</f>
        <v>7350</v>
      </c>
      <c r="L221" s="70"/>
      <c r="M221" s="70">
        <f>SUM(K221:L221)</f>
        <v>7350</v>
      </c>
      <c r="N221" s="70"/>
      <c r="O221" s="70">
        <f>SUM(M221:N221)</f>
        <v>7350</v>
      </c>
      <c r="P221" s="70"/>
      <c r="Q221" s="70">
        <f t="shared" si="119"/>
        <v>7350</v>
      </c>
      <c r="R221" s="70"/>
      <c r="S221" s="70">
        <f t="shared" si="120"/>
        <v>7350</v>
      </c>
      <c r="T221" s="70"/>
      <c r="U221" s="70">
        <f t="shared" si="121"/>
        <v>7350</v>
      </c>
      <c r="V221" s="70"/>
      <c r="W221" s="70">
        <f t="shared" si="122"/>
        <v>7350</v>
      </c>
      <c r="X221" s="70"/>
      <c r="Y221" s="70">
        <f t="shared" si="123"/>
        <v>7350</v>
      </c>
      <c r="Z221" s="70"/>
      <c r="AA221" s="70">
        <f t="shared" si="124"/>
        <v>7350</v>
      </c>
      <c r="AB221" s="70"/>
      <c r="AC221" s="70">
        <f t="shared" si="125"/>
        <v>7350</v>
      </c>
      <c r="AD221" s="105"/>
      <c r="AE221" s="105"/>
    </row>
    <row r="222" spans="1:31" s="22" customFormat="1" ht="24">
      <c r="A222" s="56"/>
      <c r="B222" s="72"/>
      <c r="C222" s="59">
        <v>4740</v>
      </c>
      <c r="D222" s="12" t="s">
        <v>270</v>
      </c>
      <c r="E222" s="70">
        <v>5450</v>
      </c>
      <c r="F222" s="70"/>
      <c r="G222" s="70">
        <f>SUM(E222:F222)</f>
        <v>5450</v>
      </c>
      <c r="H222" s="70"/>
      <c r="I222" s="70">
        <f>SUM(G222:H222)</f>
        <v>5450</v>
      </c>
      <c r="J222" s="70"/>
      <c r="K222" s="70">
        <f>SUM(I222:J222)</f>
        <v>5450</v>
      </c>
      <c r="L222" s="70"/>
      <c r="M222" s="70">
        <f>SUM(K222:L222)</f>
        <v>5450</v>
      </c>
      <c r="N222" s="70"/>
      <c r="O222" s="70">
        <f>SUM(M222:N222)</f>
        <v>5450</v>
      </c>
      <c r="P222" s="70"/>
      <c r="Q222" s="70">
        <f t="shared" si="119"/>
        <v>5450</v>
      </c>
      <c r="R222" s="70"/>
      <c r="S222" s="70">
        <f t="shared" si="120"/>
        <v>5450</v>
      </c>
      <c r="T222" s="70"/>
      <c r="U222" s="70">
        <f t="shared" si="121"/>
        <v>5450</v>
      </c>
      <c r="V222" s="70"/>
      <c r="W222" s="70">
        <f t="shared" si="122"/>
        <v>5450</v>
      </c>
      <c r="X222" s="70"/>
      <c r="Y222" s="70">
        <f t="shared" si="123"/>
        <v>5450</v>
      </c>
      <c r="Z222" s="70"/>
      <c r="AA222" s="70">
        <f t="shared" si="124"/>
        <v>5450</v>
      </c>
      <c r="AB222" s="70"/>
      <c r="AC222" s="70">
        <f t="shared" si="125"/>
        <v>5450</v>
      </c>
      <c r="AD222" s="105"/>
      <c r="AE222" s="105"/>
    </row>
    <row r="223" spans="1:31" s="22" customFormat="1" ht="24">
      <c r="A223" s="56"/>
      <c r="B223" s="72"/>
      <c r="C223" s="59">
        <v>4750</v>
      </c>
      <c r="D223" s="12" t="s">
        <v>374</v>
      </c>
      <c r="E223" s="70">
        <v>43535</v>
      </c>
      <c r="F223" s="70"/>
      <c r="G223" s="70">
        <f>SUM(E223:F223)</f>
        <v>43535</v>
      </c>
      <c r="H223" s="70"/>
      <c r="I223" s="70">
        <f>SUM(G223:H223)</f>
        <v>43535</v>
      </c>
      <c r="J223" s="70"/>
      <c r="K223" s="70">
        <f>SUM(I223:J223)</f>
        <v>43535</v>
      </c>
      <c r="L223" s="70"/>
      <c r="M223" s="70">
        <f>SUM(K223:L223)</f>
        <v>43535</v>
      </c>
      <c r="N223" s="70"/>
      <c r="O223" s="70">
        <f>SUM(M223:N223)</f>
        <v>43535</v>
      </c>
      <c r="P223" s="70"/>
      <c r="Q223" s="70">
        <f t="shared" si="119"/>
        <v>43535</v>
      </c>
      <c r="R223" s="70"/>
      <c r="S223" s="70">
        <f t="shared" si="120"/>
        <v>43535</v>
      </c>
      <c r="T223" s="70"/>
      <c r="U223" s="70">
        <f t="shared" si="121"/>
        <v>43535</v>
      </c>
      <c r="V223" s="70"/>
      <c r="W223" s="70">
        <f t="shared" si="122"/>
        <v>43535</v>
      </c>
      <c r="X223" s="70"/>
      <c r="Y223" s="70">
        <f t="shared" si="123"/>
        <v>43535</v>
      </c>
      <c r="Z223" s="70"/>
      <c r="AA223" s="70">
        <f t="shared" si="124"/>
        <v>43535</v>
      </c>
      <c r="AB223" s="70"/>
      <c r="AC223" s="70">
        <f t="shared" si="125"/>
        <v>43535</v>
      </c>
      <c r="AD223" s="105"/>
      <c r="AE223" s="105"/>
    </row>
    <row r="224" spans="1:31" s="22" customFormat="1" ht="24" customHeight="1">
      <c r="A224" s="56"/>
      <c r="B224" s="72">
        <v>80103</v>
      </c>
      <c r="C224" s="59"/>
      <c r="D224" s="36" t="s">
        <v>242</v>
      </c>
      <c r="E224" s="70">
        <f aca="true" t="shared" si="126" ref="E224:Z224">SUM(E225:E237)</f>
        <v>425593</v>
      </c>
      <c r="F224" s="70">
        <f t="shared" si="126"/>
        <v>0</v>
      </c>
      <c r="G224" s="70">
        <f t="shared" si="126"/>
        <v>425593</v>
      </c>
      <c r="H224" s="70">
        <f t="shared" si="126"/>
        <v>0</v>
      </c>
      <c r="I224" s="70">
        <f t="shared" si="126"/>
        <v>425593</v>
      </c>
      <c r="J224" s="70">
        <f t="shared" si="126"/>
        <v>0</v>
      </c>
      <c r="K224" s="70">
        <f t="shared" si="126"/>
        <v>425593</v>
      </c>
      <c r="L224" s="70">
        <f t="shared" si="126"/>
        <v>0</v>
      </c>
      <c r="M224" s="70">
        <f t="shared" si="126"/>
        <v>425593</v>
      </c>
      <c r="N224" s="70">
        <f t="shared" si="126"/>
        <v>0</v>
      </c>
      <c r="O224" s="70">
        <f t="shared" si="126"/>
        <v>425593</v>
      </c>
      <c r="P224" s="70">
        <f t="shared" si="126"/>
        <v>19685</v>
      </c>
      <c r="Q224" s="70">
        <f t="shared" si="126"/>
        <v>445278</v>
      </c>
      <c r="R224" s="70">
        <f t="shared" si="126"/>
        <v>0</v>
      </c>
      <c r="S224" s="70">
        <f t="shared" si="126"/>
        <v>445278</v>
      </c>
      <c r="T224" s="70">
        <f t="shared" si="126"/>
        <v>0</v>
      </c>
      <c r="U224" s="70">
        <f t="shared" si="126"/>
        <v>445278</v>
      </c>
      <c r="V224" s="70">
        <f t="shared" si="126"/>
        <v>300</v>
      </c>
      <c r="W224" s="70">
        <f t="shared" si="126"/>
        <v>445578</v>
      </c>
      <c r="X224" s="70">
        <f t="shared" si="126"/>
        <v>20376</v>
      </c>
      <c r="Y224" s="70">
        <f t="shared" si="126"/>
        <v>465954</v>
      </c>
      <c r="Z224" s="70">
        <f t="shared" si="126"/>
        <v>0</v>
      </c>
      <c r="AA224" s="70">
        <f t="shared" si="124"/>
        <v>465954</v>
      </c>
      <c r="AB224" s="70">
        <f>SUM(AB225:AB237)</f>
        <v>0</v>
      </c>
      <c r="AC224" s="70">
        <f t="shared" si="125"/>
        <v>465954</v>
      </c>
      <c r="AD224" s="105"/>
      <c r="AE224" s="105"/>
    </row>
    <row r="225" spans="1:31" s="22" customFormat="1" ht="25.5" customHeight="1">
      <c r="A225" s="56"/>
      <c r="B225" s="72"/>
      <c r="C225" s="76">
        <v>2540</v>
      </c>
      <c r="D225" s="36" t="s">
        <v>216</v>
      </c>
      <c r="E225" s="70">
        <v>69354</v>
      </c>
      <c r="F225" s="70"/>
      <c r="G225" s="70">
        <f aca="true" t="shared" si="127" ref="G225:G237">SUM(E225:F225)</f>
        <v>69354</v>
      </c>
      <c r="H225" s="70"/>
      <c r="I225" s="70">
        <f aca="true" t="shared" si="128" ref="I225:I237">SUM(G225:H225)</f>
        <v>69354</v>
      </c>
      <c r="J225" s="70"/>
      <c r="K225" s="70">
        <f aca="true" t="shared" si="129" ref="K225:K237">SUM(I225:J225)</f>
        <v>69354</v>
      </c>
      <c r="L225" s="70"/>
      <c r="M225" s="70">
        <f aca="true" t="shared" si="130" ref="M225:M237">SUM(K225:L225)</f>
        <v>69354</v>
      </c>
      <c r="N225" s="70"/>
      <c r="O225" s="70">
        <f aca="true" t="shared" si="131" ref="O225:O237">SUM(M225:N225)</f>
        <v>69354</v>
      </c>
      <c r="P225" s="70"/>
      <c r="Q225" s="70">
        <f aca="true" t="shared" si="132" ref="Q225:Q237">SUM(O225:P225)</f>
        <v>69354</v>
      </c>
      <c r="R225" s="70"/>
      <c r="S225" s="70">
        <f aca="true" t="shared" si="133" ref="S225:S237">SUM(Q225:R225)</f>
        <v>69354</v>
      </c>
      <c r="T225" s="70"/>
      <c r="U225" s="70">
        <f aca="true" t="shared" si="134" ref="U225:U237">SUM(S225:T225)</f>
        <v>69354</v>
      </c>
      <c r="V225" s="70"/>
      <c r="W225" s="70">
        <f aca="true" t="shared" si="135" ref="W225:W237">SUM(U225:V225)</f>
        <v>69354</v>
      </c>
      <c r="X225" s="70"/>
      <c r="Y225" s="70">
        <f aca="true" t="shared" si="136" ref="Y225:Y237">SUM(W225:X225)</f>
        <v>69354</v>
      </c>
      <c r="Z225" s="70"/>
      <c r="AA225" s="70">
        <f t="shared" si="124"/>
        <v>69354</v>
      </c>
      <c r="AB225" s="70"/>
      <c r="AC225" s="70">
        <f t="shared" si="125"/>
        <v>69354</v>
      </c>
      <c r="AD225" s="105"/>
      <c r="AE225" s="105"/>
    </row>
    <row r="226" spans="1:31" s="22" customFormat="1" ht="12">
      <c r="A226" s="56"/>
      <c r="B226" s="72"/>
      <c r="C226" s="76">
        <v>3020</v>
      </c>
      <c r="D226" s="36" t="s">
        <v>225</v>
      </c>
      <c r="E226" s="70">
        <v>20241</v>
      </c>
      <c r="F226" s="70"/>
      <c r="G226" s="70">
        <f t="shared" si="127"/>
        <v>20241</v>
      </c>
      <c r="H226" s="70"/>
      <c r="I226" s="70">
        <f t="shared" si="128"/>
        <v>20241</v>
      </c>
      <c r="J226" s="70"/>
      <c r="K226" s="70">
        <f t="shared" si="129"/>
        <v>20241</v>
      </c>
      <c r="L226" s="70"/>
      <c r="M226" s="70">
        <f t="shared" si="130"/>
        <v>20241</v>
      </c>
      <c r="N226" s="70"/>
      <c r="O226" s="70">
        <f t="shared" si="131"/>
        <v>20241</v>
      </c>
      <c r="P226" s="70"/>
      <c r="Q226" s="70">
        <f t="shared" si="132"/>
        <v>20241</v>
      </c>
      <c r="R226" s="70"/>
      <c r="S226" s="70">
        <f t="shared" si="133"/>
        <v>20241</v>
      </c>
      <c r="T226" s="70"/>
      <c r="U226" s="70">
        <f t="shared" si="134"/>
        <v>20241</v>
      </c>
      <c r="V226" s="70"/>
      <c r="W226" s="70">
        <f t="shared" si="135"/>
        <v>20241</v>
      </c>
      <c r="X226" s="70"/>
      <c r="Y226" s="70">
        <f t="shared" si="136"/>
        <v>20241</v>
      </c>
      <c r="Z226" s="70"/>
      <c r="AA226" s="70">
        <f t="shared" si="124"/>
        <v>20241</v>
      </c>
      <c r="AB226" s="70"/>
      <c r="AC226" s="70">
        <f t="shared" si="125"/>
        <v>20241</v>
      </c>
      <c r="AD226" s="105"/>
      <c r="AE226" s="105"/>
    </row>
    <row r="227" spans="1:31" s="22" customFormat="1" ht="23.25" customHeight="1">
      <c r="A227" s="56"/>
      <c r="B227" s="72"/>
      <c r="C227" s="76">
        <v>4010</v>
      </c>
      <c r="D227" s="36" t="s">
        <v>108</v>
      </c>
      <c r="E227" s="70">
        <v>220898</v>
      </c>
      <c r="F227" s="70"/>
      <c r="G227" s="70">
        <f t="shared" si="127"/>
        <v>220898</v>
      </c>
      <c r="H227" s="70"/>
      <c r="I227" s="70">
        <f t="shared" si="128"/>
        <v>220898</v>
      </c>
      <c r="J227" s="70"/>
      <c r="K227" s="70">
        <f t="shared" si="129"/>
        <v>220898</v>
      </c>
      <c r="L227" s="70"/>
      <c r="M227" s="70">
        <f t="shared" si="130"/>
        <v>220898</v>
      </c>
      <c r="N227" s="70"/>
      <c r="O227" s="70">
        <f t="shared" si="131"/>
        <v>220898</v>
      </c>
      <c r="P227" s="70">
        <v>19857</v>
      </c>
      <c r="Q227" s="70">
        <f t="shared" si="132"/>
        <v>240755</v>
      </c>
      <c r="R227" s="70"/>
      <c r="S227" s="70">
        <f t="shared" si="133"/>
        <v>240755</v>
      </c>
      <c r="T227" s="70"/>
      <c r="U227" s="70">
        <f t="shared" si="134"/>
        <v>240755</v>
      </c>
      <c r="V227" s="70"/>
      <c r="W227" s="70">
        <f t="shared" si="135"/>
        <v>240755</v>
      </c>
      <c r="X227" s="70">
        <v>8800</v>
      </c>
      <c r="Y227" s="70">
        <f t="shared" si="136"/>
        <v>249555</v>
      </c>
      <c r="Z227" s="70"/>
      <c r="AA227" s="70">
        <f t="shared" si="124"/>
        <v>249555</v>
      </c>
      <c r="AB227" s="70"/>
      <c r="AC227" s="70">
        <f t="shared" si="125"/>
        <v>249555</v>
      </c>
      <c r="AD227" s="105"/>
      <c r="AE227" s="105"/>
    </row>
    <row r="228" spans="1:31" s="22" customFormat="1" ht="21" customHeight="1">
      <c r="A228" s="56"/>
      <c r="B228" s="72"/>
      <c r="C228" s="76">
        <v>4040</v>
      </c>
      <c r="D228" s="36" t="s">
        <v>109</v>
      </c>
      <c r="E228" s="70">
        <v>15525</v>
      </c>
      <c r="F228" s="70"/>
      <c r="G228" s="70">
        <f t="shared" si="127"/>
        <v>15525</v>
      </c>
      <c r="H228" s="70"/>
      <c r="I228" s="70">
        <f t="shared" si="128"/>
        <v>15525</v>
      </c>
      <c r="J228" s="70"/>
      <c r="K228" s="70">
        <f t="shared" si="129"/>
        <v>15525</v>
      </c>
      <c r="L228" s="70"/>
      <c r="M228" s="70">
        <f t="shared" si="130"/>
        <v>15525</v>
      </c>
      <c r="N228" s="70"/>
      <c r="O228" s="70">
        <f t="shared" si="131"/>
        <v>15525</v>
      </c>
      <c r="P228" s="70">
        <v>-172</v>
      </c>
      <c r="Q228" s="70">
        <f t="shared" si="132"/>
        <v>15353</v>
      </c>
      <c r="R228" s="70"/>
      <c r="S228" s="70">
        <f t="shared" si="133"/>
        <v>15353</v>
      </c>
      <c r="T228" s="70"/>
      <c r="U228" s="70">
        <f t="shared" si="134"/>
        <v>15353</v>
      </c>
      <c r="V228" s="70"/>
      <c r="W228" s="70">
        <f t="shared" si="135"/>
        <v>15353</v>
      </c>
      <c r="X228" s="70"/>
      <c r="Y228" s="70">
        <f t="shared" si="136"/>
        <v>15353</v>
      </c>
      <c r="Z228" s="70"/>
      <c r="AA228" s="70">
        <f t="shared" si="124"/>
        <v>15353</v>
      </c>
      <c r="AB228" s="70"/>
      <c r="AC228" s="70">
        <f t="shared" si="125"/>
        <v>15353</v>
      </c>
      <c r="AD228" s="105"/>
      <c r="AE228" s="105"/>
    </row>
    <row r="229" spans="1:31" s="22" customFormat="1" ht="21" customHeight="1">
      <c r="A229" s="56"/>
      <c r="B229" s="72"/>
      <c r="C229" s="76">
        <v>4110</v>
      </c>
      <c r="D229" s="36" t="s">
        <v>110</v>
      </c>
      <c r="E229" s="70">
        <v>46541</v>
      </c>
      <c r="F229" s="70"/>
      <c r="G229" s="70">
        <f t="shared" si="127"/>
        <v>46541</v>
      </c>
      <c r="H229" s="70"/>
      <c r="I229" s="70">
        <f t="shared" si="128"/>
        <v>46541</v>
      </c>
      <c r="J229" s="70"/>
      <c r="K229" s="70">
        <f t="shared" si="129"/>
        <v>46541</v>
      </c>
      <c r="L229" s="70"/>
      <c r="M229" s="70">
        <f t="shared" si="130"/>
        <v>46541</v>
      </c>
      <c r="N229" s="70"/>
      <c r="O229" s="70">
        <f t="shared" si="131"/>
        <v>46541</v>
      </c>
      <c r="P229" s="70"/>
      <c r="Q229" s="70">
        <f t="shared" si="132"/>
        <v>46541</v>
      </c>
      <c r="R229" s="70"/>
      <c r="S229" s="70">
        <f t="shared" si="133"/>
        <v>46541</v>
      </c>
      <c r="T229" s="70"/>
      <c r="U229" s="70">
        <f t="shared" si="134"/>
        <v>46541</v>
      </c>
      <c r="V229" s="70"/>
      <c r="W229" s="70">
        <f t="shared" si="135"/>
        <v>46541</v>
      </c>
      <c r="X229" s="70">
        <v>1360</v>
      </c>
      <c r="Y229" s="70">
        <f t="shared" si="136"/>
        <v>47901</v>
      </c>
      <c r="Z229" s="70"/>
      <c r="AA229" s="70">
        <f t="shared" si="124"/>
        <v>47901</v>
      </c>
      <c r="AB229" s="70"/>
      <c r="AC229" s="70">
        <f t="shared" si="125"/>
        <v>47901</v>
      </c>
      <c r="AD229" s="105"/>
      <c r="AE229" s="105"/>
    </row>
    <row r="230" spans="1:31" s="22" customFormat="1" ht="21" customHeight="1">
      <c r="A230" s="56"/>
      <c r="B230" s="72"/>
      <c r="C230" s="76">
        <v>4120</v>
      </c>
      <c r="D230" s="36" t="s">
        <v>111</v>
      </c>
      <c r="E230" s="70">
        <v>6587</v>
      </c>
      <c r="F230" s="70"/>
      <c r="G230" s="70">
        <f t="shared" si="127"/>
        <v>6587</v>
      </c>
      <c r="H230" s="70"/>
      <c r="I230" s="70">
        <f t="shared" si="128"/>
        <v>6587</v>
      </c>
      <c r="J230" s="70"/>
      <c r="K230" s="70">
        <f t="shared" si="129"/>
        <v>6587</v>
      </c>
      <c r="L230" s="70"/>
      <c r="M230" s="70">
        <f t="shared" si="130"/>
        <v>6587</v>
      </c>
      <c r="N230" s="70"/>
      <c r="O230" s="70">
        <f t="shared" si="131"/>
        <v>6587</v>
      </c>
      <c r="P230" s="70"/>
      <c r="Q230" s="70">
        <f t="shared" si="132"/>
        <v>6587</v>
      </c>
      <c r="R230" s="70"/>
      <c r="S230" s="70">
        <f t="shared" si="133"/>
        <v>6587</v>
      </c>
      <c r="T230" s="70"/>
      <c r="U230" s="70">
        <f t="shared" si="134"/>
        <v>6587</v>
      </c>
      <c r="V230" s="70"/>
      <c r="W230" s="70">
        <f t="shared" si="135"/>
        <v>6587</v>
      </c>
      <c r="X230" s="70">
        <v>216</v>
      </c>
      <c r="Y230" s="70">
        <f t="shared" si="136"/>
        <v>6803</v>
      </c>
      <c r="Z230" s="70"/>
      <c r="AA230" s="70">
        <f t="shared" si="124"/>
        <v>6803</v>
      </c>
      <c r="AB230" s="70"/>
      <c r="AC230" s="70">
        <f t="shared" si="125"/>
        <v>6803</v>
      </c>
      <c r="AD230" s="105"/>
      <c r="AE230" s="105"/>
    </row>
    <row r="231" spans="1:31" s="22" customFormat="1" ht="21" customHeight="1">
      <c r="A231" s="56"/>
      <c r="B231" s="72"/>
      <c r="C231" s="76">
        <v>4210</v>
      </c>
      <c r="D231" s="36" t="s">
        <v>96</v>
      </c>
      <c r="E231" s="70">
        <f>18100+1900</f>
        <v>20000</v>
      </c>
      <c r="F231" s="70"/>
      <c r="G231" s="70">
        <f t="shared" si="127"/>
        <v>20000</v>
      </c>
      <c r="H231" s="70"/>
      <c r="I231" s="70">
        <f t="shared" si="128"/>
        <v>20000</v>
      </c>
      <c r="J231" s="70"/>
      <c r="K231" s="70">
        <f t="shared" si="129"/>
        <v>20000</v>
      </c>
      <c r="L231" s="70"/>
      <c r="M231" s="70">
        <f t="shared" si="130"/>
        <v>20000</v>
      </c>
      <c r="N231" s="70"/>
      <c r="O231" s="70">
        <f t="shared" si="131"/>
        <v>20000</v>
      </c>
      <c r="P231" s="70"/>
      <c r="Q231" s="70">
        <f t="shared" si="132"/>
        <v>20000</v>
      </c>
      <c r="R231" s="70"/>
      <c r="S231" s="70">
        <f t="shared" si="133"/>
        <v>20000</v>
      </c>
      <c r="T231" s="70"/>
      <c r="U231" s="70">
        <f t="shared" si="134"/>
        <v>20000</v>
      </c>
      <c r="V231" s="70"/>
      <c r="W231" s="70">
        <f t="shared" si="135"/>
        <v>20000</v>
      </c>
      <c r="X231" s="70">
        <f>-114+5800</f>
        <v>5686</v>
      </c>
      <c r="Y231" s="70">
        <f t="shared" si="136"/>
        <v>25686</v>
      </c>
      <c r="Z231" s="70"/>
      <c r="AA231" s="70">
        <f t="shared" si="124"/>
        <v>25686</v>
      </c>
      <c r="AB231" s="70"/>
      <c r="AC231" s="70">
        <f t="shared" si="125"/>
        <v>25686</v>
      </c>
      <c r="AD231" s="105"/>
      <c r="AE231" s="105"/>
    </row>
    <row r="232" spans="1:31" s="22" customFormat="1" ht="24">
      <c r="A232" s="56"/>
      <c r="B232" s="72"/>
      <c r="C232" s="76">
        <v>4240</v>
      </c>
      <c r="D232" s="36" t="s">
        <v>151</v>
      </c>
      <c r="E232" s="70">
        <v>3000</v>
      </c>
      <c r="F232" s="70"/>
      <c r="G232" s="70">
        <f t="shared" si="127"/>
        <v>3000</v>
      </c>
      <c r="H232" s="70"/>
      <c r="I232" s="70">
        <f t="shared" si="128"/>
        <v>3000</v>
      </c>
      <c r="J232" s="70"/>
      <c r="K232" s="70">
        <f t="shared" si="129"/>
        <v>3000</v>
      </c>
      <c r="L232" s="70"/>
      <c r="M232" s="70">
        <f t="shared" si="130"/>
        <v>3000</v>
      </c>
      <c r="N232" s="70"/>
      <c r="O232" s="70">
        <f t="shared" si="131"/>
        <v>3000</v>
      </c>
      <c r="P232" s="70"/>
      <c r="Q232" s="70">
        <f t="shared" si="132"/>
        <v>3000</v>
      </c>
      <c r="R232" s="70"/>
      <c r="S232" s="70">
        <f t="shared" si="133"/>
        <v>3000</v>
      </c>
      <c r="T232" s="70"/>
      <c r="U232" s="70">
        <f t="shared" si="134"/>
        <v>3000</v>
      </c>
      <c r="V232" s="70">
        <v>300</v>
      </c>
      <c r="W232" s="70">
        <f t="shared" si="135"/>
        <v>3300</v>
      </c>
      <c r="X232" s="70"/>
      <c r="Y232" s="70">
        <f t="shared" si="136"/>
        <v>3300</v>
      </c>
      <c r="Z232" s="70"/>
      <c r="AA232" s="70">
        <f t="shared" si="124"/>
        <v>3300</v>
      </c>
      <c r="AB232" s="70"/>
      <c r="AC232" s="70">
        <f t="shared" si="125"/>
        <v>3300</v>
      </c>
      <c r="AD232" s="105"/>
      <c r="AE232" s="105"/>
    </row>
    <row r="233" spans="1:31" s="22" customFormat="1" ht="21" customHeight="1">
      <c r="A233" s="56"/>
      <c r="B233" s="72"/>
      <c r="C233" s="76">
        <v>4260</v>
      </c>
      <c r="D233" s="36" t="s">
        <v>119</v>
      </c>
      <c r="E233" s="70">
        <v>450</v>
      </c>
      <c r="F233" s="70"/>
      <c r="G233" s="70">
        <f t="shared" si="127"/>
        <v>450</v>
      </c>
      <c r="H233" s="70"/>
      <c r="I233" s="70">
        <f t="shared" si="128"/>
        <v>450</v>
      </c>
      <c r="J233" s="70"/>
      <c r="K233" s="70">
        <f t="shared" si="129"/>
        <v>450</v>
      </c>
      <c r="L233" s="70"/>
      <c r="M233" s="70">
        <f t="shared" si="130"/>
        <v>450</v>
      </c>
      <c r="N233" s="70"/>
      <c r="O233" s="70">
        <f t="shared" si="131"/>
        <v>450</v>
      </c>
      <c r="P233" s="70"/>
      <c r="Q233" s="70">
        <f t="shared" si="132"/>
        <v>450</v>
      </c>
      <c r="R233" s="70"/>
      <c r="S233" s="70">
        <f t="shared" si="133"/>
        <v>450</v>
      </c>
      <c r="T233" s="70"/>
      <c r="U233" s="70">
        <f t="shared" si="134"/>
        <v>450</v>
      </c>
      <c r="V233" s="70"/>
      <c r="W233" s="70">
        <f t="shared" si="135"/>
        <v>450</v>
      </c>
      <c r="X233" s="70">
        <v>114</v>
      </c>
      <c r="Y233" s="70">
        <f t="shared" si="136"/>
        <v>564</v>
      </c>
      <c r="Z233" s="70"/>
      <c r="AA233" s="70">
        <f t="shared" si="124"/>
        <v>564</v>
      </c>
      <c r="AB233" s="70"/>
      <c r="AC233" s="70">
        <f t="shared" si="125"/>
        <v>564</v>
      </c>
      <c r="AD233" s="105"/>
      <c r="AE233" s="105"/>
    </row>
    <row r="234" spans="1:31" s="22" customFormat="1" ht="21" customHeight="1">
      <c r="A234" s="56"/>
      <c r="B234" s="72"/>
      <c r="C234" s="76">
        <v>4270</v>
      </c>
      <c r="D234" s="36" t="s">
        <v>102</v>
      </c>
      <c r="E234" s="70">
        <v>3000</v>
      </c>
      <c r="F234" s="70"/>
      <c r="G234" s="70">
        <f t="shared" si="127"/>
        <v>3000</v>
      </c>
      <c r="H234" s="70"/>
      <c r="I234" s="70">
        <f t="shared" si="128"/>
        <v>3000</v>
      </c>
      <c r="J234" s="70"/>
      <c r="K234" s="70">
        <f t="shared" si="129"/>
        <v>3000</v>
      </c>
      <c r="L234" s="70"/>
      <c r="M234" s="70">
        <f t="shared" si="130"/>
        <v>3000</v>
      </c>
      <c r="N234" s="70"/>
      <c r="O234" s="70">
        <f t="shared" si="131"/>
        <v>3000</v>
      </c>
      <c r="P234" s="70"/>
      <c r="Q234" s="70">
        <f t="shared" si="132"/>
        <v>3000</v>
      </c>
      <c r="R234" s="70"/>
      <c r="S234" s="70">
        <f t="shared" si="133"/>
        <v>3000</v>
      </c>
      <c r="T234" s="70"/>
      <c r="U234" s="70">
        <f t="shared" si="134"/>
        <v>3000</v>
      </c>
      <c r="V234" s="70"/>
      <c r="W234" s="70">
        <f t="shared" si="135"/>
        <v>3000</v>
      </c>
      <c r="X234" s="70">
        <v>4200</v>
      </c>
      <c r="Y234" s="70">
        <f t="shared" si="136"/>
        <v>7200</v>
      </c>
      <c r="Z234" s="70"/>
      <c r="AA234" s="70">
        <f t="shared" si="124"/>
        <v>7200</v>
      </c>
      <c r="AB234" s="70"/>
      <c r="AC234" s="70">
        <f t="shared" si="125"/>
        <v>7200</v>
      </c>
      <c r="AD234" s="105"/>
      <c r="AE234" s="105"/>
    </row>
    <row r="235" spans="1:31" s="22" customFormat="1" ht="21" customHeight="1">
      <c r="A235" s="56"/>
      <c r="B235" s="72"/>
      <c r="C235" s="76">
        <v>4280</v>
      </c>
      <c r="D235" s="36" t="s">
        <v>233</v>
      </c>
      <c r="E235" s="70">
        <v>600</v>
      </c>
      <c r="F235" s="70"/>
      <c r="G235" s="70">
        <f t="shared" si="127"/>
        <v>600</v>
      </c>
      <c r="H235" s="70"/>
      <c r="I235" s="70">
        <f t="shared" si="128"/>
        <v>600</v>
      </c>
      <c r="J235" s="70"/>
      <c r="K235" s="70">
        <f t="shared" si="129"/>
        <v>600</v>
      </c>
      <c r="L235" s="70"/>
      <c r="M235" s="70">
        <f t="shared" si="130"/>
        <v>600</v>
      </c>
      <c r="N235" s="70"/>
      <c r="O235" s="70">
        <f t="shared" si="131"/>
        <v>600</v>
      </c>
      <c r="P235" s="70"/>
      <c r="Q235" s="70">
        <f t="shared" si="132"/>
        <v>600</v>
      </c>
      <c r="R235" s="70"/>
      <c r="S235" s="70">
        <f t="shared" si="133"/>
        <v>600</v>
      </c>
      <c r="T235" s="70"/>
      <c r="U235" s="70">
        <f t="shared" si="134"/>
        <v>600</v>
      </c>
      <c r="V235" s="70"/>
      <c r="W235" s="70">
        <f t="shared" si="135"/>
        <v>600</v>
      </c>
      <c r="X235" s="70"/>
      <c r="Y235" s="70">
        <f t="shared" si="136"/>
        <v>600</v>
      </c>
      <c r="Z235" s="70"/>
      <c r="AA235" s="70">
        <f t="shared" si="124"/>
        <v>600</v>
      </c>
      <c r="AB235" s="70"/>
      <c r="AC235" s="70">
        <f t="shared" si="125"/>
        <v>600</v>
      </c>
      <c r="AD235" s="105"/>
      <c r="AE235" s="105"/>
    </row>
    <row r="236" spans="1:31" s="22" customFormat="1" ht="24">
      <c r="A236" s="56"/>
      <c r="B236" s="72"/>
      <c r="C236" s="76">
        <v>4440</v>
      </c>
      <c r="D236" s="36" t="s">
        <v>142</v>
      </c>
      <c r="E236" s="70">
        <v>19197</v>
      </c>
      <c r="F236" s="70"/>
      <c r="G236" s="70">
        <f t="shared" si="127"/>
        <v>19197</v>
      </c>
      <c r="H236" s="70"/>
      <c r="I236" s="70">
        <f t="shared" si="128"/>
        <v>19197</v>
      </c>
      <c r="J236" s="70"/>
      <c r="K236" s="70">
        <f t="shared" si="129"/>
        <v>19197</v>
      </c>
      <c r="L236" s="70"/>
      <c r="M236" s="70">
        <f t="shared" si="130"/>
        <v>19197</v>
      </c>
      <c r="N236" s="70"/>
      <c r="O236" s="70">
        <f t="shared" si="131"/>
        <v>19197</v>
      </c>
      <c r="P236" s="70"/>
      <c r="Q236" s="70">
        <f t="shared" si="132"/>
        <v>19197</v>
      </c>
      <c r="R236" s="70"/>
      <c r="S236" s="70">
        <f t="shared" si="133"/>
        <v>19197</v>
      </c>
      <c r="T236" s="70"/>
      <c r="U236" s="70">
        <f t="shared" si="134"/>
        <v>19197</v>
      </c>
      <c r="V236" s="70"/>
      <c r="W236" s="70">
        <f t="shared" si="135"/>
        <v>19197</v>
      </c>
      <c r="X236" s="70"/>
      <c r="Y236" s="70">
        <f t="shared" si="136"/>
        <v>19197</v>
      </c>
      <c r="Z236" s="70"/>
      <c r="AA236" s="70">
        <f t="shared" si="124"/>
        <v>19197</v>
      </c>
      <c r="AB236" s="70"/>
      <c r="AC236" s="70">
        <f t="shared" si="125"/>
        <v>19197</v>
      </c>
      <c r="AD236" s="105"/>
      <c r="AE236" s="105"/>
    </row>
    <row r="237" spans="1:31" s="22" customFormat="1" ht="24">
      <c r="A237" s="56"/>
      <c r="B237" s="72"/>
      <c r="C237" s="76">
        <v>4740</v>
      </c>
      <c r="D237" s="12" t="s">
        <v>270</v>
      </c>
      <c r="E237" s="70">
        <v>200</v>
      </c>
      <c r="F237" s="70"/>
      <c r="G237" s="70">
        <f t="shared" si="127"/>
        <v>200</v>
      </c>
      <c r="H237" s="70"/>
      <c r="I237" s="70">
        <f t="shared" si="128"/>
        <v>200</v>
      </c>
      <c r="J237" s="70"/>
      <c r="K237" s="70">
        <f t="shared" si="129"/>
        <v>200</v>
      </c>
      <c r="L237" s="70"/>
      <c r="M237" s="70">
        <f t="shared" si="130"/>
        <v>200</v>
      </c>
      <c r="N237" s="70"/>
      <c r="O237" s="70">
        <f t="shared" si="131"/>
        <v>200</v>
      </c>
      <c r="P237" s="70"/>
      <c r="Q237" s="70">
        <f t="shared" si="132"/>
        <v>200</v>
      </c>
      <c r="R237" s="70"/>
      <c r="S237" s="70">
        <f t="shared" si="133"/>
        <v>200</v>
      </c>
      <c r="T237" s="70"/>
      <c r="U237" s="70">
        <f t="shared" si="134"/>
        <v>200</v>
      </c>
      <c r="V237" s="70"/>
      <c r="W237" s="70">
        <f t="shared" si="135"/>
        <v>200</v>
      </c>
      <c r="X237" s="70"/>
      <c r="Y237" s="70">
        <f t="shared" si="136"/>
        <v>200</v>
      </c>
      <c r="Z237" s="70"/>
      <c r="AA237" s="70">
        <f t="shared" si="124"/>
        <v>200</v>
      </c>
      <c r="AB237" s="70"/>
      <c r="AC237" s="70">
        <f t="shared" si="125"/>
        <v>200</v>
      </c>
      <c r="AD237" s="105"/>
      <c r="AE237" s="105"/>
    </row>
    <row r="238" spans="1:31" s="22" customFormat="1" ht="21.75" customHeight="1">
      <c r="A238" s="78"/>
      <c r="B238" s="72" t="s">
        <v>141</v>
      </c>
      <c r="C238" s="76"/>
      <c r="D238" s="36" t="s">
        <v>152</v>
      </c>
      <c r="E238" s="70">
        <f aca="true" t="shared" si="137" ref="E238:Z238">SUM(E239:E241)</f>
        <v>2932516</v>
      </c>
      <c r="F238" s="70">
        <f t="shared" si="137"/>
        <v>0</v>
      </c>
      <c r="G238" s="70">
        <f t="shared" si="137"/>
        <v>2932516</v>
      </c>
      <c r="H238" s="70">
        <f t="shared" si="137"/>
        <v>0</v>
      </c>
      <c r="I238" s="70">
        <f t="shared" si="137"/>
        <v>2932516</v>
      </c>
      <c r="J238" s="70">
        <f t="shared" si="137"/>
        <v>0</v>
      </c>
      <c r="K238" s="70">
        <f t="shared" si="137"/>
        <v>2932516</v>
      </c>
      <c r="L238" s="70">
        <f t="shared" si="137"/>
        <v>0</v>
      </c>
      <c r="M238" s="70">
        <f t="shared" si="137"/>
        <v>2932516</v>
      </c>
      <c r="N238" s="70">
        <f t="shared" si="137"/>
        <v>0</v>
      </c>
      <c r="O238" s="70">
        <f t="shared" si="137"/>
        <v>2932516</v>
      </c>
      <c r="P238" s="70">
        <f t="shared" si="137"/>
        <v>220700</v>
      </c>
      <c r="Q238" s="70">
        <f t="shared" si="137"/>
        <v>3153216</v>
      </c>
      <c r="R238" s="70">
        <f t="shared" si="137"/>
        <v>0</v>
      </c>
      <c r="S238" s="70">
        <f t="shared" si="137"/>
        <v>3153216</v>
      </c>
      <c r="T238" s="70">
        <f t="shared" si="137"/>
        <v>0</v>
      </c>
      <c r="U238" s="70">
        <f t="shared" si="137"/>
        <v>3153216</v>
      </c>
      <c r="V238" s="70">
        <f t="shared" si="137"/>
        <v>0</v>
      </c>
      <c r="W238" s="70">
        <f t="shared" si="137"/>
        <v>3153216</v>
      </c>
      <c r="X238" s="70">
        <f t="shared" si="137"/>
        <v>3562</v>
      </c>
      <c r="Y238" s="70">
        <f t="shared" si="137"/>
        <v>3156778</v>
      </c>
      <c r="Z238" s="70">
        <f t="shared" si="137"/>
        <v>0</v>
      </c>
      <c r="AA238" s="70">
        <f t="shared" si="124"/>
        <v>3156778</v>
      </c>
      <c r="AB238" s="70">
        <f>SUM(AB239:AB241)</f>
        <v>0</v>
      </c>
      <c r="AC238" s="70">
        <f t="shared" si="125"/>
        <v>3156778</v>
      </c>
      <c r="AD238" s="105"/>
      <c r="AE238" s="105"/>
    </row>
    <row r="239" spans="1:31" s="22" customFormat="1" ht="26.25" customHeight="1">
      <c r="A239" s="78"/>
      <c r="B239" s="72"/>
      <c r="C239" s="76">
        <v>2510</v>
      </c>
      <c r="D239" s="36" t="s">
        <v>153</v>
      </c>
      <c r="E239" s="70">
        <v>2832116</v>
      </c>
      <c r="F239" s="70"/>
      <c r="G239" s="70">
        <f>SUM(E239:F239)</f>
        <v>2832116</v>
      </c>
      <c r="H239" s="70"/>
      <c r="I239" s="70">
        <f>SUM(G239:H239)</f>
        <v>2832116</v>
      </c>
      <c r="J239" s="70"/>
      <c r="K239" s="70">
        <f>SUM(I239:J239)</f>
        <v>2832116</v>
      </c>
      <c r="L239" s="70"/>
      <c r="M239" s="70">
        <f>SUM(K239:L239)</f>
        <v>2832116</v>
      </c>
      <c r="N239" s="70"/>
      <c r="O239" s="70">
        <f>SUM(M239:N239)</f>
        <v>2832116</v>
      </c>
      <c r="P239" s="70">
        <v>220700</v>
      </c>
      <c r="Q239" s="70">
        <f>SUM(O239:P239)</f>
        <v>3052816</v>
      </c>
      <c r="R239" s="70"/>
      <c r="S239" s="70">
        <f>SUM(Q239:R239)</f>
        <v>3052816</v>
      </c>
      <c r="T239" s="70">
        <v>400</v>
      </c>
      <c r="U239" s="70">
        <f>SUM(S239:T239)</f>
        <v>3053216</v>
      </c>
      <c r="V239" s="70"/>
      <c r="W239" s="70">
        <f>SUM(U239:V239)</f>
        <v>3053216</v>
      </c>
      <c r="X239" s="70">
        <v>3562</v>
      </c>
      <c r="Y239" s="70">
        <f>SUM(W239:X239)</f>
        <v>3056778</v>
      </c>
      <c r="Z239" s="70"/>
      <c r="AA239" s="70">
        <f t="shared" si="124"/>
        <v>3056778</v>
      </c>
      <c r="AB239" s="70"/>
      <c r="AC239" s="70">
        <f t="shared" si="125"/>
        <v>3056778</v>
      </c>
      <c r="AD239" s="105"/>
      <c r="AE239" s="105"/>
    </row>
    <row r="240" spans="1:31" s="22" customFormat="1" ht="19.5" customHeight="1" hidden="1">
      <c r="A240" s="78"/>
      <c r="B240" s="72"/>
      <c r="C240" s="76">
        <v>4210</v>
      </c>
      <c r="D240" s="36" t="s">
        <v>96</v>
      </c>
      <c r="E240" s="70">
        <v>400</v>
      </c>
      <c r="F240" s="70"/>
      <c r="G240" s="70">
        <f>SUM(E240:F240)</f>
        <v>400</v>
      </c>
      <c r="H240" s="70"/>
      <c r="I240" s="70">
        <f>SUM(G240:H240)</f>
        <v>400</v>
      </c>
      <c r="J240" s="70"/>
      <c r="K240" s="70">
        <f>SUM(I240:J240)</f>
        <v>400</v>
      </c>
      <c r="L240" s="70"/>
      <c r="M240" s="70">
        <f>SUM(K240:L240)</f>
        <v>400</v>
      </c>
      <c r="N240" s="70"/>
      <c r="O240" s="70">
        <f>SUM(M240:N240)</f>
        <v>400</v>
      </c>
      <c r="P240" s="70"/>
      <c r="Q240" s="70">
        <f>SUM(O240:P240)</f>
        <v>400</v>
      </c>
      <c r="R240" s="70"/>
      <c r="S240" s="70">
        <f>SUM(Q240:R240)</f>
        <v>400</v>
      </c>
      <c r="T240" s="70">
        <v>-400</v>
      </c>
      <c r="U240" s="70">
        <f>SUM(S240:T240)</f>
        <v>0</v>
      </c>
      <c r="V240" s="70"/>
      <c r="W240" s="70">
        <f>SUM(U240:V240)</f>
        <v>0</v>
      </c>
      <c r="X240" s="70"/>
      <c r="Y240" s="70">
        <f>SUM(W240:X240)</f>
        <v>0</v>
      </c>
      <c r="Z240" s="70"/>
      <c r="AA240" s="70">
        <f t="shared" si="124"/>
        <v>0</v>
      </c>
      <c r="AB240" s="70"/>
      <c r="AC240" s="70">
        <f t="shared" si="125"/>
        <v>0</v>
      </c>
      <c r="AD240" s="105"/>
      <c r="AE240" s="105"/>
    </row>
    <row r="241" spans="1:31" s="22" customFormat="1" ht="19.5" customHeight="1">
      <c r="A241" s="78"/>
      <c r="B241" s="72"/>
      <c r="C241" s="76">
        <v>4270</v>
      </c>
      <c r="D241" s="36" t="s">
        <v>102</v>
      </c>
      <c r="E241" s="70">
        <v>100000</v>
      </c>
      <c r="F241" s="70"/>
      <c r="G241" s="70">
        <f>SUM(E241:F241)</f>
        <v>100000</v>
      </c>
      <c r="H241" s="70"/>
      <c r="I241" s="70">
        <f>SUM(G241:H241)</f>
        <v>100000</v>
      </c>
      <c r="J241" s="70"/>
      <c r="K241" s="70">
        <f>SUM(I241:J241)</f>
        <v>100000</v>
      </c>
      <c r="L241" s="70"/>
      <c r="M241" s="70">
        <f>SUM(K241:L241)</f>
        <v>100000</v>
      </c>
      <c r="N241" s="70"/>
      <c r="O241" s="70">
        <f>SUM(M241:N241)</f>
        <v>100000</v>
      </c>
      <c r="P241" s="70"/>
      <c r="Q241" s="70">
        <f>SUM(O241:P241)</f>
        <v>100000</v>
      </c>
      <c r="R241" s="70"/>
      <c r="S241" s="70">
        <f>SUM(Q241:R241)</f>
        <v>100000</v>
      </c>
      <c r="T241" s="70"/>
      <c r="U241" s="70">
        <f>SUM(S241:T241)</f>
        <v>100000</v>
      </c>
      <c r="V241" s="70"/>
      <c r="W241" s="70">
        <f>SUM(U241:V241)</f>
        <v>100000</v>
      </c>
      <c r="X241" s="70"/>
      <c r="Y241" s="70">
        <f>SUM(W241:X241)</f>
        <v>100000</v>
      </c>
      <c r="Z241" s="70"/>
      <c r="AA241" s="70">
        <f t="shared" si="124"/>
        <v>100000</v>
      </c>
      <c r="AB241" s="70"/>
      <c r="AC241" s="70">
        <f t="shared" si="125"/>
        <v>100000</v>
      </c>
      <c r="AD241" s="105"/>
      <c r="AE241" s="105"/>
    </row>
    <row r="242" spans="1:31" s="22" customFormat="1" ht="21.75" customHeight="1">
      <c r="A242" s="78"/>
      <c r="B242" s="72" t="s">
        <v>143</v>
      </c>
      <c r="C242" s="76"/>
      <c r="D242" s="36" t="s">
        <v>75</v>
      </c>
      <c r="E242" s="70">
        <f aca="true" t="shared" si="138" ref="E242:V242">SUM(E244:E266)</f>
        <v>6483141</v>
      </c>
      <c r="F242" s="70">
        <f t="shared" si="138"/>
        <v>0</v>
      </c>
      <c r="G242" s="70">
        <f t="shared" si="138"/>
        <v>6483141</v>
      </c>
      <c r="H242" s="70">
        <f t="shared" si="138"/>
        <v>0</v>
      </c>
      <c r="I242" s="70">
        <f t="shared" si="138"/>
        <v>6483141</v>
      </c>
      <c r="J242" s="70">
        <f t="shared" si="138"/>
        <v>0</v>
      </c>
      <c r="K242" s="70">
        <f t="shared" si="138"/>
        <v>6483141</v>
      </c>
      <c r="L242" s="70">
        <f t="shared" si="138"/>
        <v>0</v>
      </c>
      <c r="M242" s="70">
        <f t="shared" si="138"/>
        <v>6483141</v>
      </c>
      <c r="N242" s="70">
        <f t="shared" si="138"/>
        <v>0</v>
      </c>
      <c r="O242" s="70">
        <f t="shared" si="138"/>
        <v>6483141</v>
      </c>
      <c r="P242" s="70">
        <f t="shared" si="138"/>
        <v>185000</v>
      </c>
      <c r="Q242" s="70">
        <f t="shared" si="138"/>
        <v>6668141</v>
      </c>
      <c r="R242" s="70">
        <f t="shared" si="138"/>
        <v>-50000</v>
      </c>
      <c r="S242" s="70">
        <f t="shared" si="138"/>
        <v>6618141</v>
      </c>
      <c r="T242" s="70">
        <f t="shared" si="138"/>
        <v>0</v>
      </c>
      <c r="U242" s="70">
        <f t="shared" si="138"/>
        <v>6618141</v>
      </c>
      <c r="V242" s="70">
        <f t="shared" si="138"/>
        <v>0</v>
      </c>
      <c r="W242" s="70">
        <f>SUM(W243:W266)</f>
        <v>6618141</v>
      </c>
      <c r="X242" s="70">
        <f>SUM(X243:X266)</f>
        <v>32260</v>
      </c>
      <c r="Y242" s="70">
        <f>SUM(Y243:Y266)</f>
        <v>6650401</v>
      </c>
      <c r="Z242" s="70">
        <f>SUM(Z243:Z266)</f>
        <v>0</v>
      </c>
      <c r="AA242" s="70">
        <f t="shared" si="124"/>
        <v>6650401</v>
      </c>
      <c r="AB242" s="70">
        <f>SUM(AB243:AB266)</f>
        <v>0</v>
      </c>
      <c r="AC242" s="70">
        <f t="shared" si="125"/>
        <v>6650401</v>
      </c>
      <c r="AD242" s="105"/>
      <c r="AE242" s="105"/>
    </row>
    <row r="243" spans="1:31" s="22" customFormat="1" ht="48">
      <c r="A243" s="78"/>
      <c r="B243" s="72"/>
      <c r="C243" s="76">
        <v>2590</v>
      </c>
      <c r="D243" s="36" t="s">
        <v>395</v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>
        <v>0</v>
      </c>
      <c r="X243" s="70">
        <v>22260</v>
      </c>
      <c r="Y243" s="70">
        <f aca="true" t="shared" si="139" ref="Y243:Y266">SUM(W243:X243)</f>
        <v>22260</v>
      </c>
      <c r="Z243" s="70"/>
      <c r="AA243" s="70">
        <f t="shared" si="124"/>
        <v>22260</v>
      </c>
      <c r="AB243" s="70"/>
      <c r="AC243" s="70">
        <f t="shared" si="125"/>
        <v>22260</v>
      </c>
      <c r="AD243" s="105"/>
      <c r="AE243" s="105"/>
    </row>
    <row r="244" spans="1:31" s="22" customFormat="1" ht="21" customHeight="1">
      <c r="A244" s="56"/>
      <c r="B244" s="72"/>
      <c r="C244" s="76">
        <v>3020</v>
      </c>
      <c r="D244" s="36" t="s">
        <v>225</v>
      </c>
      <c r="E244" s="70">
        <v>36376</v>
      </c>
      <c r="F244" s="70"/>
      <c r="G244" s="70">
        <f aca="true" t="shared" si="140" ref="G244:G266">SUM(E244:F244)</f>
        <v>36376</v>
      </c>
      <c r="H244" s="70"/>
      <c r="I244" s="70">
        <f aca="true" t="shared" si="141" ref="I244:I266">SUM(G244:H244)</f>
        <v>36376</v>
      </c>
      <c r="J244" s="70"/>
      <c r="K244" s="70">
        <f aca="true" t="shared" si="142" ref="K244:K266">SUM(I244:J244)</f>
        <v>36376</v>
      </c>
      <c r="L244" s="70"/>
      <c r="M244" s="70">
        <f aca="true" t="shared" si="143" ref="M244:M266">SUM(K244:L244)</f>
        <v>36376</v>
      </c>
      <c r="N244" s="70"/>
      <c r="O244" s="70">
        <f aca="true" t="shared" si="144" ref="O244:O266">SUM(M244:N244)</f>
        <v>36376</v>
      </c>
      <c r="P244" s="70"/>
      <c r="Q244" s="70">
        <f aca="true" t="shared" si="145" ref="Q244:Q266">SUM(O244:P244)</f>
        <v>36376</v>
      </c>
      <c r="R244" s="70"/>
      <c r="S244" s="70">
        <f aca="true" t="shared" si="146" ref="S244:S266">SUM(Q244:R244)</f>
        <v>36376</v>
      </c>
      <c r="T244" s="70"/>
      <c r="U244" s="70">
        <f aca="true" t="shared" si="147" ref="U244:U266">SUM(S244:T244)</f>
        <v>36376</v>
      </c>
      <c r="V244" s="70"/>
      <c r="W244" s="70">
        <f aca="true" t="shared" si="148" ref="W244:W266">SUM(U244:V244)</f>
        <v>36376</v>
      </c>
      <c r="X244" s="70"/>
      <c r="Y244" s="70">
        <f t="shared" si="139"/>
        <v>36376</v>
      </c>
      <c r="Z244" s="70"/>
      <c r="AA244" s="70">
        <f t="shared" si="124"/>
        <v>36376</v>
      </c>
      <c r="AB244" s="70"/>
      <c r="AC244" s="70">
        <f t="shared" si="125"/>
        <v>36376</v>
      </c>
      <c r="AD244" s="105"/>
      <c r="AE244" s="105"/>
    </row>
    <row r="245" spans="1:31" s="22" customFormat="1" ht="26.25" customHeight="1">
      <c r="A245" s="56"/>
      <c r="B245" s="72"/>
      <c r="C245" s="76">
        <v>4010</v>
      </c>
      <c r="D245" s="36" t="s">
        <v>108</v>
      </c>
      <c r="E245" s="70">
        <v>2917237</v>
      </c>
      <c r="F245" s="70"/>
      <c r="G245" s="70">
        <f t="shared" si="140"/>
        <v>2917237</v>
      </c>
      <c r="H245" s="70"/>
      <c r="I245" s="70">
        <f t="shared" si="141"/>
        <v>2917237</v>
      </c>
      <c r="J245" s="70"/>
      <c r="K245" s="70">
        <f t="shared" si="142"/>
        <v>2917237</v>
      </c>
      <c r="L245" s="70"/>
      <c r="M245" s="70">
        <f t="shared" si="143"/>
        <v>2917237</v>
      </c>
      <c r="N245" s="70"/>
      <c r="O245" s="70">
        <f t="shared" si="144"/>
        <v>2917237</v>
      </c>
      <c r="P245" s="70">
        <v>192966</v>
      </c>
      <c r="Q245" s="70">
        <f t="shared" si="145"/>
        <v>3110203</v>
      </c>
      <c r="R245" s="70"/>
      <c r="S245" s="70">
        <f t="shared" si="146"/>
        <v>3110203</v>
      </c>
      <c r="T245" s="70"/>
      <c r="U245" s="70">
        <f t="shared" si="147"/>
        <v>3110203</v>
      </c>
      <c r="V245" s="70"/>
      <c r="W245" s="70">
        <f t="shared" si="148"/>
        <v>3110203</v>
      </c>
      <c r="X245" s="70"/>
      <c r="Y245" s="70">
        <f t="shared" si="139"/>
        <v>3110203</v>
      </c>
      <c r="Z245" s="70"/>
      <c r="AA245" s="70">
        <f t="shared" si="124"/>
        <v>3110203</v>
      </c>
      <c r="AB245" s="70"/>
      <c r="AC245" s="70">
        <f t="shared" si="125"/>
        <v>3110203</v>
      </c>
      <c r="AD245" s="105"/>
      <c r="AE245" s="105"/>
    </row>
    <row r="246" spans="1:31" s="22" customFormat="1" ht="21" customHeight="1">
      <c r="A246" s="56"/>
      <c r="B246" s="72"/>
      <c r="C246" s="76">
        <v>4040</v>
      </c>
      <c r="D246" s="36" t="s">
        <v>109</v>
      </c>
      <c r="E246" s="70">
        <v>242450</v>
      </c>
      <c r="F246" s="70"/>
      <c r="G246" s="70">
        <f t="shared" si="140"/>
        <v>242450</v>
      </c>
      <c r="H246" s="70"/>
      <c r="I246" s="70">
        <f t="shared" si="141"/>
        <v>242450</v>
      </c>
      <c r="J246" s="70"/>
      <c r="K246" s="70">
        <f t="shared" si="142"/>
        <v>242450</v>
      </c>
      <c r="L246" s="70"/>
      <c r="M246" s="70">
        <f t="shared" si="143"/>
        <v>242450</v>
      </c>
      <c r="N246" s="70"/>
      <c r="O246" s="70">
        <f t="shared" si="144"/>
        <v>242450</v>
      </c>
      <c r="P246" s="70">
        <v>-7966</v>
      </c>
      <c r="Q246" s="70">
        <f t="shared" si="145"/>
        <v>234484</v>
      </c>
      <c r="R246" s="70"/>
      <c r="S246" s="70">
        <f t="shared" si="146"/>
        <v>234484</v>
      </c>
      <c r="T246" s="70"/>
      <c r="U246" s="70">
        <f t="shared" si="147"/>
        <v>234484</v>
      </c>
      <c r="V246" s="70"/>
      <c r="W246" s="70">
        <f t="shared" si="148"/>
        <v>234484</v>
      </c>
      <c r="X246" s="70"/>
      <c r="Y246" s="70">
        <f t="shared" si="139"/>
        <v>234484</v>
      </c>
      <c r="Z246" s="70"/>
      <c r="AA246" s="70">
        <f t="shared" si="124"/>
        <v>234484</v>
      </c>
      <c r="AB246" s="70"/>
      <c r="AC246" s="70">
        <f t="shared" si="125"/>
        <v>234484</v>
      </c>
      <c r="AD246" s="105"/>
      <c r="AE246" s="105"/>
    </row>
    <row r="247" spans="1:31" s="22" customFormat="1" ht="21" customHeight="1">
      <c r="A247" s="56"/>
      <c r="B247" s="72"/>
      <c r="C247" s="76">
        <v>4110</v>
      </c>
      <c r="D247" s="36" t="s">
        <v>110</v>
      </c>
      <c r="E247" s="70">
        <v>551823</v>
      </c>
      <c r="F247" s="70"/>
      <c r="G247" s="70">
        <f t="shared" si="140"/>
        <v>551823</v>
      </c>
      <c r="H247" s="70"/>
      <c r="I247" s="70">
        <f t="shared" si="141"/>
        <v>551823</v>
      </c>
      <c r="J247" s="70"/>
      <c r="K247" s="70">
        <f t="shared" si="142"/>
        <v>551823</v>
      </c>
      <c r="L247" s="70"/>
      <c r="M247" s="70">
        <f t="shared" si="143"/>
        <v>551823</v>
      </c>
      <c r="N247" s="70"/>
      <c r="O247" s="70">
        <f t="shared" si="144"/>
        <v>551823</v>
      </c>
      <c r="P247" s="70"/>
      <c r="Q247" s="70">
        <f t="shared" si="145"/>
        <v>551823</v>
      </c>
      <c r="R247" s="70"/>
      <c r="S247" s="70">
        <f t="shared" si="146"/>
        <v>551823</v>
      </c>
      <c r="T247" s="70"/>
      <c r="U247" s="70">
        <f t="shared" si="147"/>
        <v>551823</v>
      </c>
      <c r="V247" s="70"/>
      <c r="W247" s="70">
        <f t="shared" si="148"/>
        <v>551823</v>
      </c>
      <c r="X247" s="70"/>
      <c r="Y247" s="70">
        <f t="shared" si="139"/>
        <v>551823</v>
      </c>
      <c r="Z247" s="70"/>
      <c r="AA247" s="70">
        <f t="shared" si="124"/>
        <v>551823</v>
      </c>
      <c r="AB247" s="70"/>
      <c r="AC247" s="70">
        <f t="shared" si="125"/>
        <v>551823</v>
      </c>
      <c r="AD247" s="105"/>
      <c r="AE247" s="105"/>
    </row>
    <row r="248" spans="1:31" s="22" customFormat="1" ht="21" customHeight="1">
      <c r="A248" s="56"/>
      <c r="B248" s="72"/>
      <c r="C248" s="76">
        <v>4120</v>
      </c>
      <c r="D248" s="36" t="s">
        <v>111</v>
      </c>
      <c r="E248" s="70">
        <v>77646</v>
      </c>
      <c r="F248" s="70"/>
      <c r="G248" s="70">
        <f t="shared" si="140"/>
        <v>77646</v>
      </c>
      <c r="H248" s="70"/>
      <c r="I248" s="70">
        <f t="shared" si="141"/>
        <v>77646</v>
      </c>
      <c r="J248" s="70"/>
      <c r="K248" s="70">
        <f t="shared" si="142"/>
        <v>77646</v>
      </c>
      <c r="L248" s="70"/>
      <c r="M248" s="70">
        <f t="shared" si="143"/>
        <v>77646</v>
      </c>
      <c r="N248" s="70"/>
      <c r="O248" s="70">
        <f t="shared" si="144"/>
        <v>77646</v>
      </c>
      <c r="P248" s="70"/>
      <c r="Q248" s="70">
        <f t="shared" si="145"/>
        <v>77646</v>
      </c>
      <c r="R248" s="70"/>
      <c r="S248" s="70">
        <f t="shared" si="146"/>
        <v>77646</v>
      </c>
      <c r="T248" s="70"/>
      <c r="U248" s="70">
        <f t="shared" si="147"/>
        <v>77646</v>
      </c>
      <c r="V248" s="70"/>
      <c r="W248" s="70">
        <f t="shared" si="148"/>
        <v>77646</v>
      </c>
      <c r="X248" s="70"/>
      <c r="Y248" s="70">
        <f t="shared" si="139"/>
        <v>77646</v>
      </c>
      <c r="Z248" s="70"/>
      <c r="AA248" s="70">
        <f t="shared" si="124"/>
        <v>77646</v>
      </c>
      <c r="AB248" s="70"/>
      <c r="AC248" s="70">
        <f t="shared" si="125"/>
        <v>77646</v>
      </c>
      <c r="AD248" s="105"/>
      <c r="AE248" s="105"/>
    </row>
    <row r="249" spans="1:31" s="22" customFormat="1" ht="21" customHeight="1">
      <c r="A249" s="56"/>
      <c r="B249" s="72"/>
      <c r="C249" s="76">
        <v>4170</v>
      </c>
      <c r="D249" s="36" t="s">
        <v>227</v>
      </c>
      <c r="E249" s="70">
        <v>13000</v>
      </c>
      <c r="F249" s="70"/>
      <c r="G249" s="70">
        <f t="shared" si="140"/>
        <v>13000</v>
      </c>
      <c r="H249" s="70"/>
      <c r="I249" s="70">
        <f t="shared" si="141"/>
        <v>13000</v>
      </c>
      <c r="J249" s="70"/>
      <c r="K249" s="70">
        <f t="shared" si="142"/>
        <v>13000</v>
      </c>
      <c r="L249" s="70"/>
      <c r="M249" s="70">
        <f t="shared" si="143"/>
        <v>13000</v>
      </c>
      <c r="N249" s="70"/>
      <c r="O249" s="70">
        <f t="shared" si="144"/>
        <v>13000</v>
      </c>
      <c r="P249" s="70"/>
      <c r="Q249" s="70">
        <f t="shared" si="145"/>
        <v>13000</v>
      </c>
      <c r="R249" s="70"/>
      <c r="S249" s="70">
        <f t="shared" si="146"/>
        <v>13000</v>
      </c>
      <c r="T249" s="70"/>
      <c r="U249" s="70">
        <f t="shared" si="147"/>
        <v>13000</v>
      </c>
      <c r="V249" s="70"/>
      <c r="W249" s="70">
        <f t="shared" si="148"/>
        <v>13000</v>
      </c>
      <c r="X249" s="70"/>
      <c r="Y249" s="70">
        <f t="shared" si="139"/>
        <v>13000</v>
      </c>
      <c r="Z249" s="70"/>
      <c r="AA249" s="70">
        <f t="shared" si="124"/>
        <v>13000</v>
      </c>
      <c r="AB249" s="70"/>
      <c r="AC249" s="70">
        <f t="shared" si="125"/>
        <v>13000</v>
      </c>
      <c r="AD249" s="105"/>
      <c r="AE249" s="105"/>
    </row>
    <row r="250" spans="1:31" s="22" customFormat="1" ht="21" customHeight="1">
      <c r="A250" s="56"/>
      <c r="B250" s="72"/>
      <c r="C250" s="76">
        <v>4210</v>
      </c>
      <c r="D250" s="36" t="s">
        <v>116</v>
      </c>
      <c r="E250" s="70">
        <f>154600+900</f>
        <v>155500</v>
      </c>
      <c r="F250" s="70"/>
      <c r="G250" s="70">
        <f t="shared" si="140"/>
        <v>155500</v>
      </c>
      <c r="H250" s="70"/>
      <c r="I250" s="70">
        <f t="shared" si="141"/>
        <v>155500</v>
      </c>
      <c r="J250" s="70"/>
      <c r="K250" s="70">
        <f t="shared" si="142"/>
        <v>155500</v>
      </c>
      <c r="L250" s="70"/>
      <c r="M250" s="70">
        <f t="shared" si="143"/>
        <v>155500</v>
      </c>
      <c r="N250" s="70"/>
      <c r="O250" s="70">
        <f t="shared" si="144"/>
        <v>155500</v>
      </c>
      <c r="P250" s="70"/>
      <c r="Q250" s="70">
        <f t="shared" si="145"/>
        <v>155500</v>
      </c>
      <c r="R250" s="70"/>
      <c r="S250" s="70">
        <f t="shared" si="146"/>
        <v>155500</v>
      </c>
      <c r="T250" s="70"/>
      <c r="U250" s="70">
        <f t="shared" si="147"/>
        <v>155500</v>
      </c>
      <c r="V250" s="70"/>
      <c r="W250" s="70">
        <f t="shared" si="148"/>
        <v>155500</v>
      </c>
      <c r="X250" s="70"/>
      <c r="Y250" s="70">
        <f t="shared" si="139"/>
        <v>155500</v>
      </c>
      <c r="Z250" s="70"/>
      <c r="AA250" s="70">
        <f t="shared" si="124"/>
        <v>155500</v>
      </c>
      <c r="AB250" s="70"/>
      <c r="AC250" s="70">
        <f t="shared" si="125"/>
        <v>155500</v>
      </c>
      <c r="AD250" s="105"/>
      <c r="AE250" s="105"/>
    </row>
    <row r="251" spans="1:31" s="22" customFormat="1" ht="27" customHeight="1">
      <c r="A251" s="56"/>
      <c r="B251" s="72"/>
      <c r="C251" s="76">
        <v>4230</v>
      </c>
      <c r="D251" s="36" t="s">
        <v>319</v>
      </c>
      <c r="E251" s="70">
        <v>1500</v>
      </c>
      <c r="F251" s="70"/>
      <c r="G251" s="70">
        <f t="shared" si="140"/>
        <v>1500</v>
      </c>
      <c r="H251" s="70"/>
      <c r="I251" s="70">
        <f t="shared" si="141"/>
        <v>1500</v>
      </c>
      <c r="J251" s="70"/>
      <c r="K251" s="70">
        <f t="shared" si="142"/>
        <v>1500</v>
      </c>
      <c r="L251" s="70"/>
      <c r="M251" s="70">
        <f t="shared" si="143"/>
        <v>1500</v>
      </c>
      <c r="N251" s="70"/>
      <c r="O251" s="70">
        <f t="shared" si="144"/>
        <v>1500</v>
      </c>
      <c r="P251" s="70"/>
      <c r="Q251" s="70">
        <f t="shared" si="145"/>
        <v>1500</v>
      </c>
      <c r="R251" s="70"/>
      <c r="S251" s="70">
        <f t="shared" si="146"/>
        <v>1500</v>
      </c>
      <c r="T251" s="70"/>
      <c r="U251" s="70">
        <f t="shared" si="147"/>
        <v>1500</v>
      </c>
      <c r="V251" s="70"/>
      <c r="W251" s="70">
        <f t="shared" si="148"/>
        <v>1500</v>
      </c>
      <c r="X251" s="70"/>
      <c r="Y251" s="70">
        <f t="shared" si="139"/>
        <v>1500</v>
      </c>
      <c r="Z251" s="70"/>
      <c r="AA251" s="70">
        <f t="shared" si="124"/>
        <v>1500</v>
      </c>
      <c r="AB251" s="70"/>
      <c r="AC251" s="70">
        <f t="shared" si="125"/>
        <v>1500</v>
      </c>
      <c r="AD251" s="105"/>
      <c r="AE251" s="105"/>
    </row>
    <row r="252" spans="1:31" s="22" customFormat="1" ht="24">
      <c r="A252" s="56"/>
      <c r="B252" s="72"/>
      <c r="C252" s="76">
        <v>4240</v>
      </c>
      <c r="D252" s="36" t="s">
        <v>151</v>
      </c>
      <c r="E252" s="70">
        <v>16100</v>
      </c>
      <c r="F252" s="70"/>
      <c r="G252" s="70">
        <f t="shared" si="140"/>
        <v>16100</v>
      </c>
      <c r="H252" s="70"/>
      <c r="I252" s="70">
        <f t="shared" si="141"/>
        <v>16100</v>
      </c>
      <c r="J252" s="70"/>
      <c r="K252" s="70">
        <f t="shared" si="142"/>
        <v>16100</v>
      </c>
      <c r="L252" s="70"/>
      <c r="M252" s="70">
        <f t="shared" si="143"/>
        <v>16100</v>
      </c>
      <c r="N252" s="70"/>
      <c r="O252" s="70">
        <f t="shared" si="144"/>
        <v>16100</v>
      </c>
      <c r="P252" s="70"/>
      <c r="Q252" s="70">
        <f t="shared" si="145"/>
        <v>16100</v>
      </c>
      <c r="R252" s="70"/>
      <c r="S252" s="70">
        <f t="shared" si="146"/>
        <v>16100</v>
      </c>
      <c r="T252" s="70"/>
      <c r="U252" s="70">
        <f t="shared" si="147"/>
        <v>16100</v>
      </c>
      <c r="V252" s="70"/>
      <c r="W252" s="70">
        <f t="shared" si="148"/>
        <v>16100</v>
      </c>
      <c r="X252" s="70"/>
      <c r="Y252" s="70">
        <f t="shared" si="139"/>
        <v>16100</v>
      </c>
      <c r="Z252" s="70"/>
      <c r="AA252" s="70">
        <f t="shared" si="124"/>
        <v>16100</v>
      </c>
      <c r="AB252" s="70"/>
      <c r="AC252" s="70">
        <f t="shared" si="125"/>
        <v>16100</v>
      </c>
      <c r="AD252" s="105"/>
      <c r="AE252" s="105"/>
    </row>
    <row r="253" spans="1:31" s="22" customFormat="1" ht="21" customHeight="1">
      <c r="A253" s="56"/>
      <c r="B253" s="72"/>
      <c r="C253" s="76">
        <v>4260</v>
      </c>
      <c r="D253" s="36" t="s">
        <v>119</v>
      </c>
      <c r="E253" s="70">
        <v>297000</v>
      </c>
      <c r="F253" s="70"/>
      <c r="G253" s="70">
        <f t="shared" si="140"/>
        <v>297000</v>
      </c>
      <c r="H253" s="70"/>
      <c r="I253" s="70">
        <f t="shared" si="141"/>
        <v>297000</v>
      </c>
      <c r="J253" s="70"/>
      <c r="K253" s="70">
        <f t="shared" si="142"/>
        <v>297000</v>
      </c>
      <c r="L253" s="70"/>
      <c r="M253" s="70">
        <f t="shared" si="143"/>
        <v>297000</v>
      </c>
      <c r="N253" s="70"/>
      <c r="O253" s="70">
        <f t="shared" si="144"/>
        <v>297000</v>
      </c>
      <c r="P253" s="70"/>
      <c r="Q253" s="70">
        <f t="shared" si="145"/>
        <v>297000</v>
      </c>
      <c r="R253" s="70"/>
      <c r="S253" s="70">
        <f t="shared" si="146"/>
        <v>297000</v>
      </c>
      <c r="T253" s="70"/>
      <c r="U253" s="70">
        <f t="shared" si="147"/>
        <v>297000</v>
      </c>
      <c r="V253" s="70"/>
      <c r="W253" s="70">
        <f t="shared" si="148"/>
        <v>297000</v>
      </c>
      <c r="X253" s="70"/>
      <c r="Y253" s="70">
        <f t="shared" si="139"/>
        <v>297000</v>
      </c>
      <c r="Z253" s="70"/>
      <c r="AA253" s="70">
        <f t="shared" si="124"/>
        <v>297000</v>
      </c>
      <c r="AB253" s="70"/>
      <c r="AC253" s="70">
        <f t="shared" si="125"/>
        <v>297000</v>
      </c>
      <c r="AD253" s="105"/>
      <c r="AE253" s="105"/>
    </row>
    <row r="254" spans="1:31" s="22" customFormat="1" ht="21" customHeight="1">
      <c r="A254" s="56"/>
      <c r="B254" s="72"/>
      <c r="C254" s="76">
        <v>4270</v>
      </c>
      <c r="D254" s="36" t="s">
        <v>102</v>
      </c>
      <c r="E254" s="70">
        <f>48200+150000</f>
        <v>198200</v>
      </c>
      <c r="F254" s="70"/>
      <c r="G254" s="70">
        <f t="shared" si="140"/>
        <v>198200</v>
      </c>
      <c r="H254" s="70"/>
      <c r="I254" s="70">
        <f t="shared" si="141"/>
        <v>198200</v>
      </c>
      <c r="J254" s="70"/>
      <c r="K254" s="70">
        <f t="shared" si="142"/>
        <v>198200</v>
      </c>
      <c r="L254" s="70"/>
      <c r="M254" s="70">
        <f t="shared" si="143"/>
        <v>198200</v>
      </c>
      <c r="N254" s="70"/>
      <c r="O254" s="70">
        <f t="shared" si="144"/>
        <v>198200</v>
      </c>
      <c r="P254" s="70"/>
      <c r="Q254" s="70">
        <f t="shared" si="145"/>
        <v>198200</v>
      </c>
      <c r="R254" s="70">
        <v>-50000</v>
      </c>
      <c r="S254" s="70">
        <f t="shared" si="146"/>
        <v>148200</v>
      </c>
      <c r="T254" s="70"/>
      <c r="U254" s="70">
        <f t="shared" si="147"/>
        <v>148200</v>
      </c>
      <c r="V254" s="70"/>
      <c r="W254" s="70">
        <f t="shared" si="148"/>
        <v>148200</v>
      </c>
      <c r="X254" s="70">
        <v>10000</v>
      </c>
      <c r="Y254" s="70">
        <f t="shared" si="139"/>
        <v>158200</v>
      </c>
      <c r="Z254" s="70"/>
      <c r="AA254" s="70">
        <f t="shared" si="124"/>
        <v>158200</v>
      </c>
      <c r="AB254" s="70"/>
      <c r="AC254" s="70">
        <f t="shared" si="125"/>
        <v>158200</v>
      </c>
      <c r="AD254" s="105"/>
      <c r="AE254" s="105"/>
    </row>
    <row r="255" spans="1:31" s="22" customFormat="1" ht="21" customHeight="1">
      <c r="A255" s="56"/>
      <c r="B255" s="72"/>
      <c r="C255" s="76">
        <v>4280</v>
      </c>
      <c r="D255" s="36" t="s">
        <v>233</v>
      </c>
      <c r="E255" s="70">
        <v>7800</v>
      </c>
      <c r="F255" s="70"/>
      <c r="G255" s="70">
        <f t="shared" si="140"/>
        <v>7800</v>
      </c>
      <c r="H255" s="70"/>
      <c r="I255" s="70">
        <f t="shared" si="141"/>
        <v>7800</v>
      </c>
      <c r="J255" s="70"/>
      <c r="K255" s="70">
        <f t="shared" si="142"/>
        <v>7800</v>
      </c>
      <c r="L255" s="70"/>
      <c r="M255" s="70">
        <f t="shared" si="143"/>
        <v>7800</v>
      </c>
      <c r="N255" s="70"/>
      <c r="O255" s="70">
        <f t="shared" si="144"/>
        <v>7800</v>
      </c>
      <c r="P255" s="70"/>
      <c r="Q255" s="70">
        <f t="shared" si="145"/>
        <v>7800</v>
      </c>
      <c r="R255" s="70"/>
      <c r="S255" s="70">
        <f t="shared" si="146"/>
        <v>7800</v>
      </c>
      <c r="T255" s="70"/>
      <c r="U255" s="70">
        <f t="shared" si="147"/>
        <v>7800</v>
      </c>
      <c r="V255" s="70"/>
      <c r="W255" s="70">
        <f t="shared" si="148"/>
        <v>7800</v>
      </c>
      <c r="X255" s="70"/>
      <c r="Y255" s="70">
        <f t="shared" si="139"/>
        <v>7800</v>
      </c>
      <c r="Z255" s="70"/>
      <c r="AA255" s="70">
        <f t="shared" si="124"/>
        <v>7800</v>
      </c>
      <c r="AB255" s="70"/>
      <c r="AC255" s="70">
        <f t="shared" si="125"/>
        <v>7800</v>
      </c>
      <c r="AD255" s="105"/>
      <c r="AE255" s="105"/>
    </row>
    <row r="256" spans="1:31" s="22" customFormat="1" ht="21" customHeight="1">
      <c r="A256" s="56"/>
      <c r="B256" s="72"/>
      <c r="C256" s="76">
        <v>4300</v>
      </c>
      <c r="D256" s="36" t="s">
        <v>103</v>
      </c>
      <c r="E256" s="70">
        <v>41000</v>
      </c>
      <c r="F256" s="70"/>
      <c r="G256" s="70">
        <f t="shared" si="140"/>
        <v>41000</v>
      </c>
      <c r="H256" s="70"/>
      <c r="I256" s="70">
        <f t="shared" si="141"/>
        <v>41000</v>
      </c>
      <c r="J256" s="70"/>
      <c r="K256" s="70">
        <f t="shared" si="142"/>
        <v>41000</v>
      </c>
      <c r="L256" s="70"/>
      <c r="M256" s="70">
        <f t="shared" si="143"/>
        <v>41000</v>
      </c>
      <c r="N256" s="70"/>
      <c r="O256" s="70">
        <f t="shared" si="144"/>
        <v>41000</v>
      </c>
      <c r="P256" s="70"/>
      <c r="Q256" s="70">
        <f t="shared" si="145"/>
        <v>41000</v>
      </c>
      <c r="R256" s="70"/>
      <c r="S256" s="70">
        <f t="shared" si="146"/>
        <v>41000</v>
      </c>
      <c r="T256" s="70"/>
      <c r="U256" s="70">
        <f t="shared" si="147"/>
        <v>41000</v>
      </c>
      <c r="V256" s="70"/>
      <c r="W256" s="70">
        <f t="shared" si="148"/>
        <v>41000</v>
      </c>
      <c r="X256" s="70"/>
      <c r="Y256" s="70">
        <f t="shared" si="139"/>
        <v>41000</v>
      </c>
      <c r="Z256" s="70"/>
      <c r="AA256" s="70">
        <f t="shared" si="124"/>
        <v>41000</v>
      </c>
      <c r="AB256" s="70"/>
      <c r="AC256" s="70">
        <f t="shared" si="125"/>
        <v>41000</v>
      </c>
      <c r="AD256" s="105"/>
      <c r="AE256" s="105"/>
    </row>
    <row r="257" spans="1:31" s="22" customFormat="1" ht="21" customHeight="1">
      <c r="A257" s="56"/>
      <c r="B257" s="72"/>
      <c r="C257" s="76">
        <v>4350</v>
      </c>
      <c r="D257" s="36" t="s">
        <v>245</v>
      </c>
      <c r="E257" s="70">
        <v>5400</v>
      </c>
      <c r="F257" s="70"/>
      <c r="G257" s="70">
        <f t="shared" si="140"/>
        <v>5400</v>
      </c>
      <c r="H257" s="70"/>
      <c r="I257" s="70">
        <f t="shared" si="141"/>
        <v>5400</v>
      </c>
      <c r="J257" s="70"/>
      <c r="K257" s="70">
        <f t="shared" si="142"/>
        <v>5400</v>
      </c>
      <c r="L257" s="70"/>
      <c r="M257" s="70">
        <f t="shared" si="143"/>
        <v>5400</v>
      </c>
      <c r="N257" s="70"/>
      <c r="O257" s="70">
        <f t="shared" si="144"/>
        <v>5400</v>
      </c>
      <c r="P257" s="70"/>
      <c r="Q257" s="70">
        <f t="shared" si="145"/>
        <v>5400</v>
      </c>
      <c r="R257" s="70"/>
      <c r="S257" s="70">
        <f t="shared" si="146"/>
        <v>5400</v>
      </c>
      <c r="T257" s="70"/>
      <c r="U257" s="70">
        <f t="shared" si="147"/>
        <v>5400</v>
      </c>
      <c r="V257" s="70"/>
      <c r="W257" s="70">
        <f t="shared" si="148"/>
        <v>5400</v>
      </c>
      <c r="X257" s="70"/>
      <c r="Y257" s="70">
        <f t="shared" si="139"/>
        <v>5400</v>
      </c>
      <c r="Z257" s="70"/>
      <c r="AA257" s="70">
        <f t="shared" si="124"/>
        <v>5400</v>
      </c>
      <c r="AB257" s="70"/>
      <c r="AC257" s="70">
        <f t="shared" si="125"/>
        <v>5400</v>
      </c>
      <c r="AD257" s="105"/>
      <c r="AE257" s="105"/>
    </row>
    <row r="258" spans="1:31" s="22" customFormat="1" ht="24">
      <c r="A258" s="56"/>
      <c r="B258" s="72"/>
      <c r="C258" s="76">
        <v>4370</v>
      </c>
      <c r="D258" s="12" t="s">
        <v>269</v>
      </c>
      <c r="E258" s="70">
        <v>16400</v>
      </c>
      <c r="F258" s="70"/>
      <c r="G258" s="70">
        <f t="shared" si="140"/>
        <v>16400</v>
      </c>
      <c r="H258" s="70"/>
      <c r="I258" s="70">
        <f t="shared" si="141"/>
        <v>16400</v>
      </c>
      <c r="J258" s="70"/>
      <c r="K258" s="70">
        <f t="shared" si="142"/>
        <v>16400</v>
      </c>
      <c r="L258" s="70"/>
      <c r="M258" s="70">
        <f t="shared" si="143"/>
        <v>16400</v>
      </c>
      <c r="N258" s="70"/>
      <c r="O258" s="70">
        <f t="shared" si="144"/>
        <v>16400</v>
      </c>
      <c r="P258" s="70"/>
      <c r="Q258" s="70">
        <f t="shared" si="145"/>
        <v>16400</v>
      </c>
      <c r="R258" s="70"/>
      <c r="S258" s="70">
        <f t="shared" si="146"/>
        <v>16400</v>
      </c>
      <c r="T258" s="70"/>
      <c r="U258" s="70">
        <f t="shared" si="147"/>
        <v>16400</v>
      </c>
      <c r="V258" s="70"/>
      <c r="W258" s="70">
        <f t="shared" si="148"/>
        <v>16400</v>
      </c>
      <c r="X258" s="70"/>
      <c r="Y258" s="70">
        <f t="shared" si="139"/>
        <v>16400</v>
      </c>
      <c r="Z258" s="70"/>
      <c r="AA258" s="70">
        <f t="shared" si="124"/>
        <v>16400</v>
      </c>
      <c r="AB258" s="70"/>
      <c r="AC258" s="70">
        <f t="shared" si="125"/>
        <v>16400</v>
      </c>
      <c r="AD258" s="105"/>
      <c r="AE258" s="105"/>
    </row>
    <row r="259" spans="1:31" s="22" customFormat="1" ht="24">
      <c r="A259" s="56"/>
      <c r="B259" s="72"/>
      <c r="C259" s="76">
        <v>4390</v>
      </c>
      <c r="D259" s="36" t="s">
        <v>375</v>
      </c>
      <c r="E259" s="70">
        <v>1500</v>
      </c>
      <c r="F259" s="70"/>
      <c r="G259" s="70">
        <f t="shared" si="140"/>
        <v>1500</v>
      </c>
      <c r="H259" s="70"/>
      <c r="I259" s="70">
        <f t="shared" si="141"/>
        <v>1500</v>
      </c>
      <c r="J259" s="70"/>
      <c r="K259" s="70">
        <f t="shared" si="142"/>
        <v>1500</v>
      </c>
      <c r="L259" s="70"/>
      <c r="M259" s="70">
        <f t="shared" si="143"/>
        <v>1500</v>
      </c>
      <c r="N259" s="70"/>
      <c r="O259" s="70">
        <f t="shared" si="144"/>
        <v>1500</v>
      </c>
      <c r="P259" s="70"/>
      <c r="Q259" s="70">
        <f t="shared" si="145"/>
        <v>1500</v>
      </c>
      <c r="R259" s="70"/>
      <c r="S259" s="70">
        <f t="shared" si="146"/>
        <v>1500</v>
      </c>
      <c r="T259" s="70"/>
      <c r="U259" s="70">
        <f t="shared" si="147"/>
        <v>1500</v>
      </c>
      <c r="V259" s="70"/>
      <c r="W259" s="70">
        <f t="shared" si="148"/>
        <v>1500</v>
      </c>
      <c r="X259" s="70"/>
      <c r="Y259" s="70">
        <f t="shared" si="139"/>
        <v>1500</v>
      </c>
      <c r="Z259" s="70"/>
      <c r="AA259" s="70">
        <f t="shared" si="124"/>
        <v>1500</v>
      </c>
      <c r="AB259" s="70"/>
      <c r="AC259" s="70">
        <f t="shared" si="125"/>
        <v>1500</v>
      </c>
      <c r="AD259" s="105"/>
      <c r="AE259" s="105"/>
    </row>
    <row r="260" spans="1:31" s="22" customFormat="1" ht="21" customHeight="1">
      <c r="A260" s="56"/>
      <c r="B260" s="72"/>
      <c r="C260" s="76">
        <v>4410</v>
      </c>
      <c r="D260" s="36" t="s">
        <v>114</v>
      </c>
      <c r="E260" s="70">
        <v>6500</v>
      </c>
      <c r="F260" s="70"/>
      <c r="G260" s="70">
        <f t="shared" si="140"/>
        <v>6500</v>
      </c>
      <c r="H260" s="70"/>
      <c r="I260" s="70">
        <f t="shared" si="141"/>
        <v>6500</v>
      </c>
      <c r="J260" s="70"/>
      <c r="K260" s="70">
        <f t="shared" si="142"/>
        <v>6500</v>
      </c>
      <c r="L260" s="70"/>
      <c r="M260" s="70">
        <f t="shared" si="143"/>
        <v>6500</v>
      </c>
      <c r="N260" s="70"/>
      <c r="O260" s="70">
        <f t="shared" si="144"/>
        <v>6500</v>
      </c>
      <c r="P260" s="70"/>
      <c r="Q260" s="70">
        <f t="shared" si="145"/>
        <v>6500</v>
      </c>
      <c r="R260" s="70"/>
      <c r="S260" s="70">
        <f t="shared" si="146"/>
        <v>6500</v>
      </c>
      <c r="T260" s="70"/>
      <c r="U260" s="70">
        <f t="shared" si="147"/>
        <v>6500</v>
      </c>
      <c r="V260" s="70"/>
      <c r="W260" s="70">
        <f t="shared" si="148"/>
        <v>6500</v>
      </c>
      <c r="X260" s="70"/>
      <c r="Y260" s="70">
        <f t="shared" si="139"/>
        <v>6500</v>
      </c>
      <c r="Z260" s="70"/>
      <c r="AA260" s="70">
        <f t="shared" si="124"/>
        <v>6500</v>
      </c>
      <c r="AB260" s="70"/>
      <c r="AC260" s="70">
        <f t="shared" si="125"/>
        <v>6500</v>
      </c>
      <c r="AD260" s="105"/>
      <c r="AE260" s="105"/>
    </row>
    <row r="261" spans="1:31" s="22" customFormat="1" ht="21" customHeight="1">
      <c r="A261" s="56"/>
      <c r="B261" s="72"/>
      <c r="C261" s="76">
        <v>4430</v>
      </c>
      <c r="D261" s="36" t="s">
        <v>118</v>
      </c>
      <c r="E261" s="70">
        <v>3800</v>
      </c>
      <c r="F261" s="70"/>
      <c r="G261" s="70">
        <f t="shared" si="140"/>
        <v>3800</v>
      </c>
      <c r="H261" s="70"/>
      <c r="I261" s="70">
        <f t="shared" si="141"/>
        <v>3800</v>
      </c>
      <c r="J261" s="70"/>
      <c r="K261" s="70">
        <f t="shared" si="142"/>
        <v>3800</v>
      </c>
      <c r="L261" s="70"/>
      <c r="M261" s="70">
        <f t="shared" si="143"/>
        <v>3800</v>
      </c>
      <c r="N261" s="70"/>
      <c r="O261" s="70">
        <f t="shared" si="144"/>
        <v>3800</v>
      </c>
      <c r="P261" s="70"/>
      <c r="Q261" s="70">
        <f t="shared" si="145"/>
        <v>3800</v>
      </c>
      <c r="R261" s="70"/>
      <c r="S261" s="70">
        <f t="shared" si="146"/>
        <v>3800</v>
      </c>
      <c r="T261" s="70"/>
      <c r="U261" s="70">
        <f t="shared" si="147"/>
        <v>3800</v>
      </c>
      <c r="V261" s="70"/>
      <c r="W261" s="70">
        <f t="shared" si="148"/>
        <v>3800</v>
      </c>
      <c r="X261" s="70"/>
      <c r="Y261" s="70">
        <f t="shared" si="139"/>
        <v>3800</v>
      </c>
      <c r="Z261" s="70"/>
      <c r="AA261" s="70">
        <f t="shared" si="124"/>
        <v>3800</v>
      </c>
      <c r="AB261" s="70"/>
      <c r="AC261" s="70">
        <f t="shared" si="125"/>
        <v>3800</v>
      </c>
      <c r="AD261" s="105"/>
      <c r="AE261" s="105"/>
    </row>
    <row r="262" spans="1:31" s="22" customFormat="1" ht="24">
      <c r="A262" s="56"/>
      <c r="B262" s="72"/>
      <c r="C262" s="76">
        <v>4440</v>
      </c>
      <c r="D262" s="36" t="s">
        <v>112</v>
      </c>
      <c r="E262" s="70">
        <v>194159</v>
      </c>
      <c r="F262" s="70"/>
      <c r="G262" s="70">
        <f t="shared" si="140"/>
        <v>194159</v>
      </c>
      <c r="H262" s="70"/>
      <c r="I262" s="70">
        <f t="shared" si="141"/>
        <v>194159</v>
      </c>
      <c r="J262" s="70"/>
      <c r="K262" s="70">
        <f t="shared" si="142"/>
        <v>194159</v>
      </c>
      <c r="L262" s="70"/>
      <c r="M262" s="70">
        <f t="shared" si="143"/>
        <v>194159</v>
      </c>
      <c r="N262" s="70"/>
      <c r="O262" s="70">
        <f t="shared" si="144"/>
        <v>194159</v>
      </c>
      <c r="P262" s="70"/>
      <c r="Q262" s="70">
        <f t="shared" si="145"/>
        <v>194159</v>
      </c>
      <c r="R262" s="70"/>
      <c r="S262" s="70">
        <f t="shared" si="146"/>
        <v>194159</v>
      </c>
      <c r="T262" s="70"/>
      <c r="U262" s="70">
        <f t="shared" si="147"/>
        <v>194159</v>
      </c>
      <c r="V262" s="70"/>
      <c r="W262" s="70">
        <f t="shared" si="148"/>
        <v>194159</v>
      </c>
      <c r="X262" s="70"/>
      <c r="Y262" s="70">
        <f t="shared" si="139"/>
        <v>194159</v>
      </c>
      <c r="Z262" s="70"/>
      <c r="AA262" s="70">
        <f t="shared" si="124"/>
        <v>194159</v>
      </c>
      <c r="AB262" s="70"/>
      <c r="AC262" s="70">
        <f t="shared" si="125"/>
        <v>194159</v>
      </c>
      <c r="AD262" s="105"/>
      <c r="AE262" s="105"/>
    </row>
    <row r="263" spans="1:31" s="22" customFormat="1" ht="24">
      <c r="A263" s="56"/>
      <c r="B263" s="72"/>
      <c r="C263" s="76">
        <v>4700</v>
      </c>
      <c r="D263" s="36" t="s">
        <v>321</v>
      </c>
      <c r="E263" s="70">
        <v>3500</v>
      </c>
      <c r="F263" s="70"/>
      <c r="G263" s="70">
        <f t="shared" si="140"/>
        <v>3500</v>
      </c>
      <c r="H263" s="70"/>
      <c r="I263" s="70">
        <f t="shared" si="141"/>
        <v>3500</v>
      </c>
      <c r="J263" s="70"/>
      <c r="K263" s="70">
        <f t="shared" si="142"/>
        <v>3500</v>
      </c>
      <c r="L263" s="70"/>
      <c r="M263" s="70">
        <f t="shared" si="143"/>
        <v>3500</v>
      </c>
      <c r="N263" s="70"/>
      <c r="O263" s="70">
        <f t="shared" si="144"/>
        <v>3500</v>
      </c>
      <c r="P263" s="70"/>
      <c r="Q263" s="70">
        <f t="shared" si="145"/>
        <v>3500</v>
      </c>
      <c r="R263" s="70"/>
      <c r="S263" s="70">
        <f t="shared" si="146"/>
        <v>3500</v>
      </c>
      <c r="T263" s="70"/>
      <c r="U263" s="70">
        <f t="shared" si="147"/>
        <v>3500</v>
      </c>
      <c r="V263" s="70"/>
      <c r="W263" s="70">
        <f t="shared" si="148"/>
        <v>3500</v>
      </c>
      <c r="X263" s="70"/>
      <c r="Y263" s="70">
        <f t="shared" si="139"/>
        <v>3500</v>
      </c>
      <c r="Z263" s="70"/>
      <c r="AA263" s="70">
        <f t="shared" si="124"/>
        <v>3500</v>
      </c>
      <c r="AB263" s="70"/>
      <c r="AC263" s="70">
        <f t="shared" si="125"/>
        <v>3500</v>
      </c>
      <c r="AD263" s="105"/>
      <c r="AE263" s="105"/>
    </row>
    <row r="264" spans="1:31" s="22" customFormat="1" ht="24">
      <c r="A264" s="56"/>
      <c r="B264" s="72"/>
      <c r="C264" s="76">
        <v>4740</v>
      </c>
      <c r="D264" s="12" t="s">
        <v>270</v>
      </c>
      <c r="E264" s="70">
        <v>3500</v>
      </c>
      <c r="F264" s="70"/>
      <c r="G264" s="70">
        <f t="shared" si="140"/>
        <v>3500</v>
      </c>
      <c r="H264" s="70"/>
      <c r="I264" s="70">
        <f t="shared" si="141"/>
        <v>3500</v>
      </c>
      <c r="J264" s="70"/>
      <c r="K264" s="70">
        <f t="shared" si="142"/>
        <v>3500</v>
      </c>
      <c r="L264" s="70"/>
      <c r="M264" s="70">
        <f t="shared" si="143"/>
        <v>3500</v>
      </c>
      <c r="N264" s="70"/>
      <c r="O264" s="70">
        <f t="shared" si="144"/>
        <v>3500</v>
      </c>
      <c r="P264" s="70"/>
      <c r="Q264" s="70">
        <f t="shared" si="145"/>
        <v>3500</v>
      </c>
      <c r="R264" s="70"/>
      <c r="S264" s="70">
        <f t="shared" si="146"/>
        <v>3500</v>
      </c>
      <c r="T264" s="70"/>
      <c r="U264" s="70">
        <f t="shared" si="147"/>
        <v>3500</v>
      </c>
      <c r="V264" s="70"/>
      <c r="W264" s="70">
        <f t="shared" si="148"/>
        <v>3500</v>
      </c>
      <c r="X264" s="70"/>
      <c r="Y264" s="70">
        <f t="shared" si="139"/>
        <v>3500</v>
      </c>
      <c r="Z264" s="70"/>
      <c r="AA264" s="70">
        <f aca="true" t="shared" si="149" ref="AA264:AA327">SUM(Y264:Z264)</f>
        <v>3500</v>
      </c>
      <c r="AB264" s="70"/>
      <c r="AC264" s="70">
        <f aca="true" t="shared" si="150" ref="AC264:AC327">SUM(AA264:AB264)</f>
        <v>3500</v>
      </c>
      <c r="AD264" s="105"/>
      <c r="AE264" s="105"/>
    </row>
    <row r="265" spans="1:31" s="22" customFormat="1" ht="24">
      <c r="A265" s="56"/>
      <c r="B265" s="72"/>
      <c r="C265" s="76">
        <v>4750</v>
      </c>
      <c r="D265" s="12" t="s">
        <v>374</v>
      </c>
      <c r="E265" s="70">
        <v>12750</v>
      </c>
      <c r="F265" s="70"/>
      <c r="G265" s="70">
        <f t="shared" si="140"/>
        <v>12750</v>
      </c>
      <c r="H265" s="70"/>
      <c r="I265" s="70">
        <f t="shared" si="141"/>
        <v>12750</v>
      </c>
      <c r="J265" s="70"/>
      <c r="K265" s="70">
        <f t="shared" si="142"/>
        <v>12750</v>
      </c>
      <c r="L265" s="70"/>
      <c r="M265" s="70">
        <f t="shared" si="143"/>
        <v>12750</v>
      </c>
      <c r="N265" s="70"/>
      <c r="O265" s="70">
        <f t="shared" si="144"/>
        <v>12750</v>
      </c>
      <c r="P265" s="70"/>
      <c r="Q265" s="70">
        <f t="shared" si="145"/>
        <v>12750</v>
      </c>
      <c r="R265" s="70"/>
      <c r="S265" s="70">
        <f t="shared" si="146"/>
        <v>12750</v>
      </c>
      <c r="T265" s="70"/>
      <c r="U265" s="70">
        <f t="shared" si="147"/>
        <v>12750</v>
      </c>
      <c r="V265" s="70"/>
      <c r="W265" s="70">
        <f t="shared" si="148"/>
        <v>12750</v>
      </c>
      <c r="X265" s="70"/>
      <c r="Y265" s="70">
        <f t="shared" si="139"/>
        <v>12750</v>
      </c>
      <c r="Z265" s="70"/>
      <c r="AA265" s="70">
        <f t="shared" si="149"/>
        <v>12750</v>
      </c>
      <c r="AB265" s="70"/>
      <c r="AC265" s="70">
        <f t="shared" si="150"/>
        <v>12750</v>
      </c>
      <c r="AD265" s="105"/>
      <c r="AE265" s="105"/>
    </row>
    <row r="266" spans="1:33" s="22" customFormat="1" ht="21" customHeight="1">
      <c r="A266" s="56"/>
      <c r="B266" s="72"/>
      <c r="C266" s="76">
        <v>6050</v>
      </c>
      <c r="D266" s="12" t="s">
        <v>97</v>
      </c>
      <c r="E266" s="70">
        <f>970000+200000+510000</f>
        <v>1680000</v>
      </c>
      <c r="F266" s="70"/>
      <c r="G266" s="70">
        <f t="shared" si="140"/>
        <v>1680000</v>
      </c>
      <c r="H266" s="70"/>
      <c r="I266" s="70">
        <f t="shared" si="141"/>
        <v>1680000</v>
      </c>
      <c r="J266" s="70"/>
      <c r="K266" s="70">
        <f t="shared" si="142"/>
        <v>1680000</v>
      </c>
      <c r="L266" s="70"/>
      <c r="M266" s="70">
        <f t="shared" si="143"/>
        <v>1680000</v>
      </c>
      <c r="N266" s="70"/>
      <c r="O266" s="70">
        <f t="shared" si="144"/>
        <v>1680000</v>
      </c>
      <c r="P266" s="70"/>
      <c r="Q266" s="70">
        <f t="shared" si="145"/>
        <v>1680000</v>
      </c>
      <c r="R266" s="70"/>
      <c r="S266" s="70">
        <f t="shared" si="146"/>
        <v>1680000</v>
      </c>
      <c r="T266" s="70"/>
      <c r="U266" s="70">
        <f t="shared" si="147"/>
        <v>1680000</v>
      </c>
      <c r="V266" s="70"/>
      <c r="W266" s="70">
        <f t="shared" si="148"/>
        <v>1680000</v>
      </c>
      <c r="X266" s="70"/>
      <c r="Y266" s="70">
        <f t="shared" si="139"/>
        <v>1680000</v>
      </c>
      <c r="Z266" s="70"/>
      <c r="AA266" s="70">
        <f t="shared" si="149"/>
        <v>1680000</v>
      </c>
      <c r="AB266" s="70"/>
      <c r="AC266" s="70">
        <f t="shared" si="150"/>
        <v>1680000</v>
      </c>
      <c r="AD266" s="105"/>
      <c r="AE266" s="105"/>
      <c r="AF266" s="105"/>
      <c r="AG266" s="105"/>
    </row>
    <row r="267" spans="1:31" s="22" customFormat="1" ht="21.75" customHeight="1">
      <c r="A267" s="56"/>
      <c r="B267" s="61" t="s">
        <v>144</v>
      </c>
      <c r="C267" s="40"/>
      <c r="D267" s="12" t="s">
        <v>145</v>
      </c>
      <c r="E267" s="60">
        <f aca="true" t="shared" si="151" ref="E267:Z267">SUM(E268:E273)</f>
        <v>298200</v>
      </c>
      <c r="F267" s="60">
        <f t="shared" si="151"/>
        <v>0</v>
      </c>
      <c r="G267" s="60">
        <f t="shared" si="151"/>
        <v>298200</v>
      </c>
      <c r="H267" s="60">
        <f t="shared" si="151"/>
        <v>0</v>
      </c>
      <c r="I267" s="60">
        <f t="shared" si="151"/>
        <v>298200</v>
      </c>
      <c r="J267" s="60">
        <f t="shared" si="151"/>
        <v>0</v>
      </c>
      <c r="K267" s="60">
        <f t="shared" si="151"/>
        <v>298200</v>
      </c>
      <c r="L267" s="60">
        <f t="shared" si="151"/>
        <v>0</v>
      </c>
      <c r="M267" s="60">
        <f t="shared" si="151"/>
        <v>298200</v>
      </c>
      <c r="N267" s="60">
        <f t="shared" si="151"/>
        <v>0</v>
      </c>
      <c r="O267" s="60">
        <f t="shared" si="151"/>
        <v>298200</v>
      </c>
      <c r="P267" s="60">
        <f t="shared" si="151"/>
        <v>0</v>
      </c>
      <c r="Q267" s="60">
        <f t="shared" si="151"/>
        <v>298200</v>
      </c>
      <c r="R267" s="60">
        <f t="shared" si="151"/>
        <v>0</v>
      </c>
      <c r="S267" s="60">
        <f t="shared" si="151"/>
        <v>298200</v>
      </c>
      <c r="T267" s="60">
        <f t="shared" si="151"/>
        <v>0</v>
      </c>
      <c r="U267" s="60">
        <f t="shared" si="151"/>
        <v>298200</v>
      </c>
      <c r="V267" s="60">
        <f t="shared" si="151"/>
        <v>-4880</v>
      </c>
      <c r="W267" s="60">
        <f t="shared" si="151"/>
        <v>293320</v>
      </c>
      <c r="X267" s="60">
        <f t="shared" si="151"/>
        <v>0</v>
      </c>
      <c r="Y267" s="60">
        <f t="shared" si="151"/>
        <v>293320</v>
      </c>
      <c r="Z267" s="60">
        <f t="shared" si="151"/>
        <v>0</v>
      </c>
      <c r="AA267" s="70">
        <f t="shared" si="149"/>
        <v>293320</v>
      </c>
      <c r="AB267" s="60">
        <f>SUM(AB268:AB273)</f>
        <v>0</v>
      </c>
      <c r="AC267" s="70">
        <f t="shared" si="150"/>
        <v>293320</v>
      </c>
      <c r="AD267" s="105"/>
      <c r="AE267" s="105"/>
    </row>
    <row r="268" spans="1:31" s="22" customFormat="1" ht="21.75" customHeight="1">
      <c r="A268" s="56"/>
      <c r="B268" s="61"/>
      <c r="C268" s="40">
        <v>4110</v>
      </c>
      <c r="D268" s="36" t="s">
        <v>110</v>
      </c>
      <c r="E268" s="60">
        <f>2765+43</f>
        <v>2808</v>
      </c>
      <c r="F268" s="60"/>
      <c r="G268" s="60">
        <f aca="true" t="shared" si="152" ref="G268:G273">SUM(E268:F268)</f>
        <v>2808</v>
      </c>
      <c r="H268" s="60"/>
      <c r="I268" s="60">
        <f aca="true" t="shared" si="153" ref="I268:I273">SUM(G268:H268)</f>
        <v>2808</v>
      </c>
      <c r="J268" s="60"/>
      <c r="K268" s="60">
        <f aca="true" t="shared" si="154" ref="K268:K273">SUM(I268:J268)</f>
        <v>2808</v>
      </c>
      <c r="L268" s="60"/>
      <c r="M268" s="60">
        <f aca="true" t="shared" si="155" ref="M268:M273">SUM(K268:L268)</f>
        <v>2808</v>
      </c>
      <c r="N268" s="60"/>
      <c r="O268" s="60">
        <f aca="true" t="shared" si="156" ref="O268:O273">SUM(M268:N268)</f>
        <v>2808</v>
      </c>
      <c r="P268" s="60"/>
      <c r="Q268" s="60">
        <f aca="true" t="shared" si="157" ref="Q268:Q273">SUM(O268:P268)</f>
        <v>2808</v>
      </c>
      <c r="R268" s="60"/>
      <c r="S268" s="60">
        <f aca="true" t="shared" si="158" ref="S268:S273">SUM(Q268:R268)</f>
        <v>2808</v>
      </c>
      <c r="T268" s="60"/>
      <c r="U268" s="60">
        <f aca="true" t="shared" si="159" ref="U268:U273">SUM(S268:T268)</f>
        <v>2808</v>
      </c>
      <c r="V268" s="60"/>
      <c r="W268" s="60">
        <f aca="true" t="shared" si="160" ref="W268:W273">SUM(U268:V268)</f>
        <v>2808</v>
      </c>
      <c r="X268" s="60"/>
      <c r="Y268" s="60">
        <f aca="true" t="shared" si="161" ref="Y268:Y273">SUM(W268:X268)</f>
        <v>2808</v>
      </c>
      <c r="Z268" s="60"/>
      <c r="AA268" s="70">
        <f t="shared" si="149"/>
        <v>2808</v>
      </c>
      <c r="AB268" s="60"/>
      <c r="AC268" s="70">
        <f t="shared" si="150"/>
        <v>2808</v>
      </c>
      <c r="AD268" s="105"/>
      <c r="AE268" s="105"/>
    </row>
    <row r="269" spans="1:31" s="22" customFormat="1" ht="21.75" customHeight="1">
      <c r="A269" s="56"/>
      <c r="B269" s="61"/>
      <c r="C269" s="40">
        <v>4120</v>
      </c>
      <c r="D269" s="36" t="s">
        <v>111</v>
      </c>
      <c r="E269" s="60">
        <v>392</v>
      </c>
      <c r="F269" s="60"/>
      <c r="G269" s="60">
        <f t="shared" si="152"/>
        <v>392</v>
      </c>
      <c r="H269" s="60"/>
      <c r="I269" s="60">
        <f t="shared" si="153"/>
        <v>392</v>
      </c>
      <c r="J269" s="60"/>
      <c r="K269" s="60">
        <f t="shared" si="154"/>
        <v>392</v>
      </c>
      <c r="L269" s="60"/>
      <c r="M269" s="60">
        <f t="shared" si="155"/>
        <v>392</v>
      </c>
      <c r="N269" s="60"/>
      <c r="O269" s="60">
        <f t="shared" si="156"/>
        <v>392</v>
      </c>
      <c r="P269" s="60"/>
      <c r="Q269" s="60">
        <f t="shared" si="157"/>
        <v>392</v>
      </c>
      <c r="R269" s="60"/>
      <c r="S269" s="60">
        <f t="shared" si="158"/>
        <v>392</v>
      </c>
      <c r="T269" s="60"/>
      <c r="U269" s="60">
        <f t="shared" si="159"/>
        <v>392</v>
      </c>
      <c r="V269" s="60"/>
      <c r="W269" s="60">
        <f t="shared" si="160"/>
        <v>392</v>
      </c>
      <c r="X269" s="60"/>
      <c r="Y269" s="60">
        <f t="shared" si="161"/>
        <v>392</v>
      </c>
      <c r="Z269" s="60"/>
      <c r="AA269" s="70">
        <f t="shared" si="149"/>
        <v>392</v>
      </c>
      <c r="AB269" s="60"/>
      <c r="AC269" s="70">
        <f t="shared" si="150"/>
        <v>392</v>
      </c>
      <c r="AD269" s="105"/>
      <c r="AE269" s="105"/>
    </row>
    <row r="270" spans="1:31" s="22" customFormat="1" ht="21.75" customHeight="1">
      <c r="A270" s="56"/>
      <c r="B270" s="61"/>
      <c r="C270" s="40">
        <v>4170</v>
      </c>
      <c r="D270" s="36" t="s">
        <v>227</v>
      </c>
      <c r="E270" s="60">
        <v>25000</v>
      </c>
      <c r="F270" s="60"/>
      <c r="G270" s="60">
        <f t="shared" si="152"/>
        <v>25000</v>
      </c>
      <c r="H270" s="60"/>
      <c r="I270" s="60">
        <f t="shared" si="153"/>
        <v>25000</v>
      </c>
      <c r="J270" s="60"/>
      <c r="K270" s="60">
        <f t="shared" si="154"/>
        <v>25000</v>
      </c>
      <c r="L270" s="60"/>
      <c r="M270" s="60">
        <f t="shared" si="155"/>
        <v>25000</v>
      </c>
      <c r="N270" s="60"/>
      <c r="O270" s="60">
        <f t="shared" si="156"/>
        <v>25000</v>
      </c>
      <c r="P270" s="60"/>
      <c r="Q270" s="60">
        <f t="shared" si="157"/>
        <v>25000</v>
      </c>
      <c r="R270" s="60"/>
      <c r="S270" s="60">
        <f t="shared" si="158"/>
        <v>25000</v>
      </c>
      <c r="T270" s="60"/>
      <c r="U270" s="60">
        <f t="shared" si="159"/>
        <v>25000</v>
      </c>
      <c r="V270" s="60"/>
      <c r="W270" s="60">
        <f t="shared" si="160"/>
        <v>25000</v>
      </c>
      <c r="X270" s="60"/>
      <c r="Y270" s="60">
        <f t="shared" si="161"/>
        <v>25000</v>
      </c>
      <c r="Z270" s="60"/>
      <c r="AA270" s="70">
        <f t="shared" si="149"/>
        <v>25000</v>
      </c>
      <c r="AB270" s="60"/>
      <c r="AC270" s="70">
        <f t="shared" si="150"/>
        <v>25000</v>
      </c>
      <c r="AD270" s="105"/>
      <c r="AE270" s="105"/>
    </row>
    <row r="271" spans="1:31" s="22" customFormat="1" ht="21.75" customHeight="1">
      <c r="A271" s="56"/>
      <c r="B271" s="61"/>
      <c r="C271" s="40">
        <v>4210</v>
      </c>
      <c r="D271" s="12" t="s">
        <v>116</v>
      </c>
      <c r="E271" s="60">
        <f>40000+4000</f>
        <v>44000</v>
      </c>
      <c r="F271" s="60"/>
      <c r="G271" s="60">
        <f t="shared" si="152"/>
        <v>44000</v>
      </c>
      <c r="H271" s="60"/>
      <c r="I271" s="60">
        <f t="shared" si="153"/>
        <v>44000</v>
      </c>
      <c r="J271" s="60"/>
      <c r="K271" s="60">
        <f t="shared" si="154"/>
        <v>44000</v>
      </c>
      <c r="L271" s="60"/>
      <c r="M271" s="60">
        <f t="shared" si="155"/>
        <v>44000</v>
      </c>
      <c r="N271" s="60"/>
      <c r="O271" s="60">
        <f t="shared" si="156"/>
        <v>44000</v>
      </c>
      <c r="P271" s="60"/>
      <c r="Q271" s="60">
        <f t="shared" si="157"/>
        <v>44000</v>
      </c>
      <c r="R271" s="60"/>
      <c r="S271" s="60">
        <f t="shared" si="158"/>
        <v>44000</v>
      </c>
      <c r="T271" s="60"/>
      <c r="U271" s="60">
        <f t="shared" si="159"/>
        <v>44000</v>
      </c>
      <c r="V271" s="60"/>
      <c r="W271" s="60">
        <f t="shared" si="160"/>
        <v>44000</v>
      </c>
      <c r="X271" s="60"/>
      <c r="Y271" s="60">
        <f t="shared" si="161"/>
        <v>44000</v>
      </c>
      <c r="Z271" s="60"/>
      <c r="AA271" s="70">
        <f t="shared" si="149"/>
        <v>44000</v>
      </c>
      <c r="AB271" s="60">
        <v>4000</v>
      </c>
      <c r="AC271" s="70">
        <f t="shared" si="150"/>
        <v>48000</v>
      </c>
      <c r="AD271" s="105"/>
      <c r="AE271" s="105"/>
    </row>
    <row r="272" spans="1:31" s="22" customFormat="1" ht="21" customHeight="1">
      <c r="A272" s="56"/>
      <c r="B272" s="61"/>
      <c r="C272" s="40">
        <v>4300</v>
      </c>
      <c r="D272" s="12" t="s">
        <v>103</v>
      </c>
      <c r="E272" s="60">
        <f>202000+7000+8000+3000</f>
        <v>220000</v>
      </c>
      <c r="F272" s="60"/>
      <c r="G272" s="60">
        <f t="shared" si="152"/>
        <v>220000</v>
      </c>
      <c r="H272" s="60"/>
      <c r="I272" s="60">
        <f t="shared" si="153"/>
        <v>220000</v>
      </c>
      <c r="J272" s="60"/>
      <c r="K272" s="60">
        <f t="shared" si="154"/>
        <v>220000</v>
      </c>
      <c r="L272" s="60"/>
      <c r="M272" s="60">
        <f t="shared" si="155"/>
        <v>220000</v>
      </c>
      <c r="N272" s="60"/>
      <c r="O272" s="60">
        <f t="shared" si="156"/>
        <v>220000</v>
      </c>
      <c r="P272" s="60"/>
      <c r="Q272" s="60">
        <f t="shared" si="157"/>
        <v>220000</v>
      </c>
      <c r="R272" s="60"/>
      <c r="S272" s="60">
        <f t="shared" si="158"/>
        <v>220000</v>
      </c>
      <c r="T272" s="60"/>
      <c r="U272" s="60">
        <f t="shared" si="159"/>
        <v>220000</v>
      </c>
      <c r="V272" s="60">
        <v>-4880</v>
      </c>
      <c r="W272" s="60">
        <f t="shared" si="160"/>
        <v>215120</v>
      </c>
      <c r="X272" s="60"/>
      <c r="Y272" s="60">
        <f t="shared" si="161"/>
        <v>215120</v>
      </c>
      <c r="Z272" s="60"/>
      <c r="AA272" s="70">
        <f t="shared" si="149"/>
        <v>215120</v>
      </c>
      <c r="AB272" s="60">
        <v>-4000</v>
      </c>
      <c r="AC272" s="70">
        <f t="shared" si="150"/>
        <v>211120</v>
      </c>
      <c r="AD272" s="105"/>
      <c r="AE272" s="105"/>
    </row>
    <row r="273" spans="1:31" s="22" customFormat="1" ht="21" customHeight="1">
      <c r="A273" s="56"/>
      <c r="B273" s="61"/>
      <c r="C273" s="40">
        <v>4430</v>
      </c>
      <c r="D273" s="36" t="s">
        <v>118</v>
      </c>
      <c r="E273" s="60">
        <v>6000</v>
      </c>
      <c r="F273" s="60"/>
      <c r="G273" s="60">
        <f t="shared" si="152"/>
        <v>6000</v>
      </c>
      <c r="H273" s="60"/>
      <c r="I273" s="60">
        <f t="shared" si="153"/>
        <v>6000</v>
      </c>
      <c r="J273" s="60"/>
      <c r="K273" s="60">
        <f t="shared" si="154"/>
        <v>6000</v>
      </c>
      <c r="L273" s="60"/>
      <c r="M273" s="60">
        <f t="shared" si="155"/>
        <v>6000</v>
      </c>
      <c r="N273" s="60"/>
      <c r="O273" s="60">
        <f t="shared" si="156"/>
        <v>6000</v>
      </c>
      <c r="P273" s="60"/>
      <c r="Q273" s="60">
        <f t="shared" si="157"/>
        <v>6000</v>
      </c>
      <c r="R273" s="60"/>
      <c r="S273" s="60">
        <f t="shared" si="158"/>
        <v>6000</v>
      </c>
      <c r="T273" s="60"/>
      <c r="U273" s="60">
        <f t="shared" si="159"/>
        <v>6000</v>
      </c>
      <c r="V273" s="60"/>
      <c r="W273" s="60">
        <f t="shared" si="160"/>
        <v>6000</v>
      </c>
      <c r="X273" s="60"/>
      <c r="Y273" s="60">
        <f t="shared" si="161"/>
        <v>6000</v>
      </c>
      <c r="Z273" s="60"/>
      <c r="AA273" s="70">
        <f t="shared" si="149"/>
        <v>6000</v>
      </c>
      <c r="AB273" s="60"/>
      <c r="AC273" s="70">
        <f t="shared" si="150"/>
        <v>6000</v>
      </c>
      <c r="AD273" s="105"/>
      <c r="AE273" s="105"/>
    </row>
    <row r="274" spans="1:31" s="22" customFormat="1" ht="24" customHeight="1">
      <c r="A274" s="56"/>
      <c r="B274" s="77">
        <v>80146</v>
      </c>
      <c r="C274" s="59"/>
      <c r="D274" s="36" t="s">
        <v>177</v>
      </c>
      <c r="E274" s="70">
        <f aca="true" t="shared" si="162" ref="E274:J274">SUM(E275:E276)</f>
        <v>91441</v>
      </c>
      <c r="F274" s="70">
        <f t="shared" si="162"/>
        <v>0</v>
      </c>
      <c r="G274" s="70">
        <f t="shared" si="162"/>
        <v>91441</v>
      </c>
      <c r="H274" s="70">
        <f t="shared" si="162"/>
        <v>0</v>
      </c>
      <c r="I274" s="70">
        <f t="shared" si="162"/>
        <v>91441</v>
      </c>
      <c r="J274" s="70">
        <f t="shared" si="162"/>
        <v>0</v>
      </c>
      <c r="K274" s="70">
        <f aca="true" t="shared" si="163" ref="K274:Z274">SUM(K275:K277)</f>
        <v>91441</v>
      </c>
      <c r="L274" s="70">
        <f t="shared" si="163"/>
        <v>0</v>
      </c>
      <c r="M274" s="70">
        <f t="shared" si="163"/>
        <v>91441</v>
      </c>
      <c r="N274" s="70">
        <f t="shared" si="163"/>
        <v>0</v>
      </c>
      <c r="O274" s="70">
        <f t="shared" si="163"/>
        <v>91441</v>
      </c>
      <c r="P274" s="70">
        <f t="shared" si="163"/>
        <v>1921</v>
      </c>
      <c r="Q274" s="70">
        <f t="shared" si="163"/>
        <v>93362</v>
      </c>
      <c r="R274" s="70">
        <f t="shared" si="163"/>
        <v>0</v>
      </c>
      <c r="S274" s="70">
        <f t="shared" si="163"/>
        <v>93362</v>
      </c>
      <c r="T274" s="70">
        <f t="shared" si="163"/>
        <v>0</v>
      </c>
      <c r="U274" s="70">
        <f t="shared" si="163"/>
        <v>93362</v>
      </c>
      <c r="V274" s="70">
        <f t="shared" si="163"/>
        <v>0</v>
      </c>
      <c r="W274" s="70">
        <f t="shared" si="163"/>
        <v>93362</v>
      </c>
      <c r="X274" s="70">
        <f t="shared" si="163"/>
        <v>1909</v>
      </c>
      <c r="Y274" s="70">
        <f t="shared" si="163"/>
        <v>95271</v>
      </c>
      <c r="Z274" s="70">
        <f t="shared" si="163"/>
        <v>0</v>
      </c>
      <c r="AA274" s="70">
        <f t="shared" si="149"/>
        <v>95271</v>
      </c>
      <c r="AB274" s="70">
        <f>SUM(AB275:AB277)</f>
        <v>0</v>
      </c>
      <c r="AC274" s="70">
        <f t="shared" si="150"/>
        <v>95271</v>
      </c>
      <c r="AD274" s="105"/>
      <c r="AE274" s="105"/>
    </row>
    <row r="275" spans="1:31" s="22" customFormat="1" ht="27" customHeight="1">
      <c r="A275" s="56"/>
      <c r="B275" s="77"/>
      <c r="C275" s="59">
        <v>2510</v>
      </c>
      <c r="D275" s="36" t="s">
        <v>153</v>
      </c>
      <c r="E275" s="70">
        <v>10587</v>
      </c>
      <c r="F275" s="70"/>
      <c r="G275" s="70">
        <f>SUM(E275:F275)</f>
        <v>10587</v>
      </c>
      <c r="H275" s="70"/>
      <c r="I275" s="70">
        <f>SUM(G275:H275)</f>
        <v>10587</v>
      </c>
      <c r="J275" s="70"/>
      <c r="K275" s="70">
        <f>SUM(I275:J275)</f>
        <v>10587</v>
      </c>
      <c r="L275" s="70"/>
      <c r="M275" s="70">
        <f>SUM(K275:L275)</f>
        <v>10587</v>
      </c>
      <c r="N275" s="70"/>
      <c r="O275" s="70">
        <f>SUM(M275:N275)</f>
        <v>10587</v>
      </c>
      <c r="P275" s="70"/>
      <c r="Q275" s="70">
        <f>SUM(O275:P275)</f>
        <v>10587</v>
      </c>
      <c r="R275" s="70"/>
      <c r="S275" s="70">
        <f>SUM(Q275:R275)</f>
        <v>10587</v>
      </c>
      <c r="T275" s="70"/>
      <c r="U275" s="70">
        <f>SUM(S275:T275)</f>
        <v>10587</v>
      </c>
      <c r="V275" s="70"/>
      <c r="W275" s="70">
        <f>SUM(U275:V275)</f>
        <v>10587</v>
      </c>
      <c r="X275" s="70">
        <v>1909</v>
      </c>
      <c r="Y275" s="70">
        <f>SUM(W275:X275)</f>
        <v>12496</v>
      </c>
      <c r="Z275" s="70"/>
      <c r="AA275" s="70">
        <f t="shared" si="149"/>
        <v>12496</v>
      </c>
      <c r="AB275" s="70"/>
      <c r="AC275" s="70">
        <f t="shared" si="150"/>
        <v>12496</v>
      </c>
      <c r="AD275" s="105"/>
      <c r="AE275" s="105"/>
    </row>
    <row r="276" spans="1:31" s="22" customFormat="1" ht="21" customHeight="1">
      <c r="A276" s="56"/>
      <c r="B276" s="77"/>
      <c r="C276" s="59">
        <v>4300</v>
      </c>
      <c r="D276" s="36" t="s">
        <v>103</v>
      </c>
      <c r="E276" s="70">
        <v>80854</v>
      </c>
      <c r="F276" s="70"/>
      <c r="G276" s="70">
        <f>SUM(E276:F276)</f>
        <v>80854</v>
      </c>
      <c r="H276" s="70"/>
      <c r="I276" s="70">
        <f>SUM(G276:H276)</f>
        <v>80854</v>
      </c>
      <c r="J276" s="70"/>
      <c r="K276" s="70">
        <f>SUM(I276:J276)</f>
        <v>80854</v>
      </c>
      <c r="L276" s="70">
        <v>-27068</v>
      </c>
      <c r="M276" s="70">
        <f>SUM(K276:L276)</f>
        <v>53786</v>
      </c>
      <c r="N276" s="70"/>
      <c r="O276" s="70">
        <f>SUM(M276:N276)</f>
        <v>53786</v>
      </c>
      <c r="P276" s="70">
        <v>1145</v>
      </c>
      <c r="Q276" s="70">
        <f>SUM(O276:P276)</f>
        <v>54931</v>
      </c>
      <c r="R276" s="70"/>
      <c r="S276" s="70">
        <f>SUM(Q276:R276)</f>
        <v>54931</v>
      </c>
      <c r="T276" s="70"/>
      <c r="U276" s="70">
        <f>SUM(S276:T276)</f>
        <v>54931</v>
      </c>
      <c r="V276" s="70"/>
      <c r="W276" s="70">
        <f>SUM(U276:V276)</f>
        <v>54931</v>
      </c>
      <c r="X276" s="70"/>
      <c r="Y276" s="70">
        <f>SUM(W276:X276)</f>
        <v>54931</v>
      </c>
      <c r="Z276" s="70"/>
      <c r="AA276" s="70">
        <f t="shared" si="149"/>
        <v>54931</v>
      </c>
      <c r="AB276" s="70"/>
      <c r="AC276" s="70">
        <f t="shared" si="150"/>
        <v>54931</v>
      </c>
      <c r="AD276" s="105"/>
      <c r="AE276" s="105"/>
    </row>
    <row r="277" spans="1:31" s="22" customFormat="1" ht="21" customHeight="1">
      <c r="A277" s="56"/>
      <c r="B277" s="77"/>
      <c r="C277" s="59">
        <v>4410</v>
      </c>
      <c r="D277" s="36" t="s">
        <v>114</v>
      </c>
      <c r="E277" s="70"/>
      <c r="F277" s="70"/>
      <c r="G277" s="70"/>
      <c r="H277" s="70"/>
      <c r="I277" s="70"/>
      <c r="J277" s="70"/>
      <c r="K277" s="70">
        <v>0</v>
      </c>
      <c r="L277" s="70">
        <v>27068</v>
      </c>
      <c r="M277" s="70">
        <f>SUM(K277:L277)</f>
        <v>27068</v>
      </c>
      <c r="N277" s="70"/>
      <c r="O277" s="70">
        <f>SUM(M277:N277)</f>
        <v>27068</v>
      </c>
      <c r="P277" s="70">
        <v>776</v>
      </c>
      <c r="Q277" s="70">
        <f>SUM(O277:P277)</f>
        <v>27844</v>
      </c>
      <c r="R277" s="70"/>
      <c r="S277" s="70">
        <f>SUM(Q277:R277)</f>
        <v>27844</v>
      </c>
      <c r="T277" s="70"/>
      <c r="U277" s="70">
        <f>SUM(S277:T277)</f>
        <v>27844</v>
      </c>
      <c r="V277" s="70"/>
      <c r="W277" s="70">
        <f>SUM(U277:V277)</f>
        <v>27844</v>
      </c>
      <c r="X277" s="70"/>
      <c r="Y277" s="70">
        <f>SUM(W277:X277)</f>
        <v>27844</v>
      </c>
      <c r="Z277" s="70"/>
      <c r="AA277" s="70">
        <f t="shared" si="149"/>
        <v>27844</v>
      </c>
      <c r="AB277" s="70"/>
      <c r="AC277" s="70">
        <f t="shared" si="150"/>
        <v>27844</v>
      </c>
      <c r="AD277" s="105"/>
      <c r="AE277" s="105"/>
    </row>
    <row r="278" spans="1:31" s="22" customFormat="1" ht="21" customHeight="1">
      <c r="A278" s="56"/>
      <c r="B278" s="77">
        <v>80148</v>
      </c>
      <c r="C278" s="59"/>
      <c r="D278" s="36" t="s">
        <v>318</v>
      </c>
      <c r="E278" s="70">
        <f aca="true" t="shared" si="164" ref="E278:Z278">SUM(E279:E293)</f>
        <v>132180</v>
      </c>
      <c r="F278" s="70">
        <f t="shared" si="164"/>
        <v>0</v>
      </c>
      <c r="G278" s="70">
        <f t="shared" si="164"/>
        <v>132180</v>
      </c>
      <c r="H278" s="70">
        <f t="shared" si="164"/>
        <v>0</v>
      </c>
      <c r="I278" s="70">
        <f t="shared" si="164"/>
        <v>132180</v>
      </c>
      <c r="J278" s="70">
        <f t="shared" si="164"/>
        <v>0</v>
      </c>
      <c r="K278" s="70">
        <f t="shared" si="164"/>
        <v>132180</v>
      </c>
      <c r="L278" s="70">
        <f t="shared" si="164"/>
        <v>0</v>
      </c>
      <c r="M278" s="70">
        <f t="shared" si="164"/>
        <v>132180</v>
      </c>
      <c r="N278" s="70">
        <f t="shared" si="164"/>
        <v>0</v>
      </c>
      <c r="O278" s="70">
        <f t="shared" si="164"/>
        <v>132180</v>
      </c>
      <c r="P278" s="70">
        <f t="shared" si="164"/>
        <v>119135</v>
      </c>
      <c r="Q278" s="70">
        <f t="shared" si="164"/>
        <v>251315</v>
      </c>
      <c r="R278" s="70">
        <f t="shared" si="164"/>
        <v>0</v>
      </c>
      <c r="S278" s="70">
        <f t="shared" si="164"/>
        <v>251315</v>
      </c>
      <c r="T278" s="70">
        <f t="shared" si="164"/>
        <v>0</v>
      </c>
      <c r="U278" s="70">
        <f t="shared" si="164"/>
        <v>251315</v>
      </c>
      <c r="V278" s="70">
        <f t="shared" si="164"/>
        <v>0</v>
      </c>
      <c r="W278" s="70">
        <f t="shared" si="164"/>
        <v>251315</v>
      </c>
      <c r="X278" s="70">
        <f t="shared" si="164"/>
        <v>0</v>
      </c>
      <c r="Y278" s="70">
        <f t="shared" si="164"/>
        <v>251315</v>
      </c>
      <c r="Z278" s="70">
        <f t="shared" si="164"/>
        <v>0</v>
      </c>
      <c r="AA278" s="70">
        <f t="shared" si="149"/>
        <v>251315</v>
      </c>
      <c r="AB278" s="70">
        <f>SUM(AB279:AB293)</f>
        <v>0</v>
      </c>
      <c r="AC278" s="70">
        <f t="shared" si="150"/>
        <v>251315</v>
      </c>
      <c r="AD278" s="105"/>
      <c r="AE278" s="105"/>
    </row>
    <row r="279" spans="1:31" s="22" customFormat="1" ht="12">
      <c r="A279" s="56"/>
      <c r="B279" s="77"/>
      <c r="C279" s="76">
        <v>3020</v>
      </c>
      <c r="D279" s="36" t="s">
        <v>225</v>
      </c>
      <c r="E279" s="70">
        <v>483</v>
      </c>
      <c r="F279" s="70"/>
      <c r="G279" s="70">
        <f aca="true" t="shared" si="165" ref="G279:G285">SUM(E279:F279)</f>
        <v>483</v>
      </c>
      <c r="H279" s="70"/>
      <c r="I279" s="70">
        <f aca="true" t="shared" si="166" ref="I279:I285">SUM(G279:H279)</f>
        <v>483</v>
      </c>
      <c r="J279" s="70"/>
      <c r="K279" s="70">
        <f aca="true" t="shared" si="167" ref="K279:K285">SUM(I279:J279)</f>
        <v>483</v>
      </c>
      <c r="L279" s="70"/>
      <c r="M279" s="70">
        <f aca="true" t="shared" si="168" ref="M279:M286">SUM(K279:L279)</f>
        <v>483</v>
      </c>
      <c r="N279" s="70"/>
      <c r="O279" s="70">
        <f aca="true" t="shared" si="169" ref="O279:O286">SUM(M279:N279)</f>
        <v>483</v>
      </c>
      <c r="P279" s="70"/>
      <c r="Q279" s="70">
        <f aca="true" t="shared" si="170" ref="Q279:Q293">SUM(O279:P279)</f>
        <v>483</v>
      </c>
      <c r="R279" s="70"/>
      <c r="S279" s="70">
        <f aca="true" t="shared" si="171" ref="S279:S293">SUM(Q279:R279)</f>
        <v>483</v>
      </c>
      <c r="T279" s="70"/>
      <c r="U279" s="70">
        <f aca="true" t="shared" si="172" ref="U279:U293">SUM(S279:T279)</f>
        <v>483</v>
      </c>
      <c r="V279" s="70"/>
      <c r="W279" s="70">
        <f aca="true" t="shared" si="173" ref="W279:W293">SUM(U279:V279)</f>
        <v>483</v>
      </c>
      <c r="X279" s="70"/>
      <c r="Y279" s="70">
        <f aca="true" t="shared" si="174" ref="Y279:Y293">SUM(W279:X279)</f>
        <v>483</v>
      </c>
      <c r="Z279" s="70"/>
      <c r="AA279" s="70">
        <f t="shared" si="149"/>
        <v>483</v>
      </c>
      <c r="AB279" s="70"/>
      <c r="AC279" s="70">
        <f t="shared" si="150"/>
        <v>483</v>
      </c>
      <c r="AD279" s="105"/>
      <c r="AE279" s="105"/>
    </row>
    <row r="280" spans="1:31" s="22" customFormat="1" ht="21.75" customHeight="1">
      <c r="A280" s="56"/>
      <c r="B280" s="77"/>
      <c r="C280" s="76">
        <v>4010</v>
      </c>
      <c r="D280" s="36" t="s">
        <v>108</v>
      </c>
      <c r="E280" s="70">
        <v>87953</v>
      </c>
      <c r="F280" s="70"/>
      <c r="G280" s="70">
        <f t="shared" si="165"/>
        <v>87953</v>
      </c>
      <c r="H280" s="70"/>
      <c r="I280" s="70">
        <f t="shared" si="166"/>
        <v>87953</v>
      </c>
      <c r="J280" s="70"/>
      <c r="K280" s="70">
        <f t="shared" si="167"/>
        <v>87953</v>
      </c>
      <c r="L280" s="70"/>
      <c r="M280" s="70">
        <f t="shared" si="168"/>
        <v>87953</v>
      </c>
      <c r="N280" s="70"/>
      <c r="O280" s="70">
        <f t="shared" si="169"/>
        <v>87953</v>
      </c>
      <c r="P280" s="70"/>
      <c r="Q280" s="70">
        <f t="shared" si="170"/>
        <v>87953</v>
      </c>
      <c r="R280" s="70"/>
      <c r="S280" s="70">
        <f t="shared" si="171"/>
        <v>87953</v>
      </c>
      <c r="T280" s="70"/>
      <c r="U280" s="70">
        <f t="shared" si="172"/>
        <v>87953</v>
      </c>
      <c r="V280" s="70"/>
      <c r="W280" s="70">
        <f t="shared" si="173"/>
        <v>87953</v>
      </c>
      <c r="X280" s="70"/>
      <c r="Y280" s="70">
        <f t="shared" si="174"/>
        <v>87953</v>
      </c>
      <c r="Z280" s="70"/>
      <c r="AA280" s="70">
        <f t="shared" si="149"/>
        <v>87953</v>
      </c>
      <c r="AB280" s="70"/>
      <c r="AC280" s="70">
        <f t="shared" si="150"/>
        <v>87953</v>
      </c>
      <c r="AD280" s="105"/>
      <c r="AE280" s="105"/>
    </row>
    <row r="281" spans="1:31" s="22" customFormat="1" ht="21" customHeight="1">
      <c r="A281" s="56"/>
      <c r="B281" s="77"/>
      <c r="C281" s="76">
        <v>4040</v>
      </c>
      <c r="D281" s="36" t="s">
        <v>109</v>
      </c>
      <c r="E281" s="70">
        <v>6639</v>
      </c>
      <c r="F281" s="70"/>
      <c r="G281" s="70">
        <f t="shared" si="165"/>
        <v>6639</v>
      </c>
      <c r="H281" s="70"/>
      <c r="I281" s="70">
        <f t="shared" si="166"/>
        <v>6639</v>
      </c>
      <c r="J281" s="70"/>
      <c r="K281" s="70">
        <f t="shared" si="167"/>
        <v>6639</v>
      </c>
      <c r="L281" s="70"/>
      <c r="M281" s="70">
        <f t="shared" si="168"/>
        <v>6639</v>
      </c>
      <c r="N281" s="70"/>
      <c r="O281" s="70">
        <f t="shared" si="169"/>
        <v>6639</v>
      </c>
      <c r="P281" s="70">
        <v>-935</v>
      </c>
      <c r="Q281" s="70">
        <f t="shared" si="170"/>
        <v>5704</v>
      </c>
      <c r="R281" s="70"/>
      <c r="S281" s="70">
        <f t="shared" si="171"/>
        <v>5704</v>
      </c>
      <c r="T281" s="70"/>
      <c r="U281" s="70">
        <f t="shared" si="172"/>
        <v>5704</v>
      </c>
      <c r="V281" s="70"/>
      <c r="W281" s="70">
        <f t="shared" si="173"/>
        <v>5704</v>
      </c>
      <c r="X281" s="70"/>
      <c r="Y281" s="70">
        <f t="shared" si="174"/>
        <v>5704</v>
      </c>
      <c r="Z281" s="70"/>
      <c r="AA281" s="70">
        <f t="shared" si="149"/>
        <v>5704</v>
      </c>
      <c r="AB281" s="70"/>
      <c r="AC281" s="70">
        <f t="shared" si="150"/>
        <v>5704</v>
      </c>
      <c r="AD281" s="105"/>
      <c r="AE281" s="105"/>
    </row>
    <row r="282" spans="1:31" s="22" customFormat="1" ht="21" customHeight="1">
      <c r="A282" s="56"/>
      <c r="B282" s="77"/>
      <c r="C282" s="76">
        <v>4110</v>
      </c>
      <c r="D282" s="36" t="s">
        <v>110</v>
      </c>
      <c r="E282" s="70">
        <v>15429</v>
      </c>
      <c r="F282" s="70"/>
      <c r="G282" s="70">
        <f t="shared" si="165"/>
        <v>15429</v>
      </c>
      <c r="H282" s="70"/>
      <c r="I282" s="70">
        <f t="shared" si="166"/>
        <v>15429</v>
      </c>
      <c r="J282" s="70"/>
      <c r="K282" s="70">
        <f t="shared" si="167"/>
        <v>15429</v>
      </c>
      <c r="L282" s="70"/>
      <c r="M282" s="70">
        <f t="shared" si="168"/>
        <v>15429</v>
      </c>
      <c r="N282" s="70"/>
      <c r="O282" s="70">
        <f t="shared" si="169"/>
        <v>15429</v>
      </c>
      <c r="P282" s="70"/>
      <c r="Q282" s="70">
        <f t="shared" si="170"/>
        <v>15429</v>
      </c>
      <c r="R282" s="70"/>
      <c r="S282" s="70">
        <f t="shared" si="171"/>
        <v>15429</v>
      </c>
      <c r="T282" s="70"/>
      <c r="U282" s="70">
        <f t="shared" si="172"/>
        <v>15429</v>
      </c>
      <c r="V282" s="70"/>
      <c r="W282" s="70">
        <f t="shared" si="173"/>
        <v>15429</v>
      </c>
      <c r="X282" s="70"/>
      <c r="Y282" s="70">
        <f t="shared" si="174"/>
        <v>15429</v>
      </c>
      <c r="Z282" s="70"/>
      <c r="AA282" s="70">
        <f t="shared" si="149"/>
        <v>15429</v>
      </c>
      <c r="AB282" s="70"/>
      <c r="AC282" s="70">
        <f t="shared" si="150"/>
        <v>15429</v>
      </c>
      <c r="AD282" s="105"/>
      <c r="AE282" s="105"/>
    </row>
    <row r="283" spans="1:31" s="22" customFormat="1" ht="21" customHeight="1">
      <c r="A283" s="56"/>
      <c r="B283" s="77"/>
      <c r="C283" s="76">
        <v>4120</v>
      </c>
      <c r="D283" s="36" t="s">
        <v>111</v>
      </c>
      <c r="E283" s="70">
        <v>2393</v>
      </c>
      <c r="F283" s="70"/>
      <c r="G283" s="70">
        <f t="shared" si="165"/>
        <v>2393</v>
      </c>
      <c r="H283" s="70"/>
      <c r="I283" s="70">
        <f t="shared" si="166"/>
        <v>2393</v>
      </c>
      <c r="J283" s="70"/>
      <c r="K283" s="70">
        <f t="shared" si="167"/>
        <v>2393</v>
      </c>
      <c r="L283" s="70"/>
      <c r="M283" s="70">
        <f t="shared" si="168"/>
        <v>2393</v>
      </c>
      <c r="N283" s="70"/>
      <c r="O283" s="70">
        <f t="shared" si="169"/>
        <v>2393</v>
      </c>
      <c r="P283" s="70"/>
      <c r="Q283" s="70">
        <f t="shared" si="170"/>
        <v>2393</v>
      </c>
      <c r="R283" s="70"/>
      <c r="S283" s="70">
        <f t="shared" si="171"/>
        <v>2393</v>
      </c>
      <c r="T283" s="70"/>
      <c r="U283" s="70">
        <f t="shared" si="172"/>
        <v>2393</v>
      </c>
      <c r="V283" s="70"/>
      <c r="W283" s="70">
        <f t="shared" si="173"/>
        <v>2393</v>
      </c>
      <c r="X283" s="70"/>
      <c r="Y283" s="70">
        <f t="shared" si="174"/>
        <v>2393</v>
      </c>
      <c r="Z283" s="70"/>
      <c r="AA283" s="70">
        <f t="shared" si="149"/>
        <v>2393</v>
      </c>
      <c r="AB283" s="70"/>
      <c r="AC283" s="70">
        <f t="shared" si="150"/>
        <v>2393</v>
      </c>
      <c r="AD283" s="105"/>
      <c r="AE283" s="105"/>
    </row>
    <row r="284" spans="1:31" s="22" customFormat="1" ht="21" customHeight="1">
      <c r="A284" s="56"/>
      <c r="B284" s="77"/>
      <c r="C284" s="76">
        <v>4170</v>
      </c>
      <c r="D284" s="36" t="s">
        <v>227</v>
      </c>
      <c r="E284" s="70">
        <v>3000</v>
      </c>
      <c r="F284" s="70"/>
      <c r="G284" s="70">
        <f t="shared" si="165"/>
        <v>3000</v>
      </c>
      <c r="H284" s="70"/>
      <c r="I284" s="70">
        <f t="shared" si="166"/>
        <v>3000</v>
      </c>
      <c r="J284" s="70"/>
      <c r="K284" s="70">
        <f t="shared" si="167"/>
        <v>3000</v>
      </c>
      <c r="L284" s="70"/>
      <c r="M284" s="70">
        <f t="shared" si="168"/>
        <v>3000</v>
      </c>
      <c r="N284" s="70"/>
      <c r="O284" s="70">
        <f t="shared" si="169"/>
        <v>3000</v>
      </c>
      <c r="P284" s="70"/>
      <c r="Q284" s="70">
        <f t="shared" si="170"/>
        <v>3000</v>
      </c>
      <c r="R284" s="70"/>
      <c r="S284" s="70">
        <f t="shared" si="171"/>
        <v>3000</v>
      </c>
      <c r="T284" s="70"/>
      <c r="U284" s="70">
        <f t="shared" si="172"/>
        <v>3000</v>
      </c>
      <c r="V284" s="70"/>
      <c r="W284" s="70">
        <f t="shared" si="173"/>
        <v>3000</v>
      </c>
      <c r="X284" s="70"/>
      <c r="Y284" s="70">
        <f t="shared" si="174"/>
        <v>3000</v>
      </c>
      <c r="Z284" s="70"/>
      <c r="AA284" s="70">
        <f t="shared" si="149"/>
        <v>3000</v>
      </c>
      <c r="AB284" s="70"/>
      <c r="AC284" s="70">
        <f t="shared" si="150"/>
        <v>3000</v>
      </c>
      <c r="AD284" s="105"/>
      <c r="AE284" s="105"/>
    </row>
    <row r="285" spans="1:31" s="22" customFormat="1" ht="21" customHeight="1">
      <c r="A285" s="56"/>
      <c r="B285" s="77"/>
      <c r="C285" s="76">
        <v>4210</v>
      </c>
      <c r="D285" s="36" t="s">
        <v>96</v>
      </c>
      <c r="E285" s="70">
        <v>5550</v>
      </c>
      <c r="F285" s="70"/>
      <c r="G285" s="70">
        <f t="shared" si="165"/>
        <v>5550</v>
      </c>
      <c r="H285" s="70"/>
      <c r="I285" s="70">
        <f t="shared" si="166"/>
        <v>5550</v>
      </c>
      <c r="J285" s="70"/>
      <c r="K285" s="70">
        <f t="shared" si="167"/>
        <v>5550</v>
      </c>
      <c r="L285" s="70"/>
      <c r="M285" s="70">
        <f t="shared" si="168"/>
        <v>5550</v>
      </c>
      <c r="N285" s="70"/>
      <c r="O285" s="70">
        <f t="shared" si="169"/>
        <v>5550</v>
      </c>
      <c r="P285" s="70"/>
      <c r="Q285" s="70">
        <f t="shared" si="170"/>
        <v>5550</v>
      </c>
      <c r="R285" s="70"/>
      <c r="S285" s="70">
        <f t="shared" si="171"/>
        <v>5550</v>
      </c>
      <c r="T285" s="70"/>
      <c r="U285" s="70">
        <f t="shared" si="172"/>
        <v>5550</v>
      </c>
      <c r="V285" s="70"/>
      <c r="W285" s="70">
        <f t="shared" si="173"/>
        <v>5550</v>
      </c>
      <c r="X285" s="70">
        <v>661</v>
      </c>
      <c r="Y285" s="70">
        <f t="shared" si="174"/>
        <v>6211</v>
      </c>
      <c r="Z285" s="70"/>
      <c r="AA285" s="70">
        <f t="shared" si="149"/>
        <v>6211</v>
      </c>
      <c r="AB285" s="70"/>
      <c r="AC285" s="70">
        <f t="shared" si="150"/>
        <v>6211</v>
      </c>
      <c r="AD285" s="105"/>
      <c r="AE285" s="105"/>
    </row>
    <row r="286" spans="1:31" s="22" customFormat="1" ht="21" customHeight="1" hidden="1">
      <c r="A286" s="56"/>
      <c r="B286" s="77"/>
      <c r="C286" s="76">
        <v>4220</v>
      </c>
      <c r="D286" s="36" t="s">
        <v>210</v>
      </c>
      <c r="E286" s="70"/>
      <c r="F286" s="70"/>
      <c r="G286" s="70"/>
      <c r="H286" s="70"/>
      <c r="I286" s="70"/>
      <c r="J286" s="70"/>
      <c r="K286" s="70">
        <v>0</v>
      </c>
      <c r="L286" s="70"/>
      <c r="M286" s="70">
        <f t="shared" si="168"/>
        <v>0</v>
      </c>
      <c r="N286" s="70"/>
      <c r="O286" s="70">
        <f t="shared" si="169"/>
        <v>0</v>
      </c>
      <c r="P286" s="70"/>
      <c r="Q286" s="70">
        <f t="shared" si="170"/>
        <v>0</v>
      </c>
      <c r="R286" s="70"/>
      <c r="S286" s="70">
        <f t="shared" si="171"/>
        <v>0</v>
      </c>
      <c r="T286" s="70"/>
      <c r="U286" s="70">
        <f t="shared" si="172"/>
        <v>0</v>
      </c>
      <c r="V286" s="70"/>
      <c r="W286" s="70">
        <f t="shared" si="173"/>
        <v>0</v>
      </c>
      <c r="X286" s="70"/>
      <c r="Y286" s="70">
        <f t="shared" si="174"/>
        <v>0</v>
      </c>
      <c r="Z286" s="70"/>
      <c r="AA286" s="70">
        <f t="shared" si="149"/>
        <v>0</v>
      </c>
      <c r="AB286" s="70"/>
      <c r="AC286" s="70">
        <f t="shared" si="150"/>
        <v>0</v>
      </c>
      <c r="AD286" s="105"/>
      <c r="AE286" s="105"/>
    </row>
    <row r="287" spans="1:31" s="22" customFormat="1" ht="21" customHeight="1">
      <c r="A287" s="56"/>
      <c r="B287" s="77"/>
      <c r="C287" s="76">
        <v>4220</v>
      </c>
      <c r="D287" s="36" t="s">
        <v>210</v>
      </c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>
        <v>0</v>
      </c>
      <c r="P287" s="70">
        <v>120070</v>
      </c>
      <c r="Q287" s="70">
        <f t="shared" si="170"/>
        <v>120070</v>
      </c>
      <c r="R287" s="70"/>
      <c r="S287" s="70">
        <f t="shared" si="171"/>
        <v>120070</v>
      </c>
      <c r="T287" s="70"/>
      <c r="U287" s="70">
        <f t="shared" si="172"/>
        <v>120070</v>
      </c>
      <c r="V287" s="70"/>
      <c r="W287" s="70">
        <f t="shared" si="173"/>
        <v>120070</v>
      </c>
      <c r="X287" s="70"/>
      <c r="Y287" s="70">
        <f t="shared" si="174"/>
        <v>120070</v>
      </c>
      <c r="Z287" s="70"/>
      <c r="AA287" s="70">
        <f t="shared" si="149"/>
        <v>120070</v>
      </c>
      <c r="AB287" s="70"/>
      <c r="AC287" s="70">
        <f t="shared" si="150"/>
        <v>120070</v>
      </c>
      <c r="AD287" s="105"/>
      <c r="AE287" s="105"/>
    </row>
    <row r="288" spans="1:31" s="22" customFormat="1" ht="27" customHeight="1">
      <c r="A288" s="56"/>
      <c r="B288" s="77"/>
      <c r="C288" s="76">
        <v>4230</v>
      </c>
      <c r="D288" s="36" t="s">
        <v>319</v>
      </c>
      <c r="E288" s="70">
        <v>100</v>
      </c>
      <c r="F288" s="70"/>
      <c r="G288" s="70">
        <f aca="true" t="shared" si="175" ref="G288:G293">SUM(E288:F288)</f>
        <v>100</v>
      </c>
      <c r="H288" s="70"/>
      <c r="I288" s="70">
        <f aca="true" t="shared" si="176" ref="I288:I293">SUM(G288:H288)</f>
        <v>100</v>
      </c>
      <c r="J288" s="70"/>
      <c r="K288" s="70">
        <f aca="true" t="shared" si="177" ref="K288:K293">SUM(I288:J288)</f>
        <v>100</v>
      </c>
      <c r="L288" s="70"/>
      <c r="M288" s="70">
        <f aca="true" t="shared" si="178" ref="M288:M293">SUM(K288:L288)</f>
        <v>100</v>
      </c>
      <c r="N288" s="70"/>
      <c r="O288" s="70">
        <f aca="true" t="shared" si="179" ref="O288:O293">SUM(M288:N288)</f>
        <v>100</v>
      </c>
      <c r="P288" s="70"/>
      <c r="Q288" s="70">
        <f t="shared" si="170"/>
        <v>100</v>
      </c>
      <c r="R288" s="70"/>
      <c r="S288" s="70">
        <f t="shared" si="171"/>
        <v>100</v>
      </c>
      <c r="T288" s="70"/>
      <c r="U288" s="70">
        <f t="shared" si="172"/>
        <v>100</v>
      </c>
      <c r="V288" s="70"/>
      <c r="W288" s="70">
        <f t="shared" si="173"/>
        <v>100</v>
      </c>
      <c r="X288" s="70"/>
      <c r="Y288" s="70">
        <f t="shared" si="174"/>
        <v>100</v>
      </c>
      <c r="Z288" s="70"/>
      <c r="AA288" s="70">
        <f t="shared" si="149"/>
        <v>100</v>
      </c>
      <c r="AB288" s="70"/>
      <c r="AC288" s="70">
        <f t="shared" si="150"/>
        <v>100</v>
      </c>
      <c r="AD288" s="105"/>
      <c r="AE288" s="105"/>
    </row>
    <row r="289" spans="1:31" s="22" customFormat="1" ht="21" customHeight="1">
      <c r="A289" s="56"/>
      <c r="B289" s="77"/>
      <c r="C289" s="76">
        <v>4270</v>
      </c>
      <c r="D289" s="36" t="s">
        <v>102</v>
      </c>
      <c r="E289" s="70">
        <v>500</v>
      </c>
      <c r="F289" s="70"/>
      <c r="G289" s="70">
        <f t="shared" si="175"/>
        <v>500</v>
      </c>
      <c r="H289" s="70"/>
      <c r="I289" s="70">
        <f t="shared" si="176"/>
        <v>500</v>
      </c>
      <c r="J289" s="70"/>
      <c r="K289" s="70">
        <f t="shared" si="177"/>
        <v>500</v>
      </c>
      <c r="L289" s="70"/>
      <c r="M289" s="70">
        <f t="shared" si="178"/>
        <v>500</v>
      </c>
      <c r="N289" s="70"/>
      <c r="O289" s="70">
        <f t="shared" si="179"/>
        <v>500</v>
      </c>
      <c r="P289" s="70"/>
      <c r="Q289" s="70">
        <f t="shared" si="170"/>
        <v>500</v>
      </c>
      <c r="R289" s="70"/>
      <c r="S289" s="70">
        <f t="shared" si="171"/>
        <v>500</v>
      </c>
      <c r="T289" s="70"/>
      <c r="U289" s="70">
        <f t="shared" si="172"/>
        <v>500</v>
      </c>
      <c r="V289" s="70"/>
      <c r="W289" s="70">
        <f t="shared" si="173"/>
        <v>500</v>
      </c>
      <c r="X289" s="70"/>
      <c r="Y289" s="70">
        <f t="shared" si="174"/>
        <v>500</v>
      </c>
      <c r="Z289" s="70"/>
      <c r="AA289" s="70">
        <f t="shared" si="149"/>
        <v>500</v>
      </c>
      <c r="AB289" s="70"/>
      <c r="AC289" s="70">
        <f t="shared" si="150"/>
        <v>500</v>
      </c>
      <c r="AD289" s="105"/>
      <c r="AE289" s="105"/>
    </row>
    <row r="290" spans="1:31" s="22" customFormat="1" ht="21" customHeight="1">
      <c r="A290" s="56"/>
      <c r="B290" s="77"/>
      <c r="C290" s="76">
        <v>4280</v>
      </c>
      <c r="D290" s="36" t="s">
        <v>233</v>
      </c>
      <c r="E290" s="70">
        <v>160</v>
      </c>
      <c r="F290" s="70"/>
      <c r="G290" s="70">
        <f t="shared" si="175"/>
        <v>160</v>
      </c>
      <c r="H290" s="70"/>
      <c r="I290" s="70">
        <f t="shared" si="176"/>
        <v>160</v>
      </c>
      <c r="J290" s="70"/>
      <c r="K290" s="70">
        <f t="shared" si="177"/>
        <v>160</v>
      </c>
      <c r="L290" s="70"/>
      <c r="M290" s="70">
        <f t="shared" si="178"/>
        <v>160</v>
      </c>
      <c r="N290" s="70"/>
      <c r="O290" s="70">
        <f t="shared" si="179"/>
        <v>160</v>
      </c>
      <c r="P290" s="70"/>
      <c r="Q290" s="70">
        <f t="shared" si="170"/>
        <v>160</v>
      </c>
      <c r="R290" s="70"/>
      <c r="S290" s="70">
        <f t="shared" si="171"/>
        <v>160</v>
      </c>
      <c r="T290" s="70"/>
      <c r="U290" s="70">
        <f t="shared" si="172"/>
        <v>160</v>
      </c>
      <c r="V290" s="70"/>
      <c r="W290" s="70">
        <f t="shared" si="173"/>
        <v>160</v>
      </c>
      <c r="X290" s="70"/>
      <c r="Y290" s="70">
        <f t="shared" si="174"/>
        <v>160</v>
      </c>
      <c r="Z290" s="70"/>
      <c r="AA290" s="70">
        <f t="shared" si="149"/>
        <v>160</v>
      </c>
      <c r="AB290" s="70"/>
      <c r="AC290" s="70">
        <f t="shared" si="150"/>
        <v>160</v>
      </c>
      <c r="AD290" s="105"/>
      <c r="AE290" s="105"/>
    </row>
    <row r="291" spans="1:31" s="22" customFormat="1" ht="21" customHeight="1">
      <c r="A291" s="56"/>
      <c r="B291" s="77"/>
      <c r="C291" s="76">
        <v>4300</v>
      </c>
      <c r="D291" s="36" t="s">
        <v>103</v>
      </c>
      <c r="E291" s="70">
        <v>200</v>
      </c>
      <c r="F291" s="70"/>
      <c r="G291" s="70">
        <f t="shared" si="175"/>
        <v>200</v>
      </c>
      <c r="H291" s="70"/>
      <c r="I291" s="70">
        <f t="shared" si="176"/>
        <v>200</v>
      </c>
      <c r="J291" s="70"/>
      <c r="K291" s="70">
        <f t="shared" si="177"/>
        <v>200</v>
      </c>
      <c r="L291" s="70"/>
      <c r="M291" s="70">
        <f t="shared" si="178"/>
        <v>200</v>
      </c>
      <c r="N291" s="70"/>
      <c r="O291" s="70">
        <f t="shared" si="179"/>
        <v>200</v>
      </c>
      <c r="P291" s="70"/>
      <c r="Q291" s="70">
        <f t="shared" si="170"/>
        <v>200</v>
      </c>
      <c r="R291" s="70"/>
      <c r="S291" s="70">
        <f t="shared" si="171"/>
        <v>200</v>
      </c>
      <c r="T291" s="70"/>
      <c r="U291" s="70">
        <f t="shared" si="172"/>
        <v>200</v>
      </c>
      <c r="V291" s="70"/>
      <c r="W291" s="70">
        <f t="shared" si="173"/>
        <v>200</v>
      </c>
      <c r="X291" s="70"/>
      <c r="Y291" s="70">
        <f t="shared" si="174"/>
        <v>200</v>
      </c>
      <c r="Z291" s="70"/>
      <c r="AA291" s="70">
        <f t="shared" si="149"/>
        <v>200</v>
      </c>
      <c r="AB291" s="70"/>
      <c r="AC291" s="70">
        <f t="shared" si="150"/>
        <v>200</v>
      </c>
      <c r="AD291" s="105"/>
      <c r="AE291" s="105"/>
    </row>
    <row r="292" spans="1:31" s="22" customFormat="1" ht="24">
      <c r="A292" s="56"/>
      <c r="B292" s="77"/>
      <c r="C292" s="76">
        <v>4440</v>
      </c>
      <c r="D292" s="36" t="s">
        <v>112</v>
      </c>
      <c r="E292" s="70">
        <v>4773</v>
      </c>
      <c r="F292" s="70"/>
      <c r="G292" s="70">
        <f t="shared" si="175"/>
        <v>4773</v>
      </c>
      <c r="H292" s="70"/>
      <c r="I292" s="70">
        <f t="shared" si="176"/>
        <v>4773</v>
      </c>
      <c r="J292" s="70"/>
      <c r="K292" s="70">
        <f t="shared" si="177"/>
        <v>4773</v>
      </c>
      <c r="L292" s="70"/>
      <c r="M292" s="70">
        <f t="shared" si="178"/>
        <v>4773</v>
      </c>
      <c r="N292" s="70"/>
      <c r="O292" s="70">
        <f t="shared" si="179"/>
        <v>4773</v>
      </c>
      <c r="P292" s="70"/>
      <c r="Q292" s="70">
        <f t="shared" si="170"/>
        <v>4773</v>
      </c>
      <c r="R292" s="70"/>
      <c r="S292" s="70">
        <f t="shared" si="171"/>
        <v>4773</v>
      </c>
      <c r="T292" s="70"/>
      <c r="U292" s="70">
        <f t="shared" si="172"/>
        <v>4773</v>
      </c>
      <c r="V292" s="70"/>
      <c r="W292" s="70">
        <f t="shared" si="173"/>
        <v>4773</v>
      </c>
      <c r="X292" s="70"/>
      <c r="Y292" s="70">
        <f t="shared" si="174"/>
        <v>4773</v>
      </c>
      <c r="Z292" s="70"/>
      <c r="AA292" s="70">
        <f t="shared" si="149"/>
        <v>4773</v>
      </c>
      <c r="AB292" s="70"/>
      <c r="AC292" s="70">
        <f t="shared" si="150"/>
        <v>4773</v>
      </c>
      <c r="AD292" s="105"/>
      <c r="AE292" s="105"/>
    </row>
    <row r="293" spans="1:33" s="22" customFormat="1" ht="27" customHeight="1">
      <c r="A293" s="56"/>
      <c r="B293" s="77"/>
      <c r="C293" s="76">
        <v>6060</v>
      </c>
      <c r="D293" s="36" t="s">
        <v>120</v>
      </c>
      <c r="E293" s="70">
        <v>5000</v>
      </c>
      <c r="F293" s="70"/>
      <c r="G293" s="70">
        <f t="shared" si="175"/>
        <v>5000</v>
      </c>
      <c r="H293" s="70"/>
      <c r="I293" s="70">
        <f t="shared" si="176"/>
        <v>5000</v>
      </c>
      <c r="J293" s="70"/>
      <c r="K293" s="70">
        <f t="shared" si="177"/>
        <v>5000</v>
      </c>
      <c r="L293" s="70"/>
      <c r="M293" s="70">
        <f t="shared" si="178"/>
        <v>5000</v>
      </c>
      <c r="N293" s="70"/>
      <c r="O293" s="70">
        <f t="shared" si="179"/>
        <v>5000</v>
      </c>
      <c r="P293" s="70"/>
      <c r="Q293" s="70">
        <f t="shared" si="170"/>
        <v>5000</v>
      </c>
      <c r="R293" s="70"/>
      <c r="S293" s="70">
        <f t="shared" si="171"/>
        <v>5000</v>
      </c>
      <c r="T293" s="70"/>
      <c r="U293" s="70">
        <f t="shared" si="172"/>
        <v>5000</v>
      </c>
      <c r="V293" s="70"/>
      <c r="W293" s="70">
        <f t="shared" si="173"/>
        <v>5000</v>
      </c>
      <c r="X293" s="70">
        <v>-661</v>
      </c>
      <c r="Y293" s="70">
        <f t="shared" si="174"/>
        <v>4339</v>
      </c>
      <c r="Z293" s="70"/>
      <c r="AA293" s="70">
        <f t="shared" si="149"/>
        <v>4339</v>
      </c>
      <c r="AB293" s="70"/>
      <c r="AC293" s="70">
        <f t="shared" si="150"/>
        <v>4339</v>
      </c>
      <c r="AD293" s="105"/>
      <c r="AE293" s="105"/>
      <c r="AF293" s="105"/>
      <c r="AG293" s="105"/>
    </row>
    <row r="294" spans="1:31" s="22" customFormat="1" ht="21.75" customHeight="1">
      <c r="A294" s="56"/>
      <c r="B294" s="72">
        <v>80195</v>
      </c>
      <c r="C294" s="56"/>
      <c r="D294" s="36" t="s">
        <v>17</v>
      </c>
      <c r="E294" s="70">
        <f aca="true" t="shared" si="180" ref="E294:N294">SUM(E295:E298)</f>
        <v>207061</v>
      </c>
      <c r="F294" s="70">
        <f t="shared" si="180"/>
        <v>0</v>
      </c>
      <c r="G294" s="70">
        <f t="shared" si="180"/>
        <v>207061</v>
      </c>
      <c r="H294" s="70">
        <f t="shared" si="180"/>
        <v>0</v>
      </c>
      <c r="I294" s="70">
        <f t="shared" si="180"/>
        <v>207061</v>
      </c>
      <c r="J294" s="70">
        <f t="shared" si="180"/>
        <v>0</v>
      </c>
      <c r="K294" s="70">
        <f t="shared" si="180"/>
        <v>207061</v>
      </c>
      <c r="L294" s="70">
        <f t="shared" si="180"/>
        <v>0</v>
      </c>
      <c r="M294" s="70">
        <f t="shared" si="180"/>
        <v>207061</v>
      </c>
      <c r="N294" s="70">
        <f t="shared" si="180"/>
        <v>0</v>
      </c>
      <c r="O294" s="70">
        <f aca="true" t="shared" si="181" ref="O294:Z294">SUM(O295:O299)</f>
        <v>207061</v>
      </c>
      <c r="P294" s="70">
        <f t="shared" si="181"/>
        <v>2451</v>
      </c>
      <c r="Q294" s="70">
        <f t="shared" si="181"/>
        <v>209512</v>
      </c>
      <c r="R294" s="70">
        <f t="shared" si="181"/>
        <v>0</v>
      </c>
      <c r="S294" s="70">
        <f t="shared" si="181"/>
        <v>209512</v>
      </c>
      <c r="T294" s="70">
        <f t="shared" si="181"/>
        <v>1064</v>
      </c>
      <c r="U294" s="70">
        <f t="shared" si="181"/>
        <v>210576</v>
      </c>
      <c r="V294" s="70">
        <f t="shared" si="181"/>
        <v>70737</v>
      </c>
      <c r="W294" s="70">
        <f t="shared" si="181"/>
        <v>281313</v>
      </c>
      <c r="X294" s="70">
        <f t="shared" si="181"/>
        <v>1800</v>
      </c>
      <c r="Y294" s="70">
        <f t="shared" si="181"/>
        <v>283113</v>
      </c>
      <c r="Z294" s="70">
        <f t="shared" si="181"/>
        <v>0</v>
      </c>
      <c r="AA294" s="70">
        <f t="shared" si="149"/>
        <v>283113</v>
      </c>
      <c r="AB294" s="70">
        <f>SUM(AB295:AB299)</f>
        <v>128501</v>
      </c>
      <c r="AC294" s="70">
        <f t="shared" si="150"/>
        <v>411614</v>
      </c>
      <c r="AD294" s="105"/>
      <c r="AE294" s="105"/>
    </row>
    <row r="295" spans="1:31" s="22" customFormat="1" ht="21.75" customHeight="1">
      <c r="A295" s="56"/>
      <c r="B295" s="72"/>
      <c r="C295" s="56">
        <v>4170</v>
      </c>
      <c r="D295" s="36" t="s">
        <v>227</v>
      </c>
      <c r="E295" s="70">
        <v>500</v>
      </c>
      <c r="F295" s="70"/>
      <c r="G295" s="70">
        <f>SUM(E295:F295)</f>
        <v>500</v>
      </c>
      <c r="H295" s="70"/>
      <c r="I295" s="70">
        <f>SUM(G295:H295)</f>
        <v>500</v>
      </c>
      <c r="J295" s="70"/>
      <c r="K295" s="70">
        <f>SUM(I295:J295)</f>
        <v>500</v>
      </c>
      <c r="L295" s="70"/>
      <c r="M295" s="70">
        <f>SUM(K295:L295)</f>
        <v>500</v>
      </c>
      <c r="N295" s="70"/>
      <c r="O295" s="70">
        <f>SUM(M295:N295)</f>
        <v>500</v>
      </c>
      <c r="P295" s="70"/>
      <c r="Q295" s="70">
        <f>SUM(O295:P295)</f>
        <v>500</v>
      </c>
      <c r="R295" s="70"/>
      <c r="S295" s="70">
        <f>SUM(Q295:R295)</f>
        <v>500</v>
      </c>
      <c r="T295" s="70"/>
      <c r="U295" s="70">
        <f>SUM(S295:T295)</f>
        <v>500</v>
      </c>
      <c r="V295" s="70"/>
      <c r="W295" s="70">
        <f>SUM(U295:V295)</f>
        <v>500</v>
      </c>
      <c r="X295" s="70"/>
      <c r="Y295" s="70">
        <f>SUM(W295:X295)</f>
        <v>500</v>
      </c>
      <c r="Z295" s="70"/>
      <c r="AA295" s="70">
        <f t="shared" si="149"/>
        <v>500</v>
      </c>
      <c r="AB295" s="70">
        <v>132</v>
      </c>
      <c r="AC295" s="70">
        <f t="shared" si="150"/>
        <v>632</v>
      </c>
      <c r="AD295" s="105"/>
      <c r="AE295" s="105"/>
    </row>
    <row r="296" spans="1:31" s="22" customFormat="1" ht="21.75" customHeight="1">
      <c r="A296" s="56"/>
      <c r="B296" s="72"/>
      <c r="C296" s="56">
        <v>4210</v>
      </c>
      <c r="D296" s="36" t="s">
        <v>96</v>
      </c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>
        <v>0</v>
      </c>
      <c r="T296" s="70">
        <v>1064</v>
      </c>
      <c r="U296" s="70">
        <f>SUM(S296:T296)</f>
        <v>1064</v>
      </c>
      <c r="V296" s="70"/>
      <c r="W296" s="70">
        <f>SUM(U296:V296)</f>
        <v>1064</v>
      </c>
      <c r="X296" s="70"/>
      <c r="Y296" s="70">
        <f>SUM(W296:X296)</f>
        <v>1064</v>
      </c>
      <c r="Z296" s="70"/>
      <c r="AA296" s="70">
        <f t="shared" si="149"/>
        <v>1064</v>
      </c>
      <c r="AB296" s="70"/>
      <c r="AC296" s="70">
        <f t="shared" si="150"/>
        <v>1064</v>
      </c>
      <c r="AD296" s="105"/>
      <c r="AE296" s="105"/>
    </row>
    <row r="297" spans="1:31" s="22" customFormat="1" ht="21.75" customHeight="1">
      <c r="A297" s="56"/>
      <c r="B297" s="72"/>
      <c r="C297" s="56">
        <v>4300</v>
      </c>
      <c r="D297" s="12" t="s">
        <v>103</v>
      </c>
      <c r="E297" s="70">
        <f>50986+1500</f>
        <v>52486</v>
      </c>
      <c r="F297" s="70"/>
      <c r="G297" s="70">
        <f>SUM(E297:F297)</f>
        <v>52486</v>
      </c>
      <c r="H297" s="70"/>
      <c r="I297" s="70">
        <f>SUM(G297:H297)</f>
        <v>52486</v>
      </c>
      <c r="J297" s="70"/>
      <c r="K297" s="70">
        <f>SUM(I297:J297)</f>
        <v>52486</v>
      </c>
      <c r="L297" s="70"/>
      <c r="M297" s="70">
        <f>SUM(K297:L297)</f>
        <v>52486</v>
      </c>
      <c r="N297" s="70"/>
      <c r="O297" s="70">
        <f>SUM(M297:N297)</f>
        <v>52486</v>
      </c>
      <c r="P297" s="70"/>
      <c r="Q297" s="70">
        <f>SUM(O297:P297)</f>
        <v>52486</v>
      </c>
      <c r="R297" s="70"/>
      <c r="S297" s="70">
        <f>SUM(Q297:R297)</f>
        <v>52486</v>
      </c>
      <c r="T297" s="70"/>
      <c r="U297" s="70">
        <f>SUM(S297:T297)</f>
        <v>52486</v>
      </c>
      <c r="V297" s="70">
        <f>65857+4880</f>
        <v>70737</v>
      </c>
      <c r="W297" s="70">
        <f>SUM(U297:V297)</f>
        <v>123223</v>
      </c>
      <c r="X297" s="70"/>
      <c r="Y297" s="70">
        <f>SUM(W297:X297)</f>
        <v>123223</v>
      </c>
      <c r="Z297" s="70"/>
      <c r="AA297" s="70">
        <f t="shared" si="149"/>
        <v>123223</v>
      </c>
      <c r="AB297" s="70">
        <v>128369</v>
      </c>
      <c r="AC297" s="70">
        <f t="shared" si="150"/>
        <v>251592</v>
      </c>
      <c r="AD297" s="105"/>
      <c r="AE297" s="105"/>
    </row>
    <row r="298" spans="1:31" s="22" customFormat="1" ht="24">
      <c r="A298" s="56"/>
      <c r="B298" s="72"/>
      <c r="C298" s="56">
        <v>4440</v>
      </c>
      <c r="D298" s="36" t="s">
        <v>112</v>
      </c>
      <c r="E298" s="70">
        <v>154075</v>
      </c>
      <c r="F298" s="70"/>
      <c r="G298" s="70">
        <f>SUM(E298:F298)</f>
        <v>154075</v>
      </c>
      <c r="H298" s="70"/>
      <c r="I298" s="70">
        <f>SUM(G298:H298)</f>
        <v>154075</v>
      </c>
      <c r="J298" s="70"/>
      <c r="K298" s="70">
        <f>SUM(I298:J298)</f>
        <v>154075</v>
      </c>
      <c r="L298" s="70"/>
      <c r="M298" s="70">
        <f>SUM(K298:L298)</f>
        <v>154075</v>
      </c>
      <c r="N298" s="70"/>
      <c r="O298" s="70">
        <f>SUM(M298:N298)</f>
        <v>154075</v>
      </c>
      <c r="P298" s="70"/>
      <c r="Q298" s="70">
        <f>SUM(O298:P298)</f>
        <v>154075</v>
      </c>
      <c r="R298" s="70"/>
      <c r="S298" s="70">
        <f>SUM(Q298:R298)</f>
        <v>154075</v>
      </c>
      <c r="T298" s="70"/>
      <c r="U298" s="70">
        <f>SUM(S298:T298)</f>
        <v>154075</v>
      </c>
      <c r="V298" s="70"/>
      <c r="W298" s="70">
        <f>SUM(U298:V298)</f>
        <v>154075</v>
      </c>
      <c r="X298" s="70"/>
      <c r="Y298" s="70">
        <f>SUM(W298:X298)</f>
        <v>154075</v>
      </c>
      <c r="Z298" s="70"/>
      <c r="AA298" s="70">
        <f t="shared" si="149"/>
        <v>154075</v>
      </c>
      <c r="AB298" s="70"/>
      <c r="AC298" s="70">
        <f t="shared" si="150"/>
        <v>154075</v>
      </c>
      <c r="AD298" s="105"/>
      <c r="AE298" s="105"/>
    </row>
    <row r="299" spans="1:31" s="22" customFormat="1" ht="24">
      <c r="A299" s="56"/>
      <c r="B299" s="72"/>
      <c r="C299" s="56">
        <v>4700</v>
      </c>
      <c r="D299" s="36" t="s">
        <v>321</v>
      </c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>
        <v>0</v>
      </c>
      <c r="P299" s="70">
        <v>2451</v>
      </c>
      <c r="Q299" s="70">
        <f>SUM(O299:P299)</f>
        <v>2451</v>
      </c>
      <c r="R299" s="70"/>
      <c r="S299" s="70">
        <f>SUM(Q299:R299)</f>
        <v>2451</v>
      </c>
      <c r="T299" s="70"/>
      <c r="U299" s="70">
        <f>SUM(S299:T299)</f>
        <v>2451</v>
      </c>
      <c r="V299" s="70"/>
      <c r="W299" s="70">
        <f>SUM(U299:V299)</f>
        <v>2451</v>
      </c>
      <c r="X299" s="70">
        <v>1800</v>
      </c>
      <c r="Y299" s="70">
        <f>SUM(W299:X299)</f>
        <v>4251</v>
      </c>
      <c r="Z299" s="70"/>
      <c r="AA299" s="70">
        <f t="shared" si="149"/>
        <v>4251</v>
      </c>
      <c r="AB299" s="70"/>
      <c r="AC299" s="70">
        <f t="shared" si="150"/>
        <v>4251</v>
      </c>
      <c r="AD299" s="105"/>
      <c r="AE299" s="105"/>
    </row>
    <row r="300" spans="1:31" s="5" customFormat="1" ht="24.75" customHeight="1">
      <c r="A300" s="31" t="s">
        <v>146</v>
      </c>
      <c r="B300" s="32"/>
      <c r="C300" s="33"/>
      <c r="D300" s="34" t="s">
        <v>76</v>
      </c>
      <c r="E300" s="35">
        <f aca="true" t="shared" si="182" ref="E300:Z300">SUM(E303,E315,E301)</f>
        <v>157098</v>
      </c>
      <c r="F300" s="35">
        <f t="shared" si="182"/>
        <v>0</v>
      </c>
      <c r="G300" s="35">
        <f t="shared" si="182"/>
        <v>157098</v>
      </c>
      <c r="H300" s="35">
        <f t="shared" si="182"/>
        <v>0</v>
      </c>
      <c r="I300" s="35">
        <f t="shared" si="182"/>
        <v>157098</v>
      </c>
      <c r="J300" s="35">
        <f t="shared" si="182"/>
        <v>0</v>
      </c>
      <c r="K300" s="35">
        <f t="shared" si="182"/>
        <v>157098</v>
      </c>
      <c r="L300" s="35">
        <f t="shared" si="182"/>
        <v>0</v>
      </c>
      <c r="M300" s="35">
        <f t="shared" si="182"/>
        <v>157098</v>
      </c>
      <c r="N300" s="35">
        <f t="shared" si="182"/>
        <v>0</v>
      </c>
      <c r="O300" s="35">
        <f t="shared" si="182"/>
        <v>157098</v>
      </c>
      <c r="P300" s="35">
        <f t="shared" si="182"/>
        <v>0</v>
      </c>
      <c r="Q300" s="35">
        <f t="shared" si="182"/>
        <v>157098</v>
      </c>
      <c r="R300" s="35">
        <f t="shared" si="182"/>
        <v>4318</v>
      </c>
      <c r="S300" s="35">
        <f t="shared" si="182"/>
        <v>161416</v>
      </c>
      <c r="T300" s="35">
        <f t="shared" si="182"/>
        <v>0</v>
      </c>
      <c r="U300" s="35">
        <f t="shared" si="182"/>
        <v>161416</v>
      </c>
      <c r="V300" s="35">
        <f t="shared" si="182"/>
        <v>0</v>
      </c>
      <c r="W300" s="35">
        <f t="shared" si="182"/>
        <v>161416</v>
      </c>
      <c r="X300" s="35">
        <f t="shared" si="182"/>
        <v>432</v>
      </c>
      <c r="Y300" s="35">
        <f t="shared" si="182"/>
        <v>161848</v>
      </c>
      <c r="Z300" s="35">
        <f t="shared" si="182"/>
        <v>0</v>
      </c>
      <c r="AA300" s="35">
        <f t="shared" si="149"/>
        <v>161848</v>
      </c>
      <c r="AB300" s="35">
        <f>SUM(AB303,AB315,AB301)</f>
        <v>0</v>
      </c>
      <c r="AC300" s="35">
        <f t="shared" si="150"/>
        <v>161848</v>
      </c>
      <c r="AD300" s="130"/>
      <c r="AE300" s="130"/>
    </row>
    <row r="301" spans="1:31" s="5" customFormat="1" ht="24.75" customHeight="1">
      <c r="A301" s="31"/>
      <c r="B301" s="77">
        <v>85153</v>
      </c>
      <c r="C301" s="76"/>
      <c r="D301" s="36" t="s">
        <v>264</v>
      </c>
      <c r="E301" s="70">
        <f aca="true" t="shared" si="183" ref="E301:AB301">SUM(E302:E302)</f>
        <v>9700</v>
      </c>
      <c r="F301" s="70">
        <f t="shared" si="183"/>
        <v>0</v>
      </c>
      <c r="G301" s="70">
        <f t="shared" si="183"/>
        <v>9700</v>
      </c>
      <c r="H301" s="70">
        <f t="shared" si="183"/>
        <v>0</v>
      </c>
      <c r="I301" s="70">
        <f t="shared" si="183"/>
        <v>9700</v>
      </c>
      <c r="J301" s="70">
        <f t="shared" si="183"/>
        <v>0</v>
      </c>
      <c r="K301" s="70">
        <f t="shared" si="183"/>
        <v>9700</v>
      </c>
      <c r="L301" s="70">
        <f t="shared" si="183"/>
        <v>0</v>
      </c>
      <c r="M301" s="70">
        <f t="shared" si="183"/>
        <v>9700</v>
      </c>
      <c r="N301" s="70">
        <f t="shared" si="183"/>
        <v>0</v>
      </c>
      <c r="O301" s="70">
        <f t="shared" si="183"/>
        <v>9700</v>
      </c>
      <c r="P301" s="70">
        <f t="shared" si="183"/>
        <v>0</v>
      </c>
      <c r="Q301" s="70">
        <f t="shared" si="183"/>
        <v>9700</v>
      </c>
      <c r="R301" s="70">
        <f t="shared" si="183"/>
        <v>0</v>
      </c>
      <c r="S301" s="70">
        <f t="shared" si="183"/>
        <v>9700</v>
      </c>
      <c r="T301" s="70">
        <f t="shared" si="183"/>
        <v>0</v>
      </c>
      <c r="U301" s="70">
        <f t="shared" si="183"/>
        <v>9700</v>
      </c>
      <c r="V301" s="70">
        <f t="shared" si="183"/>
        <v>0</v>
      </c>
      <c r="W301" s="70">
        <f t="shared" si="183"/>
        <v>9700</v>
      </c>
      <c r="X301" s="70">
        <f t="shared" si="183"/>
        <v>0</v>
      </c>
      <c r="Y301" s="70">
        <f t="shared" si="183"/>
        <v>9700</v>
      </c>
      <c r="Z301" s="70">
        <f t="shared" si="183"/>
        <v>0</v>
      </c>
      <c r="AA301" s="70">
        <f t="shared" si="149"/>
        <v>9700</v>
      </c>
      <c r="AB301" s="70">
        <f t="shared" si="183"/>
        <v>0</v>
      </c>
      <c r="AC301" s="70">
        <f t="shared" si="150"/>
        <v>9700</v>
      </c>
      <c r="AD301" s="130"/>
      <c r="AE301" s="130"/>
    </row>
    <row r="302" spans="1:31" s="5" customFormat="1" ht="24.75" customHeight="1">
      <c r="A302" s="31"/>
      <c r="B302" s="77"/>
      <c r="C302" s="76">
        <v>4300</v>
      </c>
      <c r="D302" s="36" t="s">
        <v>103</v>
      </c>
      <c r="E302" s="70">
        <v>9700</v>
      </c>
      <c r="F302" s="70"/>
      <c r="G302" s="70">
        <f>SUM(E302:F302)</f>
        <v>9700</v>
      </c>
      <c r="H302" s="70"/>
      <c r="I302" s="70">
        <f>SUM(G302:H302)</f>
        <v>9700</v>
      </c>
      <c r="J302" s="70"/>
      <c r="K302" s="70">
        <f>SUM(I302:J302)</f>
        <v>9700</v>
      </c>
      <c r="L302" s="70"/>
      <c r="M302" s="70">
        <f>SUM(K302:L302)</f>
        <v>9700</v>
      </c>
      <c r="N302" s="70"/>
      <c r="O302" s="70">
        <f>SUM(M302:N302)</f>
        <v>9700</v>
      </c>
      <c r="P302" s="70"/>
      <c r="Q302" s="70">
        <f>SUM(O302:P302)</f>
        <v>9700</v>
      </c>
      <c r="R302" s="70"/>
      <c r="S302" s="70">
        <f>SUM(Q302:R302)</f>
        <v>9700</v>
      </c>
      <c r="T302" s="70"/>
      <c r="U302" s="70">
        <f>SUM(S302:T302)</f>
        <v>9700</v>
      </c>
      <c r="V302" s="70"/>
      <c r="W302" s="70">
        <f>SUM(U302:V302)</f>
        <v>9700</v>
      </c>
      <c r="X302" s="70"/>
      <c r="Y302" s="70">
        <f>SUM(W302:X302)</f>
        <v>9700</v>
      </c>
      <c r="Z302" s="70"/>
      <c r="AA302" s="70">
        <f t="shared" si="149"/>
        <v>9700</v>
      </c>
      <c r="AB302" s="70"/>
      <c r="AC302" s="70">
        <f t="shared" si="150"/>
        <v>9700</v>
      </c>
      <c r="AD302" s="130"/>
      <c r="AE302" s="130"/>
    </row>
    <row r="303" spans="1:31" s="22" customFormat="1" ht="21" customHeight="1">
      <c r="A303" s="56"/>
      <c r="B303" s="72" t="s">
        <v>147</v>
      </c>
      <c r="C303" s="76"/>
      <c r="D303" s="36" t="s">
        <v>77</v>
      </c>
      <c r="E303" s="70">
        <f aca="true" t="shared" si="184" ref="E303:Z303">SUM(E304:E314)</f>
        <v>137398</v>
      </c>
      <c r="F303" s="70">
        <f t="shared" si="184"/>
        <v>0</v>
      </c>
      <c r="G303" s="70">
        <f t="shared" si="184"/>
        <v>137398</v>
      </c>
      <c r="H303" s="70">
        <f t="shared" si="184"/>
        <v>0</v>
      </c>
      <c r="I303" s="70">
        <f t="shared" si="184"/>
        <v>137398</v>
      </c>
      <c r="J303" s="70">
        <f t="shared" si="184"/>
        <v>0</v>
      </c>
      <c r="K303" s="70">
        <f t="shared" si="184"/>
        <v>137398</v>
      </c>
      <c r="L303" s="70">
        <f t="shared" si="184"/>
        <v>0</v>
      </c>
      <c r="M303" s="70">
        <f t="shared" si="184"/>
        <v>137398</v>
      </c>
      <c r="N303" s="70">
        <f t="shared" si="184"/>
        <v>0</v>
      </c>
      <c r="O303" s="70">
        <f t="shared" si="184"/>
        <v>137398</v>
      </c>
      <c r="P303" s="70">
        <f t="shared" si="184"/>
        <v>0</v>
      </c>
      <c r="Q303" s="70">
        <f t="shared" si="184"/>
        <v>137398</v>
      </c>
      <c r="R303" s="70">
        <f t="shared" si="184"/>
        <v>4318</v>
      </c>
      <c r="S303" s="70">
        <f t="shared" si="184"/>
        <v>141716</v>
      </c>
      <c r="T303" s="70">
        <f t="shared" si="184"/>
        <v>0</v>
      </c>
      <c r="U303" s="70">
        <f t="shared" si="184"/>
        <v>141716</v>
      </c>
      <c r="V303" s="70">
        <f t="shared" si="184"/>
        <v>0</v>
      </c>
      <c r="W303" s="70">
        <f t="shared" si="184"/>
        <v>141716</v>
      </c>
      <c r="X303" s="70">
        <f t="shared" si="184"/>
        <v>432</v>
      </c>
      <c r="Y303" s="70">
        <f t="shared" si="184"/>
        <v>142148</v>
      </c>
      <c r="Z303" s="70">
        <f t="shared" si="184"/>
        <v>0</v>
      </c>
      <c r="AA303" s="70">
        <f t="shared" si="149"/>
        <v>142148</v>
      </c>
      <c r="AB303" s="70">
        <f>SUM(AB304:AB314)</f>
        <v>0</v>
      </c>
      <c r="AC303" s="70">
        <f t="shared" si="150"/>
        <v>142148</v>
      </c>
      <c r="AD303" s="105"/>
      <c r="AE303" s="105"/>
    </row>
    <row r="304" spans="1:31" s="22" customFormat="1" ht="24">
      <c r="A304" s="56"/>
      <c r="B304" s="77"/>
      <c r="C304" s="76">
        <v>2630</v>
      </c>
      <c r="D304" s="36" t="s">
        <v>263</v>
      </c>
      <c r="E304" s="70">
        <v>73240</v>
      </c>
      <c r="F304" s="70"/>
      <c r="G304" s="70">
        <f>SUM(E304:F304)</f>
        <v>73240</v>
      </c>
      <c r="H304" s="70">
        <f>-55200-13200</f>
        <v>-68400</v>
      </c>
      <c r="I304" s="70">
        <f>SUM(G304:H304)</f>
        <v>4840</v>
      </c>
      <c r="J304" s="70"/>
      <c r="K304" s="70">
        <f>SUM(I304:J304)</f>
        <v>4840</v>
      </c>
      <c r="L304" s="70"/>
      <c r="M304" s="70">
        <f>SUM(K304:L304)</f>
        <v>4840</v>
      </c>
      <c r="N304" s="70"/>
      <c r="O304" s="70">
        <f>SUM(M304:N304)</f>
        <v>4840</v>
      </c>
      <c r="P304" s="70"/>
      <c r="Q304" s="70">
        <f>SUM(O304:P304)</f>
        <v>4840</v>
      </c>
      <c r="R304" s="70">
        <v>-4840</v>
      </c>
      <c r="S304" s="70">
        <f aca="true" t="shared" si="185" ref="S304:S314">SUM(Q304:R304)</f>
        <v>0</v>
      </c>
      <c r="T304" s="70"/>
      <c r="U304" s="70">
        <f aca="true" t="shared" si="186" ref="U304:U314">SUM(S304:T304)</f>
        <v>0</v>
      </c>
      <c r="V304" s="70"/>
      <c r="W304" s="70">
        <f aca="true" t="shared" si="187" ref="W304:W314">SUM(U304:V304)</f>
        <v>0</v>
      </c>
      <c r="X304" s="70"/>
      <c r="Y304" s="70">
        <f aca="true" t="shared" si="188" ref="Y304:Y314">SUM(W304:X304)</f>
        <v>0</v>
      </c>
      <c r="Z304" s="70"/>
      <c r="AA304" s="70">
        <f t="shared" si="149"/>
        <v>0</v>
      </c>
      <c r="AB304" s="70"/>
      <c r="AC304" s="70">
        <f t="shared" si="150"/>
        <v>0</v>
      </c>
      <c r="AD304" s="105"/>
      <c r="AE304" s="105"/>
    </row>
    <row r="305" spans="1:31" s="22" customFormat="1" ht="36">
      <c r="A305" s="56"/>
      <c r="B305" s="77"/>
      <c r="C305" s="76">
        <v>2710</v>
      </c>
      <c r="D305" s="36" t="s">
        <v>323</v>
      </c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>
        <v>0</v>
      </c>
      <c r="R305" s="70">
        <v>9158</v>
      </c>
      <c r="S305" s="70">
        <f t="shared" si="185"/>
        <v>9158</v>
      </c>
      <c r="T305" s="70"/>
      <c r="U305" s="70">
        <f t="shared" si="186"/>
        <v>9158</v>
      </c>
      <c r="V305" s="70"/>
      <c r="W305" s="70">
        <f t="shared" si="187"/>
        <v>9158</v>
      </c>
      <c r="X305" s="70"/>
      <c r="Y305" s="70">
        <f t="shared" si="188"/>
        <v>9158</v>
      </c>
      <c r="Z305" s="70"/>
      <c r="AA305" s="70">
        <f t="shared" si="149"/>
        <v>9158</v>
      </c>
      <c r="AB305" s="70"/>
      <c r="AC305" s="70">
        <f t="shared" si="150"/>
        <v>9158</v>
      </c>
      <c r="AD305" s="105"/>
      <c r="AE305" s="105"/>
    </row>
    <row r="306" spans="1:31" s="22" customFormat="1" ht="36">
      <c r="A306" s="56"/>
      <c r="B306" s="77"/>
      <c r="C306" s="76">
        <v>2820</v>
      </c>
      <c r="D306" s="36" t="s">
        <v>355</v>
      </c>
      <c r="E306" s="70"/>
      <c r="F306" s="70"/>
      <c r="G306" s="70">
        <v>0</v>
      </c>
      <c r="H306" s="70">
        <f>13200</f>
        <v>13200</v>
      </c>
      <c r="I306" s="70">
        <f aca="true" t="shared" si="189" ref="I306:I314">SUM(G306:H306)</f>
        <v>13200</v>
      </c>
      <c r="J306" s="70"/>
      <c r="K306" s="70">
        <f aca="true" t="shared" si="190" ref="K306:K314">SUM(I306:J306)</f>
        <v>13200</v>
      </c>
      <c r="L306" s="70"/>
      <c r="M306" s="70">
        <f aca="true" t="shared" si="191" ref="M306:M314">SUM(K306:L306)</f>
        <v>13200</v>
      </c>
      <c r="N306" s="70"/>
      <c r="O306" s="70">
        <f aca="true" t="shared" si="192" ref="O306:O314">SUM(M306:N306)</f>
        <v>13200</v>
      </c>
      <c r="P306" s="70"/>
      <c r="Q306" s="70">
        <f aca="true" t="shared" si="193" ref="Q306:Q314">SUM(O306:P306)</f>
        <v>13200</v>
      </c>
      <c r="R306" s="70"/>
      <c r="S306" s="70">
        <f t="shared" si="185"/>
        <v>13200</v>
      </c>
      <c r="T306" s="70"/>
      <c r="U306" s="70">
        <f t="shared" si="186"/>
        <v>13200</v>
      </c>
      <c r="V306" s="70"/>
      <c r="W306" s="70">
        <f t="shared" si="187"/>
        <v>13200</v>
      </c>
      <c r="X306" s="70"/>
      <c r="Y306" s="70">
        <f t="shared" si="188"/>
        <v>13200</v>
      </c>
      <c r="Z306" s="70"/>
      <c r="AA306" s="70">
        <f t="shared" si="149"/>
        <v>13200</v>
      </c>
      <c r="AB306" s="70"/>
      <c r="AC306" s="70">
        <f t="shared" si="150"/>
        <v>13200</v>
      </c>
      <c r="AD306" s="105"/>
      <c r="AE306" s="105"/>
    </row>
    <row r="307" spans="1:31" s="22" customFormat="1" ht="48">
      <c r="A307" s="56"/>
      <c r="B307" s="77"/>
      <c r="C307" s="76">
        <v>2830</v>
      </c>
      <c r="D307" s="36" t="s">
        <v>356</v>
      </c>
      <c r="E307" s="70"/>
      <c r="F307" s="70"/>
      <c r="G307" s="70">
        <v>0</v>
      </c>
      <c r="H307" s="70">
        <f>46000+9200</f>
        <v>55200</v>
      </c>
      <c r="I307" s="70">
        <f t="shared" si="189"/>
        <v>55200</v>
      </c>
      <c r="J307" s="70"/>
      <c r="K307" s="70">
        <f t="shared" si="190"/>
        <v>55200</v>
      </c>
      <c r="L307" s="70"/>
      <c r="M307" s="70">
        <f t="shared" si="191"/>
        <v>55200</v>
      </c>
      <c r="N307" s="70"/>
      <c r="O307" s="70">
        <f t="shared" si="192"/>
        <v>55200</v>
      </c>
      <c r="P307" s="70"/>
      <c r="Q307" s="70">
        <f t="shared" si="193"/>
        <v>55200</v>
      </c>
      <c r="R307" s="70"/>
      <c r="S307" s="70">
        <f t="shared" si="185"/>
        <v>55200</v>
      </c>
      <c r="T307" s="70"/>
      <c r="U307" s="70">
        <f t="shared" si="186"/>
        <v>55200</v>
      </c>
      <c r="V307" s="70"/>
      <c r="W307" s="70">
        <f t="shared" si="187"/>
        <v>55200</v>
      </c>
      <c r="X307" s="70"/>
      <c r="Y307" s="70">
        <f t="shared" si="188"/>
        <v>55200</v>
      </c>
      <c r="Z307" s="70"/>
      <c r="AA307" s="70">
        <f t="shared" si="149"/>
        <v>55200</v>
      </c>
      <c r="AB307" s="70"/>
      <c r="AC307" s="70">
        <f t="shared" si="150"/>
        <v>55200</v>
      </c>
      <c r="AD307" s="105"/>
      <c r="AE307" s="105"/>
    </row>
    <row r="308" spans="1:31" s="22" customFormat="1" ht="24.75" customHeight="1">
      <c r="A308" s="56"/>
      <c r="B308" s="77"/>
      <c r="C308" s="76">
        <v>4110</v>
      </c>
      <c r="D308" s="12" t="s">
        <v>110</v>
      </c>
      <c r="E308" s="70">
        <v>1758</v>
      </c>
      <c r="F308" s="70"/>
      <c r="G308" s="70">
        <f aca="true" t="shared" si="194" ref="G308:G314">SUM(E308:F308)</f>
        <v>1758</v>
      </c>
      <c r="H308" s="70"/>
      <c r="I308" s="70">
        <f t="shared" si="189"/>
        <v>1758</v>
      </c>
      <c r="J308" s="70"/>
      <c r="K308" s="70">
        <f t="shared" si="190"/>
        <v>1758</v>
      </c>
      <c r="L308" s="70"/>
      <c r="M308" s="70">
        <f t="shared" si="191"/>
        <v>1758</v>
      </c>
      <c r="N308" s="70"/>
      <c r="O308" s="70">
        <f t="shared" si="192"/>
        <v>1758</v>
      </c>
      <c r="P308" s="70"/>
      <c r="Q308" s="70">
        <f t="shared" si="193"/>
        <v>1758</v>
      </c>
      <c r="R308" s="70"/>
      <c r="S308" s="70">
        <f t="shared" si="185"/>
        <v>1758</v>
      </c>
      <c r="T308" s="70"/>
      <c r="U308" s="70">
        <f t="shared" si="186"/>
        <v>1758</v>
      </c>
      <c r="V308" s="70"/>
      <c r="W308" s="70">
        <f t="shared" si="187"/>
        <v>1758</v>
      </c>
      <c r="X308" s="70"/>
      <c r="Y308" s="70">
        <f t="shared" si="188"/>
        <v>1758</v>
      </c>
      <c r="Z308" s="70"/>
      <c r="AA308" s="70">
        <f t="shared" si="149"/>
        <v>1758</v>
      </c>
      <c r="AB308" s="70"/>
      <c r="AC308" s="70">
        <f t="shared" si="150"/>
        <v>1758</v>
      </c>
      <c r="AD308" s="105"/>
      <c r="AE308" s="105"/>
    </row>
    <row r="309" spans="1:31" s="22" customFormat="1" ht="21" customHeight="1">
      <c r="A309" s="56"/>
      <c r="B309" s="77"/>
      <c r="C309" s="76">
        <v>4170</v>
      </c>
      <c r="D309" s="36" t="s">
        <v>227</v>
      </c>
      <c r="E309" s="70">
        <v>36800</v>
      </c>
      <c r="F309" s="70"/>
      <c r="G309" s="70">
        <f t="shared" si="194"/>
        <v>36800</v>
      </c>
      <c r="H309" s="70"/>
      <c r="I309" s="70">
        <f t="shared" si="189"/>
        <v>36800</v>
      </c>
      <c r="J309" s="70"/>
      <c r="K309" s="70">
        <f t="shared" si="190"/>
        <v>36800</v>
      </c>
      <c r="L309" s="70"/>
      <c r="M309" s="70">
        <f t="shared" si="191"/>
        <v>36800</v>
      </c>
      <c r="N309" s="70"/>
      <c r="O309" s="70">
        <f t="shared" si="192"/>
        <v>36800</v>
      </c>
      <c r="P309" s="70"/>
      <c r="Q309" s="70">
        <f t="shared" si="193"/>
        <v>36800</v>
      </c>
      <c r="R309" s="70"/>
      <c r="S309" s="70">
        <f t="shared" si="185"/>
        <v>36800</v>
      </c>
      <c r="T309" s="70"/>
      <c r="U309" s="70">
        <f t="shared" si="186"/>
        <v>36800</v>
      </c>
      <c r="V309" s="70"/>
      <c r="W309" s="70">
        <f t="shared" si="187"/>
        <v>36800</v>
      </c>
      <c r="X309" s="70"/>
      <c r="Y309" s="70">
        <f t="shared" si="188"/>
        <v>36800</v>
      </c>
      <c r="Z309" s="70"/>
      <c r="AA309" s="70">
        <f t="shared" si="149"/>
        <v>36800</v>
      </c>
      <c r="AB309" s="70"/>
      <c r="AC309" s="70">
        <f t="shared" si="150"/>
        <v>36800</v>
      </c>
      <c r="AD309" s="105"/>
      <c r="AE309" s="105"/>
    </row>
    <row r="310" spans="1:31" s="22" customFormat="1" ht="21" customHeight="1">
      <c r="A310" s="56"/>
      <c r="B310" s="77"/>
      <c r="C310" s="76">
        <v>4210</v>
      </c>
      <c r="D310" s="12" t="s">
        <v>116</v>
      </c>
      <c r="E310" s="70">
        <v>7000</v>
      </c>
      <c r="F310" s="70"/>
      <c r="G310" s="70">
        <f t="shared" si="194"/>
        <v>7000</v>
      </c>
      <c r="H310" s="70"/>
      <c r="I310" s="70">
        <f t="shared" si="189"/>
        <v>7000</v>
      </c>
      <c r="J310" s="70"/>
      <c r="K310" s="70">
        <f t="shared" si="190"/>
        <v>7000</v>
      </c>
      <c r="L310" s="70"/>
      <c r="M310" s="70">
        <f t="shared" si="191"/>
        <v>7000</v>
      </c>
      <c r="N310" s="70"/>
      <c r="O310" s="70">
        <f t="shared" si="192"/>
        <v>7000</v>
      </c>
      <c r="P310" s="70"/>
      <c r="Q310" s="70">
        <f t="shared" si="193"/>
        <v>7000</v>
      </c>
      <c r="R310" s="70"/>
      <c r="S310" s="70">
        <f t="shared" si="185"/>
        <v>7000</v>
      </c>
      <c r="T310" s="70"/>
      <c r="U310" s="70">
        <f t="shared" si="186"/>
        <v>7000</v>
      </c>
      <c r="V310" s="70"/>
      <c r="W310" s="70">
        <f t="shared" si="187"/>
        <v>7000</v>
      </c>
      <c r="X310" s="70"/>
      <c r="Y310" s="70">
        <f t="shared" si="188"/>
        <v>7000</v>
      </c>
      <c r="Z310" s="70"/>
      <c r="AA310" s="70">
        <f t="shared" si="149"/>
        <v>7000</v>
      </c>
      <c r="AB310" s="70"/>
      <c r="AC310" s="70">
        <f t="shared" si="150"/>
        <v>7000</v>
      </c>
      <c r="AD310" s="105"/>
      <c r="AE310" s="105"/>
    </row>
    <row r="311" spans="1:31" s="22" customFormat="1" ht="21" customHeight="1">
      <c r="A311" s="56"/>
      <c r="B311" s="77"/>
      <c r="C311" s="76">
        <v>4220</v>
      </c>
      <c r="D311" s="12" t="s">
        <v>210</v>
      </c>
      <c r="E311" s="70">
        <v>13500</v>
      </c>
      <c r="F311" s="70"/>
      <c r="G311" s="70">
        <f t="shared" si="194"/>
        <v>13500</v>
      </c>
      <c r="H311" s="70"/>
      <c r="I311" s="70">
        <f t="shared" si="189"/>
        <v>13500</v>
      </c>
      <c r="J311" s="70"/>
      <c r="K311" s="70">
        <f t="shared" si="190"/>
        <v>13500</v>
      </c>
      <c r="L311" s="70"/>
      <c r="M311" s="70">
        <f t="shared" si="191"/>
        <v>13500</v>
      </c>
      <c r="N311" s="70"/>
      <c r="O311" s="70">
        <f t="shared" si="192"/>
        <v>13500</v>
      </c>
      <c r="P311" s="70"/>
      <c r="Q311" s="70">
        <f t="shared" si="193"/>
        <v>13500</v>
      </c>
      <c r="R311" s="70"/>
      <c r="S311" s="70">
        <f t="shared" si="185"/>
        <v>13500</v>
      </c>
      <c r="T311" s="70"/>
      <c r="U311" s="70">
        <f t="shared" si="186"/>
        <v>13500</v>
      </c>
      <c r="V311" s="70"/>
      <c r="W311" s="70">
        <f t="shared" si="187"/>
        <v>13500</v>
      </c>
      <c r="X311" s="70"/>
      <c r="Y311" s="70">
        <f t="shared" si="188"/>
        <v>13500</v>
      </c>
      <c r="Z311" s="70"/>
      <c r="AA311" s="70">
        <f t="shared" si="149"/>
        <v>13500</v>
      </c>
      <c r="AB311" s="70"/>
      <c r="AC311" s="70">
        <f t="shared" si="150"/>
        <v>13500</v>
      </c>
      <c r="AD311" s="105"/>
      <c r="AE311" s="105"/>
    </row>
    <row r="312" spans="1:31" s="22" customFormat="1" ht="21" customHeight="1">
      <c r="A312" s="56"/>
      <c r="B312" s="77"/>
      <c r="C312" s="76">
        <v>4300</v>
      </c>
      <c r="D312" s="36" t="s">
        <v>103</v>
      </c>
      <c r="E312" s="70">
        <v>3100</v>
      </c>
      <c r="F312" s="70"/>
      <c r="G312" s="70">
        <f t="shared" si="194"/>
        <v>3100</v>
      </c>
      <c r="H312" s="70"/>
      <c r="I312" s="70">
        <f t="shared" si="189"/>
        <v>3100</v>
      </c>
      <c r="J312" s="70"/>
      <c r="K312" s="70">
        <f t="shared" si="190"/>
        <v>3100</v>
      </c>
      <c r="L312" s="70"/>
      <c r="M312" s="70">
        <f t="shared" si="191"/>
        <v>3100</v>
      </c>
      <c r="N312" s="70"/>
      <c r="O312" s="70">
        <f t="shared" si="192"/>
        <v>3100</v>
      </c>
      <c r="P312" s="70"/>
      <c r="Q312" s="70">
        <f t="shared" si="193"/>
        <v>3100</v>
      </c>
      <c r="R312" s="70"/>
      <c r="S312" s="70">
        <f t="shared" si="185"/>
        <v>3100</v>
      </c>
      <c r="T312" s="70"/>
      <c r="U312" s="70">
        <f t="shared" si="186"/>
        <v>3100</v>
      </c>
      <c r="V312" s="70"/>
      <c r="W312" s="70">
        <f t="shared" si="187"/>
        <v>3100</v>
      </c>
      <c r="X312" s="70"/>
      <c r="Y312" s="70">
        <f t="shared" si="188"/>
        <v>3100</v>
      </c>
      <c r="Z312" s="70"/>
      <c r="AA312" s="70">
        <f t="shared" si="149"/>
        <v>3100</v>
      </c>
      <c r="AB312" s="70"/>
      <c r="AC312" s="70">
        <f t="shared" si="150"/>
        <v>3100</v>
      </c>
      <c r="AD312" s="105"/>
      <c r="AE312" s="105"/>
    </row>
    <row r="313" spans="1:31" s="22" customFormat="1" ht="21" customHeight="1">
      <c r="A313" s="56"/>
      <c r="B313" s="77"/>
      <c r="C313" s="76">
        <v>4350</v>
      </c>
      <c r="D313" s="36" t="s">
        <v>260</v>
      </c>
      <c r="E313" s="70">
        <v>800</v>
      </c>
      <c r="F313" s="70"/>
      <c r="G313" s="70">
        <f t="shared" si="194"/>
        <v>800</v>
      </c>
      <c r="H313" s="70"/>
      <c r="I313" s="70">
        <f t="shared" si="189"/>
        <v>800</v>
      </c>
      <c r="J313" s="70"/>
      <c r="K313" s="70">
        <f t="shared" si="190"/>
        <v>800</v>
      </c>
      <c r="L313" s="70"/>
      <c r="M313" s="70">
        <f t="shared" si="191"/>
        <v>800</v>
      </c>
      <c r="N313" s="70"/>
      <c r="O313" s="70">
        <f t="shared" si="192"/>
        <v>800</v>
      </c>
      <c r="P313" s="70"/>
      <c r="Q313" s="70">
        <f t="shared" si="193"/>
        <v>800</v>
      </c>
      <c r="R313" s="70"/>
      <c r="S313" s="70">
        <f t="shared" si="185"/>
        <v>800</v>
      </c>
      <c r="T313" s="70"/>
      <c r="U313" s="70">
        <f t="shared" si="186"/>
        <v>800</v>
      </c>
      <c r="V313" s="70"/>
      <c r="W313" s="70">
        <f t="shared" si="187"/>
        <v>800</v>
      </c>
      <c r="X313" s="70">
        <v>432</v>
      </c>
      <c r="Y313" s="70">
        <f t="shared" si="188"/>
        <v>1232</v>
      </c>
      <c r="Z313" s="70"/>
      <c r="AA313" s="70">
        <f t="shared" si="149"/>
        <v>1232</v>
      </c>
      <c r="AB313" s="70"/>
      <c r="AC313" s="70">
        <f t="shared" si="150"/>
        <v>1232</v>
      </c>
      <c r="AD313" s="105"/>
      <c r="AE313" s="105"/>
    </row>
    <row r="314" spans="1:31" s="22" customFormat="1" ht="21" customHeight="1">
      <c r="A314" s="56"/>
      <c r="B314" s="77"/>
      <c r="C314" s="76">
        <v>4410</v>
      </c>
      <c r="D314" s="36" t="s">
        <v>114</v>
      </c>
      <c r="E314" s="70">
        <v>1200</v>
      </c>
      <c r="F314" s="70"/>
      <c r="G314" s="70">
        <f t="shared" si="194"/>
        <v>1200</v>
      </c>
      <c r="H314" s="70"/>
      <c r="I314" s="70">
        <f t="shared" si="189"/>
        <v>1200</v>
      </c>
      <c r="J314" s="70"/>
      <c r="K314" s="70">
        <f t="shared" si="190"/>
        <v>1200</v>
      </c>
      <c r="L314" s="70"/>
      <c r="M314" s="70">
        <f t="shared" si="191"/>
        <v>1200</v>
      </c>
      <c r="N314" s="70"/>
      <c r="O314" s="70">
        <f t="shared" si="192"/>
        <v>1200</v>
      </c>
      <c r="P314" s="70"/>
      <c r="Q314" s="70">
        <f t="shared" si="193"/>
        <v>1200</v>
      </c>
      <c r="R314" s="70"/>
      <c r="S314" s="70">
        <f t="shared" si="185"/>
        <v>1200</v>
      </c>
      <c r="T314" s="70"/>
      <c r="U314" s="70">
        <f t="shared" si="186"/>
        <v>1200</v>
      </c>
      <c r="V314" s="70"/>
      <c r="W314" s="70">
        <f t="shared" si="187"/>
        <v>1200</v>
      </c>
      <c r="X314" s="70"/>
      <c r="Y314" s="70">
        <f t="shared" si="188"/>
        <v>1200</v>
      </c>
      <c r="Z314" s="70"/>
      <c r="AA314" s="70">
        <f t="shared" si="149"/>
        <v>1200</v>
      </c>
      <c r="AB314" s="70"/>
      <c r="AC314" s="70">
        <f t="shared" si="150"/>
        <v>1200</v>
      </c>
      <c r="AD314" s="105"/>
      <c r="AE314" s="105"/>
    </row>
    <row r="315" spans="1:31" s="22" customFormat="1" ht="21" customHeight="1">
      <c r="A315" s="56"/>
      <c r="B315" s="77">
        <v>85195</v>
      </c>
      <c r="C315" s="76"/>
      <c r="D315" s="36" t="s">
        <v>17</v>
      </c>
      <c r="E315" s="70">
        <f aca="true" t="shared" si="195" ref="E315:AB315">SUM(E316)</f>
        <v>10000</v>
      </c>
      <c r="F315" s="70">
        <f t="shared" si="195"/>
        <v>0</v>
      </c>
      <c r="G315" s="70">
        <f t="shared" si="195"/>
        <v>10000</v>
      </c>
      <c r="H315" s="70">
        <f t="shared" si="195"/>
        <v>0</v>
      </c>
      <c r="I315" s="70">
        <f t="shared" si="195"/>
        <v>10000</v>
      </c>
      <c r="J315" s="70">
        <f t="shared" si="195"/>
        <v>0</v>
      </c>
      <c r="K315" s="70">
        <f t="shared" si="195"/>
        <v>10000</v>
      </c>
      <c r="L315" s="70">
        <f t="shared" si="195"/>
        <v>0</v>
      </c>
      <c r="M315" s="70">
        <f t="shared" si="195"/>
        <v>10000</v>
      </c>
      <c r="N315" s="70">
        <f t="shared" si="195"/>
        <v>0</v>
      </c>
      <c r="O315" s="70">
        <f t="shared" si="195"/>
        <v>10000</v>
      </c>
      <c r="P315" s="70">
        <f t="shared" si="195"/>
        <v>0</v>
      </c>
      <c r="Q315" s="70">
        <f t="shared" si="195"/>
        <v>10000</v>
      </c>
      <c r="R315" s="70">
        <f t="shared" si="195"/>
        <v>0</v>
      </c>
      <c r="S315" s="70">
        <f t="shared" si="195"/>
        <v>10000</v>
      </c>
      <c r="T315" s="70">
        <f t="shared" si="195"/>
        <v>0</v>
      </c>
      <c r="U315" s="70">
        <f t="shared" si="195"/>
        <v>10000</v>
      </c>
      <c r="V315" s="70">
        <f t="shared" si="195"/>
        <v>0</v>
      </c>
      <c r="W315" s="70">
        <f t="shared" si="195"/>
        <v>10000</v>
      </c>
      <c r="X315" s="70">
        <f t="shared" si="195"/>
        <v>0</v>
      </c>
      <c r="Y315" s="70">
        <f t="shared" si="195"/>
        <v>10000</v>
      </c>
      <c r="Z315" s="70">
        <f t="shared" si="195"/>
        <v>0</v>
      </c>
      <c r="AA315" s="70">
        <f t="shared" si="149"/>
        <v>10000</v>
      </c>
      <c r="AB315" s="70">
        <f t="shared" si="195"/>
        <v>0</v>
      </c>
      <c r="AC315" s="70">
        <f t="shared" si="150"/>
        <v>10000</v>
      </c>
      <c r="AD315" s="105"/>
      <c r="AE315" s="105"/>
    </row>
    <row r="316" spans="1:31" s="22" customFormat="1" ht="21" customHeight="1">
      <c r="A316" s="56"/>
      <c r="B316" s="77"/>
      <c r="C316" s="76">
        <v>4430</v>
      </c>
      <c r="D316" s="36" t="s">
        <v>118</v>
      </c>
      <c r="E316" s="70">
        <v>10000</v>
      </c>
      <c r="F316" s="70"/>
      <c r="G316" s="70">
        <f>SUM(E316:F316)</f>
        <v>10000</v>
      </c>
      <c r="H316" s="70"/>
      <c r="I316" s="70">
        <f>SUM(G316:H316)</f>
        <v>10000</v>
      </c>
      <c r="J316" s="70"/>
      <c r="K316" s="70">
        <f>SUM(I316:J316)</f>
        <v>10000</v>
      </c>
      <c r="L316" s="70"/>
      <c r="M316" s="70">
        <f>SUM(K316:L316)</f>
        <v>10000</v>
      </c>
      <c r="N316" s="70"/>
      <c r="O316" s="70">
        <f>SUM(M316:N316)</f>
        <v>10000</v>
      </c>
      <c r="P316" s="70"/>
      <c r="Q316" s="70">
        <f>SUM(O316:P316)</f>
        <v>10000</v>
      </c>
      <c r="R316" s="70"/>
      <c r="S316" s="70">
        <f>SUM(Q316:R316)</f>
        <v>10000</v>
      </c>
      <c r="T316" s="70"/>
      <c r="U316" s="70">
        <f>SUM(S316:T316)</f>
        <v>10000</v>
      </c>
      <c r="V316" s="70"/>
      <c r="W316" s="70">
        <f>SUM(U316:V316)</f>
        <v>10000</v>
      </c>
      <c r="X316" s="70"/>
      <c r="Y316" s="70">
        <f>SUM(W316:X316)</f>
        <v>10000</v>
      </c>
      <c r="Z316" s="70"/>
      <c r="AA316" s="70">
        <f t="shared" si="149"/>
        <v>10000</v>
      </c>
      <c r="AB316" s="70"/>
      <c r="AC316" s="70">
        <f t="shared" si="150"/>
        <v>10000</v>
      </c>
      <c r="AD316" s="105"/>
      <c r="AE316" s="105"/>
    </row>
    <row r="317" spans="1:31" s="5" customFormat="1" ht="24.75" customHeight="1">
      <c r="A317" s="49">
        <v>852</v>
      </c>
      <c r="B317" s="32"/>
      <c r="C317" s="33"/>
      <c r="D317" s="34" t="s">
        <v>221</v>
      </c>
      <c r="E317" s="35">
        <f aca="true" t="shared" si="196" ref="E317:Z317">SUM(E318,E331,E333,E336,E338,E363,E365,)</f>
        <v>11310148</v>
      </c>
      <c r="F317" s="35">
        <f t="shared" si="196"/>
        <v>0</v>
      </c>
      <c r="G317" s="35">
        <f t="shared" si="196"/>
        <v>11310148</v>
      </c>
      <c r="H317" s="35">
        <f t="shared" si="196"/>
        <v>0</v>
      </c>
      <c r="I317" s="35">
        <f t="shared" si="196"/>
        <v>11310148</v>
      </c>
      <c r="J317" s="35">
        <f t="shared" si="196"/>
        <v>0</v>
      </c>
      <c r="K317" s="35">
        <f t="shared" si="196"/>
        <v>11310148</v>
      </c>
      <c r="L317" s="35">
        <f t="shared" si="196"/>
        <v>165700</v>
      </c>
      <c r="M317" s="35">
        <f t="shared" si="196"/>
        <v>11475848</v>
      </c>
      <c r="N317" s="35">
        <f t="shared" si="196"/>
        <v>0</v>
      </c>
      <c r="O317" s="35">
        <f t="shared" si="196"/>
        <v>11475848</v>
      </c>
      <c r="P317" s="35">
        <f t="shared" si="196"/>
        <v>0</v>
      </c>
      <c r="Q317" s="35">
        <f t="shared" si="196"/>
        <v>11475848</v>
      </c>
      <c r="R317" s="35">
        <f t="shared" si="196"/>
        <v>0</v>
      </c>
      <c r="S317" s="35">
        <f t="shared" si="196"/>
        <v>11475848</v>
      </c>
      <c r="T317" s="35">
        <f t="shared" si="196"/>
        <v>338200</v>
      </c>
      <c r="U317" s="35">
        <f t="shared" si="196"/>
        <v>11814048</v>
      </c>
      <c r="V317" s="35">
        <f t="shared" si="196"/>
        <v>13050</v>
      </c>
      <c r="W317" s="35">
        <f t="shared" si="196"/>
        <v>11827098</v>
      </c>
      <c r="X317" s="35">
        <f t="shared" si="196"/>
        <v>13700</v>
      </c>
      <c r="Y317" s="35">
        <f t="shared" si="196"/>
        <v>11840798</v>
      </c>
      <c r="Z317" s="35">
        <f t="shared" si="196"/>
        <v>-12350</v>
      </c>
      <c r="AA317" s="35">
        <f t="shared" si="149"/>
        <v>11828448</v>
      </c>
      <c r="AB317" s="35">
        <f>SUM(AB318,AB331,AB333,AB336,AB338,AB363,AB365,)</f>
        <v>239100</v>
      </c>
      <c r="AC317" s="35">
        <f t="shared" si="150"/>
        <v>12067548</v>
      </c>
      <c r="AD317" s="130"/>
      <c r="AE317" s="130"/>
    </row>
    <row r="318" spans="1:31" s="22" customFormat="1" ht="36">
      <c r="A318" s="86"/>
      <c r="B318" s="40">
        <v>85212</v>
      </c>
      <c r="C318" s="68"/>
      <c r="D318" s="66" t="s">
        <v>331</v>
      </c>
      <c r="E318" s="60">
        <f aca="true" t="shared" si="197" ref="E318:V318">SUM(E319:E326)</f>
        <v>6416200</v>
      </c>
      <c r="F318" s="60">
        <f t="shared" si="197"/>
        <v>0</v>
      </c>
      <c r="G318" s="60">
        <f t="shared" si="197"/>
        <v>6416200</v>
      </c>
      <c r="H318" s="60">
        <f t="shared" si="197"/>
        <v>0</v>
      </c>
      <c r="I318" s="60">
        <f t="shared" si="197"/>
        <v>6416200</v>
      </c>
      <c r="J318" s="60">
        <f t="shared" si="197"/>
        <v>0</v>
      </c>
      <c r="K318" s="60">
        <f t="shared" si="197"/>
        <v>6416200</v>
      </c>
      <c r="L318" s="60">
        <f t="shared" si="197"/>
        <v>147200</v>
      </c>
      <c r="M318" s="60">
        <f t="shared" si="197"/>
        <v>6563400</v>
      </c>
      <c r="N318" s="60">
        <f t="shared" si="197"/>
        <v>0</v>
      </c>
      <c r="O318" s="60">
        <f t="shared" si="197"/>
        <v>6563400</v>
      </c>
      <c r="P318" s="60">
        <f t="shared" si="197"/>
        <v>0</v>
      </c>
      <c r="Q318" s="60">
        <f t="shared" si="197"/>
        <v>6563400</v>
      </c>
      <c r="R318" s="60">
        <f t="shared" si="197"/>
        <v>0</v>
      </c>
      <c r="S318" s="60">
        <f t="shared" si="197"/>
        <v>6563400</v>
      </c>
      <c r="T318" s="60">
        <f t="shared" si="197"/>
        <v>0</v>
      </c>
      <c r="U318" s="60">
        <f t="shared" si="197"/>
        <v>6563400</v>
      </c>
      <c r="V318" s="60">
        <f t="shared" si="197"/>
        <v>0</v>
      </c>
      <c r="W318" s="60">
        <f>SUM(W319:W330)</f>
        <v>6563400</v>
      </c>
      <c r="X318" s="60">
        <f>SUM(X319:X330)</f>
        <v>52500</v>
      </c>
      <c r="Y318" s="60">
        <f>SUM(Y319:Y330)</f>
        <v>6615900</v>
      </c>
      <c r="Z318" s="60">
        <f>SUM(Z319:Z330)</f>
        <v>0</v>
      </c>
      <c r="AA318" s="70">
        <f t="shared" si="149"/>
        <v>6615900</v>
      </c>
      <c r="AB318" s="60">
        <f>SUM(AB319:AB330)</f>
        <v>0</v>
      </c>
      <c r="AC318" s="70">
        <f t="shared" si="150"/>
        <v>6615900</v>
      </c>
      <c r="AD318" s="105"/>
      <c r="AE318" s="105"/>
    </row>
    <row r="319" spans="1:31" s="22" customFormat="1" ht="21" customHeight="1">
      <c r="A319" s="86"/>
      <c r="B319" s="40"/>
      <c r="C319" s="68">
        <v>3110</v>
      </c>
      <c r="D319" s="66" t="s">
        <v>140</v>
      </c>
      <c r="E319" s="60">
        <f>6223714-47700</f>
        <v>6176014</v>
      </c>
      <c r="F319" s="60"/>
      <c r="G319" s="60">
        <f>SUM(E319:F319)</f>
        <v>6176014</v>
      </c>
      <c r="H319" s="60"/>
      <c r="I319" s="60">
        <f>SUM(G319:H319)</f>
        <v>6176014</v>
      </c>
      <c r="J319" s="60"/>
      <c r="K319" s="60">
        <f>SUM(I319:J319)</f>
        <v>6176014</v>
      </c>
      <c r="L319" s="60">
        <f>147200-4416</f>
        <v>142784</v>
      </c>
      <c r="M319" s="60">
        <f aca="true" t="shared" si="198" ref="M319:M324">SUM(K319:L319)</f>
        <v>6318798</v>
      </c>
      <c r="N319" s="60"/>
      <c r="O319" s="60">
        <f aca="true" t="shared" si="199" ref="O319:O324">SUM(M319:N319)</f>
        <v>6318798</v>
      </c>
      <c r="P319" s="60"/>
      <c r="Q319" s="60">
        <f aca="true" t="shared" si="200" ref="Q319:Q324">SUM(O319:P319)</f>
        <v>6318798</v>
      </c>
      <c r="R319" s="60"/>
      <c r="S319" s="60">
        <f aca="true" t="shared" si="201" ref="S319:S324">SUM(Q319:R319)</f>
        <v>6318798</v>
      </c>
      <c r="T319" s="60"/>
      <c r="U319" s="60">
        <f aca="true" t="shared" si="202" ref="U319:U324">SUM(S319:T319)</f>
        <v>6318798</v>
      </c>
      <c r="V319" s="60"/>
      <c r="W319" s="60">
        <f aca="true" t="shared" si="203" ref="W319:W324">SUM(U319:V319)</f>
        <v>6318798</v>
      </c>
      <c r="X319" s="60"/>
      <c r="Y319" s="60">
        <f aca="true" t="shared" si="204" ref="Y319:Y324">SUM(W319:X319)</f>
        <v>6318798</v>
      </c>
      <c r="Z319" s="60"/>
      <c r="AA319" s="70">
        <f t="shared" si="149"/>
        <v>6318798</v>
      </c>
      <c r="AB319" s="60"/>
      <c r="AC319" s="70">
        <f t="shared" si="150"/>
        <v>6318798</v>
      </c>
      <c r="AD319" s="105"/>
      <c r="AE319" s="105"/>
    </row>
    <row r="320" spans="1:31" s="22" customFormat="1" ht="21" customHeight="1">
      <c r="A320" s="86"/>
      <c r="B320" s="40"/>
      <c r="C320" s="40">
        <v>4010</v>
      </c>
      <c r="D320" s="12" t="s">
        <v>108</v>
      </c>
      <c r="E320" s="60">
        <v>147161</v>
      </c>
      <c r="F320" s="60"/>
      <c r="G320" s="60">
        <f>SUM(E320:F320)</f>
        <v>147161</v>
      </c>
      <c r="H320" s="60">
        <v>2071</v>
      </c>
      <c r="I320" s="60">
        <f>SUM(G320:H320)</f>
        <v>149232</v>
      </c>
      <c r="J320" s="60"/>
      <c r="K320" s="60">
        <f>SUM(I320:J320)</f>
        <v>149232</v>
      </c>
      <c r="L320" s="60"/>
      <c r="M320" s="60">
        <f t="shared" si="198"/>
        <v>149232</v>
      </c>
      <c r="N320" s="60"/>
      <c r="O320" s="60">
        <f t="shared" si="199"/>
        <v>149232</v>
      </c>
      <c r="P320" s="60"/>
      <c r="Q320" s="60">
        <f t="shared" si="200"/>
        <v>149232</v>
      </c>
      <c r="R320" s="60"/>
      <c r="S320" s="60">
        <f t="shared" si="201"/>
        <v>149232</v>
      </c>
      <c r="T320" s="60"/>
      <c r="U320" s="60">
        <f t="shared" si="202"/>
        <v>149232</v>
      </c>
      <c r="V320" s="60"/>
      <c r="W320" s="60">
        <f t="shared" si="203"/>
        <v>149232</v>
      </c>
      <c r="X320" s="60"/>
      <c r="Y320" s="60">
        <f t="shared" si="204"/>
        <v>149232</v>
      </c>
      <c r="Z320" s="60"/>
      <c r="AA320" s="70">
        <f t="shared" si="149"/>
        <v>149232</v>
      </c>
      <c r="AB320" s="60"/>
      <c r="AC320" s="70">
        <f t="shared" si="150"/>
        <v>149232</v>
      </c>
      <c r="AD320" s="105"/>
      <c r="AE320" s="105"/>
    </row>
    <row r="321" spans="1:31" s="22" customFormat="1" ht="21" customHeight="1">
      <c r="A321" s="86"/>
      <c r="B321" s="40"/>
      <c r="C321" s="40">
        <v>4040</v>
      </c>
      <c r="D321" s="12" t="s">
        <v>109</v>
      </c>
      <c r="E321" s="60">
        <v>12000</v>
      </c>
      <c r="F321" s="60"/>
      <c r="G321" s="60">
        <f>SUM(E321:F321)</f>
        <v>12000</v>
      </c>
      <c r="H321" s="60">
        <v>-2071</v>
      </c>
      <c r="I321" s="60">
        <f>SUM(G321:H321)</f>
        <v>9929</v>
      </c>
      <c r="J321" s="60"/>
      <c r="K321" s="60">
        <f>SUM(I321:J321)</f>
        <v>9929</v>
      </c>
      <c r="L321" s="60"/>
      <c r="M321" s="60">
        <f t="shared" si="198"/>
        <v>9929</v>
      </c>
      <c r="N321" s="60"/>
      <c r="O321" s="60">
        <f t="shared" si="199"/>
        <v>9929</v>
      </c>
      <c r="P321" s="60"/>
      <c r="Q321" s="60">
        <f t="shared" si="200"/>
        <v>9929</v>
      </c>
      <c r="R321" s="60"/>
      <c r="S321" s="60">
        <f t="shared" si="201"/>
        <v>9929</v>
      </c>
      <c r="T321" s="60"/>
      <c r="U321" s="60">
        <f t="shared" si="202"/>
        <v>9929</v>
      </c>
      <c r="V321" s="60"/>
      <c r="W321" s="60">
        <f t="shared" si="203"/>
        <v>9929</v>
      </c>
      <c r="X321" s="60"/>
      <c r="Y321" s="60">
        <f t="shared" si="204"/>
        <v>9929</v>
      </c>
      <c r="Z321" s="60"/>
      <c r="AA321" s="70">
        <f t="shared" si="149"/>
        <v>9929</v>
      </c>
      <c r="AB321" s="60"/>
      <c r="AC321" s="70">
        <f t="shared" si="150"/>
        <v>9929</v>
      </c>
      <c r="AD321" s="105"/>
      <c r="AE321" s="105"/>
    </row>
    <row r="322" spans="1:31" s="22" customFormat="1" ht="21" customHeight="1">
      <c r="A322" s="86"/>
      <c r="B322" s="40"/>
      <c r="C322" s="40">
        <v>4110</v>
      </c>
      <c r="D322" s="12" t="s">
        <v>110</v>
      </c>
      <c r="E322" s="60">
        <f>25600+47700</f>
        <v>73300</v>
      </c>
      <c r="F322" s="60"/>
      <c r="G322" s="60">
        <f>SUM(E322:F322)</f>
        <v>73300</v>
      </c>
      <c r="H322" s="60"/>
      <c r="I322" s="60">
        <f>SUM(G322:H322)</f>
        <v>73300</v>
      </c>
      <c r="J322" s="60"/>
      <c r="K322" s="60">
        <f>SUM(I322:J322)</f>
        <v>73300</v>
      </c>
      <c r="L322" s="60"/>
      <c r="M322" s="60">
        <f t="shared" si="198"/>
        <v>73300</v>
      </c>
      <c r="N322" s="60"/>
      <c r="O322" s="60">
        <f t="shared" si="199"/>
        <v>73300</v>
      </c>
      <c r="P322" s="60"/>
      <c r="Q322" s="60">
        <f t="shared" si="200"/>
        <v>73300</v>
      </c>
      <c r="R322" s="60"/>
      <c r="S322" s="60">
        <f t="shared" si="201"/>
        <v>73300</v>
      </c>
      <c r="T322" s="60"/>
      <c r="U322" s="60">
        <f t="shared" si="202"/>
        <v>73300</v>
      </c>
      <c r="V322" s="60"/>
      <c r="W322" s="60">
        <f t="shared" si="203"/>
        <v>73300</v>
      </c>
      <c r="X322" s="60"/>
      <c r="Y322" s="60">
        <f t="shared" si="204"/>
        <v>73300</v>
      </c>
      <c r="Z322" s="60"/>
      <c r="AA322" s="70">
        <f t="shared" si="149"/>
        <v>73300</v>
      </c>
      <c r="AB322" s="60"/>
      <c r="AC322" s="70">
        <f t="shared" si="150"/>
        <v>73300</v>
      </c>
      <c r="AD322" s="105"/>
      <c r="AE322" s="105"/>
    </row>
    <row r="323" spans="1:31" s="22" customFormat="1" ht="21" customHeight="1">
      <c r="A323" s="86"/>
      <c r="B323" s="40"/>
      <c r="C323" s="40">
        <v>4120</v>
      </c>
      <c r="D323" s="12" t="s">
        <v>111</v>
      </c>
      <c r="E323" s="60">
        <v>3600</v>
      </c>
      <c r="F323" s="60"/>
      <c r="G323" s="60">
        <f>SUM(E323:F323)</f>
        <v>3600</v>
      </c>
      <c r="H323" s="60"/>
      <c r="I323" s="60">
        <f>SUM(G323:H323)</f>
        <v>3600</v>
      </c>
      <c r="J323" s="60"/>
      <c r="K323" s="60">
        <f>SUM(I323:J323)</f>
        <v>3600</v>
      </c>
      <c r="L323" s="60"/>
      <c r="M323" s="60">
        <f t="shared" si="198"/>
        <v>3600</v>
      </c>
      <c r="N323" s="60"/>
      <c r="O323" s="60">
        <f t="shared" si="199"/>
        <v>3600</v>
      </c>
      <c r="P323" s="60"/>
      <c r="Q323" s="60">
        <f t="shared" si="200"/>
        <v>3600</v>
      </c>
      <c r="R323" s="60"/>
      <c r="S323" s="60">
        <f t="shared" si="201"/>
        <v>3600</v>
      </c>
      <c r="T323" s="60"/>
      <c r="U323" s="60">
        <f t="shared" si="202"/>
        <v>3600</v>
      </c>
      <c r="V323" s="60"/>
      <c r="W323" s="60">
        <f t="shared" si="203"/>
        <v>3600</v>
      </c>
      <c r="X323" s="60"/>
      <c r="Y323" s="60">
        <f t="shared" si="204"/>
        <v>3600</v>
      </c>
      <c r="Z323" s="60"/>
      <c r="AA323" s="70">
        <f t="shared" si="149"/>
        <v>3600</v>
      </c>
      <c r="AB323" s="60"/>
      <c r="AC323" s="70">
        <f t="shared" si="150"/>
        <v>3600</v>
      </c>
      <c r="AD323" s="105"/>
      <c r="AE323" s="105"/>
    </row>
    <row r="324" spans="1:31" s="22" customFormat="1" ht="21" customHeight="1">
      <c r="A324" s="86"/>
      <c r="B324" s="67"/>
      <c r="C324" s="40">
        <v>4210</v>
      </c>
      <c r="D324" s="36" t="s">
        <v>116</v>
      </c>
      <c r="E324" s="60"/>
      <c r="F324" s="60"/>
      <c r="G324" s="60"/>
      <c r="H324" s="60"/>
      <c r="I324" s="60"/>
      <c r="J324" s="60"/>
      <c r="K324" s="60">
        <v>0</v>
      </c>
      <c r="L324" s="60">
        <v>4416</v>
      </c>
      <c r="M324" s="60">
        <f t="shared" si="198"/>
        <v>4416</v>
      </c>
      <c r="N324" s="60"/>
      <c r="O324" s="60">
        <f t="shared" si="199"/>
        <v>4416</v>
      </c>
      <c r="P324" s="60"/>
      <c r="Q324" s="60">
        <f t="shared" si="200"/>
        <v>4416</v>
      </c>
      <c r="R324" s="60"/>
      <c r="S324" s="60">
        <f t="shared" si="201"/>
        <v>4416</v>
      </c>
      <c r="T324" s="60"/>
      <c r="U324" s="60">
        <f t="shared" si="202"/>
        <v>4416</v>
      </c>
      <c r="V324" s="60"/>
      <c r="W324" s="60">
        <f t="shared" si="203"/>
        <v>4416</v>
      </c>
      <c r="X324" s="60">
        <v>43500</v>
      </c>
      <c r="Y324" s="60">
        <f t="shared" si="204"/>
        <v>47916</v>
      </c>
      <c r="Z324" s="60">
        <v>-15500</v>
      </c>
      <c r="AA324" s="70">
        <f t="shared" si="149"/>
        <v>32416</v>
      </c>
      <c r="AB324" s="60">
        <v>7000</v>
      </c>
      <c r="AC324" s="70">
        <f t="shared" si="150"/>
        <v>39416</v>
      </c>
      <c r="AD324" s="105"/>
      <c r="AE324" s="105"/>
    </row>
    <row r="325" spans="1:31" s="22" customFormat="1" ht="21" customHeight="1">
      <c r="A325" s="86"/>
      <c r="B325" s="67"/>
      <c r="C325" s="40">
        <v>4410</v>
      </c>
      <c r="D325" s="36" t="s">
        <v>114</v>
      </c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>
        <v>0</v>
      </c>
      <c r="Z325" s="60">
        <v>1000</v>
      </c>
      <c r="AA325" s="70">
        <f t="shared" si="149"/>
        <v>1000</v>
      </c>
      <c r="AB325" s="60"/>
      <c r="AC325" s="70">
        <f t="shared" si="150"/>
        <v>1000</v>
      </c>
      <c r="AD325" s="105"/>
      <c r="AE325" s="105"/>
    </row>
    <row r="326" spans="1:31" s="22" customFormat="1" ht="21" customHeight="1">
      <c r="A326" s="86"/>
      <c r="B326" s="67"/>
      <c r="C326" s="40">
        <v>4440</v>
      </c>
      <c r="D326" s="12" t="s">
        <v>112</v>
      </c>
      <c r="E326" s="60">
        <v>4125</v>
      </c>
      <c r="F326" s="60"/>
      <c r="G326" s="60">
        <f>SUM(E326:F326)</f>
        <v>4125</v>
      </c>
      <c r="H326" s="60"/>
      <c r="I326" s="60">
        <f>SUM(G326:H326)</f>
        <v>4125</v>
      </c>
      <c r="J326" s="60"/>
      <c r="K326" s="60">
        <f>SUM(I326:J326)</f>
        <v>4125</v>
      </c>
      <c r="L326" s="60"/>
      <c r="M326" s="60">
        <f>SUM(K326:L326)</f>
        <v>4125</v>
      </c>
      <c r="N326" s="60"/>
      <c r="O326" s="60">
        <f>SUM(M326:N326)</f>
        <v>4125</v>
      </c>
      <c r="P326" s="60"/>
      <c r="Q326" s="60">
        <f>SUM(O326:P326)</f>
        <v>4125</v>
      </c>
      <c r="R326" s="60"/>
      <c r="S326" s="60">
        <f>SUM(Q326:R326)</f>
        <v>4125</v>
      </c>
      <c r="T326" s="60"/>
      <c r="U326" s="60">
        <f>SUM(S326:T326)</f>
        <v>4125</v>
      </c>
      <c r="V326" s="60"/>
      <c r="W326" s="60">
        <f>SUM(U326:V326)</f>
        <v>4125</v>
      </c>
      <c r="X326" s="60"/>
      <c r="Y326" s="60">
        <f>SUM(W326:X326)</f>
        <v>4125</v>
      </c>
      <c r="Z326" s="60"/>
      <c r="AA326" s="70">
        <f t="shared" si="149"/>
        <v>4125</v>
      </c>
      <c r="AB326" s="60"/>
      <c r="AC326" s="70">
        <f t="shared" si="150"/>
        <v>4125</v>
      </c>
      <c r="AD326" s="105"/>
      <c r="AE326" s="105"/>
    </row>
    <row r="327" spans="1:31" s="22" customFormat="1" ht="21" customHeight="1">
      <c r="A327" s="86"/>
      <c r="B327" s="67"/>
      <c r="C327" s="40">
        <v>4700</v>
      </c>
      <c r="D327" s="36" t="s">
        <v>321</v>
      </c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>
        <v>0</v>
      </c>
      <c r="Z327" s="60">
        <v>2000</v>
      </c>
      <c r="AA327" s="70">
        <f t="shared" si="149"/>
        <v>2000</v>
      </c>
      <c r="AB327" s="60"/>
      <c r="AC327" s="70">
        <f t="shared" si="150"/>
        <v>2000</v>
      </c>
      <c r="AD327" s="105"/>
      <c r="AE327" s="105"/>
    </row>
    <row r="328" spans="1:31" s="22" customFormat="1" ht="21" customHeight="1">
      <c r="A328" s="86"/>
      <c r="B328" s="67"/>
      <c r="C328" s="40">
        <v>4740</v>
      </c>
      <c r="D328" s="12" t="s">
        <v>270</v>
      </c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>
        <v>0</v>
      </c>
      <c r="Z328" s="60">
        <v>5000</v>
      </c>
      <c r="AA328" s="70">
        <f aca="true" t="shared" si="205" ref="AA328:AA384">SUM(Y328:Z328)</f>
        <v>5000</v>
      </c>
      <c r="AB328" s="60">
        <v>-2000</v>
      </c>
      <c r="AC328" s="70">
        <f aca="true" t="shared" si="206" ref="AC328:AC384">SUM(AA328:AB328)</f>
        <v>3000</v>
      </c>
      <c r="AD328" s="105"/>
      <c r="AE328" s="105"/>
    </row>
    <row r="329" spans="1:31" s="22" customFormat="1" ht="21" customHeight="1">
      <c r="A329" s="86"/>
      <c r="B329" s="67"/>
      <c r="C329" s="40">
        <v>4750</v>
      </c>
      <c r="D329" s="12" t="s">
        <v>374</v>
      </c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>
        <v>0</v>
      </c>
      <c r="Z329" s="60">
        <v>7500</v>
      </c>
      <c r="AA329" s="70">
        <f t="shared" si="205"/>
        <v>7500</v>
      </c>
      <c r="AB329" s="60">
        <v>-5000</v>
      </c>
      <c r="AC329" s="70">
        <f t="shared" si="206"/>
        <v>2500</v>
      </c>
      <c r="AD329" s="105"/>
      <c r="AE329" s="105"/>
    </row>
    <row r="330" spans="1:33" s="22" customFormat="1" ht="21" customHeight="1">
      <c r="A330" s="86"/>
      <c r="B330" s="67"/>
      <c r="C330" s="40">
        <v>6060</v>
      </c>
      <c r="D330" s="36" t="s">
        <v>120</v>
      </c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>
        <v>0</v>
      </c>
      <c r="X330" s="60">
        <v>9000</v>
      </c>
      <c r="Y330" s="60">
        <f>SUM(W330:X330)</f>
        <v>9000</v>
      </c>
      <c r="Z330" s="60"/>
      <c r="AA330" s="70">
        <f t="shared" si="205"/>
        <v>9000</v>
      </c>
      <c r="AB330" s="60"/>
      <c r="AC330" s="70">
        <f t="shared" si="206"/>
        <v>9000</v>
      </c>
      <c r="AD330" s="105"/>
      <c r="AE330" s="105"/>
      <c r="AF330" s="105"/>
      <c r="AG330" s="105"/>
    </row>
    <row r="331" spans="1:31" s="22" customFormat="1" ht="60">
      <c r="A331" s="56"/>
      <c r="B331" s="77">
        <v>85213</v>
      </c>
      <c r="C331" s="76"/>
      <c r="D331" s="36" t="s">
        <v>327</v>
      </c>
      <c r="E331" s="70">
        <f aca="true" t="shared" si="207" ref="E331:AB331">SUM(E332)</f>
        <v>71100</v>
      </c>
      <c r="F331" s="70">
        <f t="shared" si="207"/>
        <v>0</v>
      </c>
      <c r="G331" s="70">
        <f t="shared" si="207"/>
        <v>71100</v>
      </c>
      <c r="H331" s="70">
        <f t="shared" si="207"/>
        <v>0</v>
      </c>
      <c r="I331" s="70">
        <f t="shared" si="207"/>
        <v>71100</v>
      </c>
      <c r="J331" s="70">
        <f t="shared" si="207"/>
        <v>0</v>
      </c>
      <c r="K331" s="70">
        <f t="shared" si="207"/>
        <v>71100</v>
      </c>
      <c r="L331" s="70">
        <f t="shared" si="207"/>
        <v>0</v>
      </c>
      <c r="M331" s="70">
        <f t="shared" si="207"/>
        <v>71100</v>
      </c>
      <c r="N331" s="70">
        <f t="shared" si="207"/>
        <v>0</v>
      </c>
      <c r="O331" s="70">
        <f t="shared" si="207"/>
        <v>71100</v>
      </c>
      <c r="P331" s="70">
        <f t="shared" si="207"/>
        <v>0</v>
      </c>
      <c r="Q331" s="70">
        <f t="shared" si="207"/>
        <v>71100</v>
      </c>
      <c r="R331" s="70">
        <f t="shared" si="207"/>
        <v>0</v>
      </c>
      <c r="S331" s="70">
        <f t="shared" si="207"/>
        <v>71100</v>
      </c>
      <c r="T331" s="70">
        <f t="shared" si="207"/>
        <v>0</v>
      </c>
      <c r="U331" s="70">
        <f t="shared" si="207"/>
        <v>71100</v>
      </c>
      <c r="V331" s="70">
        <f t="shared" si="207"/>
        <v>0</v>
      </c>
      <c r="W331" s="70">
        <f t="shared" si="207"/>
        <v>71100</v>
      </c>
      <c r="X331" s="70">
        <f t="shared" si="207"/>
        <v>0</v>
      </c>
      <c r="Y331" s="70">
        <f t="shared" si="207"/>
        <v>71100</v>
      </c>
      <c r="Z331" s="70">
        <f t="shared" si="207"/>
        <v>-23300</v>
      </c>
      <c r="AA331" s="70">
        <f t="shared" si="205"/>
        <v>47800</v>
      </c>
      <c r="AB331" s="70">
        <f t="shared" si="207"/>
        <v>0</v>
      </c>
      <c r="AC331" s="70">
        <f t="shared" si="206"/>
        <v>47800</v>
      </c>
      <c r="AD331" s="105"/>
      <c r="AE331" s="105"/>
    </row>
    <row r="332" spans="1:31" s="22" customFormat="1" ht="21" customHeight="1">
      <c r="A332" s="56"/>
      <c r="B332" s="77"/>
      <c r="C332" s="76">
        <v>4130</v>
      </c>
      <c r="D332" s="36" t="s">
        <v>148</v>
      </c>
      <c r="E332" s="70">
        <f>7800+63300</f>
        <v>71100</v>
      </c>
      <c r="F332" s="70"/>
      <c r="G332" s="70">
        <f>SUM(E332:F332)</f>
        <v>71100</v>
      </c>
      <c r="H332" s="70"/>
      <c r="I332" s="70">
        <f>SUM(G332:H332)</f>
        <v>71100</v>
      </c>
      <c r="J332" s="70"/>
      <c r="K332" s="70">
        <f>SUM(I332:J332)</f>
        <v>71100</v>
      </c>
      <c r="L332" s="70"/>
      <c r="M332" s="70">
        <f>SUM(K332:L332)</f>
        <v>71100</v>
      </c>
      <c r="N332" s="70"/>
      <c r="O332" s="70">
        <f>SUM(M332:N332)</f>
        <v>71100</v>
      </c>
      <c r="P332" s="70"/>
      <c r="Q332" s="70">
        <f>SUM(O332:P332)</f>
        <v>71100</v>
      </c>
      <c r="R332" s="70"/>
      <c r="S332" s="70">
        <f>SUM(Q332:R332)</f>
        <v>71100</v>
      </c>
      <c r="T332" s="70"/>
      <c r="U332" s="70">
        <f>SUM(S332:T332)</f>
        <v>71100</v>
      </c>
      <c r="V332" s="70"/>
      <c r="W332" s="70">
        <f>SUM(U332:V332)</f>
        <v>71100</v>
      </c>
      <c r="X332" s="70"/>
      <c r="Y332" s="70">
        <f>SUM(W332:X332)</f>
        <v>71100</v>
      </c>
      <c r="Z332" s="70">
        <v>-23300</v>
      </c>
      <c r="AA332" s="70">
        <f t="shared" si="205"/>
        <v>47800</v>
      </c>
      <c r="AB332" s="70"/>
      <c r="AC332" s="70">
        <f t="shared" si="206"/>
        <v>47800</v>
      </c>
      <c r="AD332" s="105"/>
      <c r="AE332" s="105"/>
    </row>
    <row r="333" spans="1:31" s="22" customFormat="1" ht="24">
      <c r="A333" s="56"/>
      <c r="B333" s="72">
        <v>85214</v>
      </c>
      <c r="C333" s="76"/>
      <c r="D333" s="36" t="s">
        <v>244</v>
      </c>
      <c r="E333" s="70">
        <f aca="true" t="shared" si="208" ref="E333:Z333">SUM(E334:E335)</f>
        <v>1702401</v>
      </c>
      <c r="F333" s="70">
        <f t="shared" si="208"/>
        <v>0</v>
      </c>
      <c r="G333" s="70">
        <f t="shared" si="208"/>
        <v>1702401</v>
      </c>
      <c r="H333" s="70">
        <f t="shared" si="208"/>
        <v>0</v>
      </c>
      <c r="I333" s="70">
        <f t="shared" si="208"/>
        <v>1702401</v>
      </c>
      <c r="J333" s="70">
        <f t="shared" si="208"/>
        <v>0</v>
      </c>
      <c r="K333" s="70">
        <f t="shared" si="208"/>
        <v>1702401</v>
      </c>
      <c r="L333" s="70">
        <f t="shared" si="208"/>
        <v>18500</v>
      </c>
      <c r="M333" s="70">
        <f t="shared" si="208"/>
        <v>1720901</v>
      </c>
      <c r="N333" s="70">
        <f t="shared" si="208"/>
        <v>0</v>
      </c>
      <c r="O333" s="70">
        <f t="shared" si="208"/>
        <v>1720901</v>
      </c>
      <c r="P333" s="70">
        <f t="shared" si="208"/>
        <v>0</v>
      </c>
      <c r="Q333" s="70">
        <f t="shared" si="208"/>
        <v>1720901</v>
      </c>
      <c r="R333" s="70">
        <f t="shared" si="208"/>
        <v>0</v>
      </c>
      <c r="S333" s="70">
        <f t="shared" si="208"/>
        <v>1720901</v>
      </c>
      <c r="T333" s="70">
        <f t="shared" si="208"/>
        <v>0</v>
      </c>
      <c r="U333" s="70">
        <f t="shared" si="208"/>
        <v>1720901</v>
      </c>
      <c r="V333" s="70">
        <f t="shared" si="208"/>
        <v>0</v>
      </c>
      <c r="W333" s="70">
        <f t="shared" si="208"/>
        <v>1720901</v>
      </c>
      <c r="X333" s="70">
        <f t="shared" si="208"/>
        <v>0</v>
      </c>
      <c r="Y333" s="70">
        <f t="shared" si="208"/>
        <v>1720901</v>
      </c>
      <c r="Z333" s="70">
        <f t="shared" si="208"/>
        <v>-3000</v>
      </c>
      <c r="AA333" s="70">
        <f t="shared" si="205"/>
        <v>1717901</v>
      </c>
      <c r="AB333" s="70">
        <f>SUM(AB334:AB335)</f>
        <v>152500</v>
      </c>
      <c r="AC333" s="70">
        <f t="shared" si="206"/>
        <v>1870401</v>
      </c>
      <c r="AD333" s="105"/>
      <c r="AE333" s="105"/>
    </row>
    <row r="334" spans="1:31" s="22" customFormat="1" ht="21" customHeight="1">
      <c r="A334" s="56"/>
      <c r="B334" s="72"/>
      <c r="C334" s="76">
        <v>3110</v>
      </c>
      <c r="D334" s="36" t="s">
        <v>140</v>
      </c>
      <c r="E334" s="70">
        <f>709400+510901+482100-3000</f>
        <v>1699401</v>
      </c>
      <c r="F334" s="70"/>
      <c r="G334" s="70">
        <f>SUM(E334:F334)</f>
        <v>1699401</v>
      </c>
      <c r="H334" s="70"/>
      <c r="I334" s="70">
        <f>SUM(G334:H334)</f>
        <v>1699401</v>
      </c>
      <c r="J334" s="70"/>
      <c r="K334" s="70">
        <f>SUM(I334:J334)</f>
        <v>1699401</v>
      </c>
      <c r="L334" s="70">
        <f>7900+10600</f>
        <v>18500</v>
      </c>
      <c r="M334" s="70">
        <f>SUM(K334:L334)</f>
        <v>1717901</v>
      </c>
      <c r="N334" s="70"/>
      <c r="O334" s="70">
        <f>SUM(M334:N334)</f>
        <v>1717901</v>
      </c>
      <c r="P334" s="70"/>
      <c r="Q334" s="70">
        <f>SUM(O334:P334)</f>
        <v>1717901</v>
      </c>
      <c r="R334" s="70"/>
      <c r="S334" s="70">
        <f>SUM(Q334:R334)</f>
        <v>1717901</v>
      </c>
      <c r="T334" s="70"/>
      <c r="U334" s="70">
        <f>SUM(S334:T334)</f>
        <v>1717901</v>
      </c>
      <c r="V334" s="70"/>
      <c r="W334" s="70">
        <f>SUM(U334:V334)</f>
        <v>1717901</v>
      </c>
      <c r="X334" s="70"/>
      <c r="Y334" s="70">
        <f>SUM(W334:X334)</f>
        <v>1717901</v>
      </c>
      <c r="Z334" s="70">
        <v>-3000</v>
      </c>
      <c r="AA334" s="70">
        <f t="shared" si="205"/>
        <v>1714901</v>
      </c>
      <c r="AB334" s="70">
        <v>152500</v>
      </c>
      <c r="AC334" s="70">
        <f t="shared" si="206"/>
        <v>1867401</v>
      </c>
      <c r="AD334" s="105"/>
      <c r="AE334" s="105"/>
    </row>
    <row r="335" spans="1:31" s="22" customFormat="1" ht="21" customHeight="1">
      <c r="A335" s="56"/>
      <c r="B335" s="72"/>
      <c r="C335" s="40">
        <v>4110</v>
      </c>
      <c r="D335" s="12" t="s">
        <v>110</v>
      </c>
      <c r="E335" s="70">
        <v>3000</v>
      </c>
      <c r="F335" s="70"/>
      <c r="G335" s="70">
        <f>SUM(E335:F335)</f>
        <v>3000</v>
      </c>
      <c r="H335" s="70"/>
      <c r="I335" s="70">
        <f>SUM(G335:H335)</f>
        <v>3000</v>
      </c>
      <c r="J335" s="70"/>
      <c r="K335" s="70">
        <f>SUM(I335:J335)</f>
        <v>3000</v>
      </c>
      <c r="L335" s="70"/>
      <c r="M335" s="70">
        <f>SUM(K335:L335)</f>
        <v>3000</v>
      </c>
      <c r="N335" s="70"/>
      <c r="O335" s="70">
        <f>SUM(M335:N335)</f>
        <v>3000</v>
      </c>
      <c r="P335" s="70"/>
      <c r="Q335" s="70">
        <f>SUM(O335:P335)</f>
        <v>3000</v>
      </c>
      <c r="R335" s="70"/>
      <c r="S335" s="70">
        <f>SUM(Q335:R335)</f>
        <v>3000</v>
      </c>
      <c r="T335" s="70"/>
      <c r="U335" s="70">
        <f>SUM(S335:T335)</f>
        <v>3000</v>
      </c>
      <c r="V335" s="70"/>
      <c r="W335" s="70">
        <f>SUM(U335:V335)</f>
        <v>3000</v>
      </c>
      <c r="X335" s="70"/>
      <c r="Y335" s="70">
        <f>SUM(W335:X335)</f>
        <v>3000</v>
      </c>
      <c r="Z335" s="70"/>
      <c r="AA335" s="70">
        <f t="shared" si="205"/>
        <v>3000</v>
      </c>
      <c r="AB335" s="70"/>
      <c r="AC335" s="70">
        <f t="shared" si="206"/>
        <v>3000</v>
      </c>
      <c r="AD335" s="105"/>
      <c r="AE335" s="105"/>
    </row>
    <row r="336" spans="1:31" s="22" customFormat="1" ht="21.75" customHeight="1">
      <c r="A336" s="56"/>
      <c r="B336" s="72">
        <v>85215</v>
      </c>
      <c r="C336" s="76"/>
      <c r="D336" s="36" t="s">
        <v>80</v>
      </c>
      <c r="E336" s="70">
        <f aca="true" t="shared" si="209" ref="E336:AB336">SUM(E337)</f>
        <v>1250000</v>
      </c>
      <c r="F336" s="70">
        <f t="shared" si="209"/>
        <v>0</v>
      </c>
      <c r="G336" s="70">
        <f t="shared" si="209"/>
        <v>1250000</v>
      </c>
      <c r="H336" s="70">
        <f t="shared" si="209"/>
        <v>0</v>
      </c>
      <c r="I336" s="70">
        <f t="shared" si="209"/>
        <v>1250000</v>
      </c>
      <c r="J336" s="70">
        <f t="shared" si="209"/>
        <v>0</v>
      </c>
      <c r="K336" s="70">
        <f t="shared" si="209"/>
        <v>1250000</v>
      </c>
      <c r="L336" s="70">
        <f t="shared" si="209"/>
        <v>0</v>
      </c>
      <c r="M336" s="70">
        <f t="shared" si="209"/>
        <v>1250000</v>
      </c>
      <c r="N336" s="70">
        <f t="shared" si="209"/>
        <v>0</v>
      </c>
      <c r="O336" s="70">
        <f t="shared" si="209"/>
        <v>1250000</v>
      </c>
      <c r="P336" s="70">
        <f t="shared" si="209"/>
        <v>0</v>
      </c>
      <c r="Q336" s="70">
        <f t="shared" si="209"/>
        <v>1250000</v>
      </c>
      <c r="R336" s="70">
        <f t="shared" si="209"/>
        <v>0</v>
      </c>
      <c r="S336" s="70">
        <f t="shared" si="209"/>
        <v>1250000</v>
      </c>
      <c r="T336" s="70">
        <f t="shared" si="209"/>
        <v>0</v>
      </c>
      <c r="U336" s="70">
        <f t="shared" si="209"/>
        <v>1250000</v>
      </c>
      <c r="V336" s="70">
        <f t="shared" si="209"/>
        <v>0</v>
      </c>
      <c r="W336" s="70">
        <f t="shared" si="209"/>
        <v>1250000</v>
      </c>
      <c r="X336" s="70">
        <f t="shared" si="209"/>
        <v>-212000</v>
      </c>
      <c r="Y336" s="70">
        <f t="shared" si="209"/>
        <v>1038000</v>
      </c>
      <c r="Z336" s="70">
        <f t="shared" si="209"/>
        <v>0</v>
      </c>
      <c r="AA336" s="70">
        <f t="shared" si="205"/>
        <v>1038000</v>
      </c>
      <c r="AB336" s="70">
        <f t="shared" si="209"/>
        <v>0</v>
      </c>
      <c r="AC336" s="70">
        <f t="shared" si="206"/>
        <v>1038000</v>
      </c>
      <c r="AD336" s="105"/>
      <c r="AE336" s="105"/>
    </row>
    <row r="337" spans="1:31" s="22" customFormat="1" ht="21" customHeight="1">
      <c r="A337" s="56"/>
      <c r="B337" s="72"/>
      <c r="C337" s="76">
        <v>3110</v>
      </c>
      <c r="D337" s="36" t="s">
        <v>140</v>
      </c>
      <c r="E337" s="70">
        <v>1250000</v>
      </c>
      <c r="F337" s="70"/>
      <c r="G337" s="70">
        <f>SUM(E337:F337)</f>
        <v>1250000</v>
      </c>
      <c r="H337" s="70"/>
      <c r="I337" s="70">
        <f>SUM(G337:H337)</f>
        <v>1250000</v>
      </c>
      <c r="J337" s="70"/>
      <c r="K337" s="70">
        <f>SUM(I337:J337)</f>
        <v>1250000</v>
      </c>
      <c r="L337" s="70"/>
      <c r="M337" s="70">
        <f>SUM(K337:L337)</f>
        <v>1250000</v>
      </c>
      <c r="N337" s="70"/>
      <c r="O337" s="70">
        <f>SUM(M337:N337)</f>
        <v>1250000</v>
      </c>
      <c r="P337" s="70"/>
      <c r="Q337" s="70">
        <f>SUM(O337:P337)</f>
        <v>1250000</v>
      </c>
      <c r="R337" s="70"/>
      <c r="S337" s="70">
        <f>SUM(Q337:R337)</f>
        <v>1250000</v>
      </c>
      <c r="T337" s="70"/>
      <c r="U337" s="70">
        <f>SUM(S337:T337)</f>
        <v>1250000</v>
      </c>
      <c r="V337" s="70"/>
      <c r="W337" s="70">
        <f>SUM(U337:V337)</f>
        <v>1250000</v>
      </c>
      <c r="X337" s="70">
        <v>-212000</v>
      </c>
      <c r="Y337" s="70">
        <f>SUM(W337:X337)</f>
        <v>1038000</v>
      </c>
      <c r="Z337" s="70"/>
      <c r="AA337" s="70">
        <f t="shared" si="205"/>
        <v>1038000</v>
      </c>
      <c r="AB337" s="70"/>
      <c r="AC337" s="70">
        <f t="shared" si="206"/>
        <v>1038000</v>
      </c>
      <c r="AD337" s="105"/>
      <c r="AE337" s="105"/>
    </row>
    <row r="338" spans="1:31" s="22" customFormat="1" ht="21.75" customHeight="1">
      <c r="A338" s="56"/>
      <c r="B338" s="72">
        <v>85219</v>
      </c>
      <c r="C338" s="76"/>
      <c r="D338" s="36" t="s">
        <v>81</v>
      </c>
      <c r="E338" s="70">
        <f aca="true" t="shared" si="210" ref="E338:Z338">SUM(E339:E362)</f>
        <v>1203727</v>
      </c>
      <c r="F338" s="70">
        <f t="shared" si="210"/>
        <v>0</v>
      </c>
      <c r="G338" s="70">
        <f t="shared" si="210"/>
        <v>1203727</v>
      </c>
      <c r="H338" s="70">
        <f t="shared" si="210"/>
        <v>0</v>
      </c>
      <c r="I338" s="70">
        <f t="shared" si="210"/>
        <v>1203727</v>
      </c>
      <c r="J338" s="70">
        <f t="shared" si="210"/>
        <v>0</v>
      </c>
      <c r="K338" s="70">
        <f t="shared" si="210"/>
        <v>1203727</v>
      </c>
      <c r="L338" s="70">
        <f t="shared" si="210"/>
        <v>0</v>
      </c>
      <c r="M338" s="70">
        <f t="shared" si="210"/>
        <v>1203727</v>
      </c>
      <c r="N338" s="70">
        <f t="shared" si="210"/>
        <v>0</v>
      </c>
      <c r="O338" s="70">
        <f t="shared" si="210"/>
        <v>1203727</v>
      </c>
      <c r="P338" s="70">
        <f t="shared" si="210"/>
        <v>0</v>
      </c>
      <c r="Q338" s="70">
        <f t="shared" si="210"/>
        <v>1203727</v>
      </c>
      <c r="R338" s="70">
        <f t="shared" si="210"/>
        <v>0</v>
      </c>
      <c r="S338" s="70">
        <f t="shared" si="210"/>
        <v>1203727</v>
      </c>
      <c r="T338" s="70">
        <f t="shared" si="210"/>
        <v>25000</v>
      </c>
      <c r="U338" s="70">
        <f t="shared" si="210"/>
        <v>1228727</v>
      </c>
      <c r="V338" s="70">
        <f t="shared" si="210"/>
        <v>13050</v>
      </c>
      <c r="W338" s="70">
        <f t="shared" si="210"/>
        <v>1241777</v>
      </c>
      <c r="X338" s="70">
        <f t="shared" si="210"/>
        <v>0</v>
      </c>
      <c r="Y338" s="70">
        <f t="shared" si="210"/>
        <v>1241777</v>
      </c>
      <c r="Z338" s="70">
        <f t="shared" si="210"/>
        <v>13950</v>
      </c>
      <c r="AA338" s="70">
        <f t="shared" si="205"/>
        <v>1255727</v>
      </c>
      <c r="AB338" s="70">
        <f>SUM(AB339:AB362)</f>
        <v>0</v>
      </c>
      <c r="AC338" s="70">
        <f t="shared" si="206"/>
        <v>1255727</v>
      </c>
      <c r="AD338" s="105"/>
      <c r="AE338" s="105"/>
    </row>
    <row r="339" spans="1:31" s="22" customFormat="1" ht="21" customHeight="1">
      <c r="A339" s="56"/>
      <c r="B339" s="72"/>
      <c r="C339" s="76">
        <v>3020</v>
      </c>
      <c r="D339" s="36" t="s">
        <v>249</v>
      </c>
      <c r="E339" s="70">
        <v>3427</v>
      </c>
      <c r="F339" s="70"/>
      <c r="G339" s="70">
        <f aca="true" t="shared" si="211" ref="G339:G358">SUM(E339:F339)</f>
        <v>3427</v>
      </c>
      <c r="H339" s="70"/>
      <c r="I339" s="70">
        <f aca="true" t="shared" si="212" ref="I339:I358">SUM(G339:H339)</f>
        <v>3427</v>
      </c>
      <c r="J339" s="70"/>
      <c r="K339" s="70">
        <f aca="true" t="shared" si="213" ref="K339:K358">SUM(I339:J339)</f>
        <v>3427</v>
      </c>
      <c r="L339" s="70"/>
      <c r="M339" s="70">
        <f aca="true" t="shared" si="214" ref="M339:M358">SUM(K339:L339)</f>
        <v>3427</v>
      </c>
      <c r="N339" s="70"/>
      <c r="O339" s="70">
        <f aca="true" t="shared" si="215" ref="O339:O358">SUM(M339:N339)</f>
        <v>3427</v>
      </c>
      <c r="P339" s="70"/>
      <c r="Q339" s="70">
        <f aca="true" t="shared" si="216" ref="Q339:Q358">SUM(O339:P339)</f>
        <v>3427</v>
      </c>
      <c r="R339" s="70"/>
      <c r="S339" s="70">
        <f aca="true" t="shared" si="217" ref="S339:S358">SUM(Q339:R339)</f>
        <v>3427</v>
      </c>
      <c r="T339" s="70"/>
      <c r="U339" s="70">
        <f aca="true" t="shared" si="218" ref="U339:U358">SUM(S339:T339)</f>
        <v>3427</v>
      </c>
      <c r="V339" s="70"/>
      <c r="W339" s="70">
        <f aca="true" t="shared" si="219" ref="W339:W362">SUM(U339:V339)</f>
        <v>3427</v>
      </c>
      <c r="X339" s="70"/>
      <c r="Y339" s="70">
        <f aca="true" t="shared" si="220" ref="Y339:Y362">SUM(W339:X339)</f>
        <v>3427</v>
      </c>
      <c r="Z339" s="70"/>
      <c r="AA339" s="70">
        <f t="shared" si="205"/>
        <v>3427</v>
      </c>
      <c r="AB339" s="70"/>
      <c r="AC339" s="70">
        <f t="shared" si="206"/>
        <v>3427</v>
      </c>
      <c r="AD339" s="105"/>
      <c r="AE339" s="105"/>
    </row>
    <row r="340" spans="1:31" s="22" customFormat="1" ht="21" customHeight="1">
      <c r="A340" s="56"/>
      <c r="B340" s="72"/>
      <c r="C340" s="76">
        <v>4010</v>
      </c>
      <c r="D340" s="36" t="s">
        <v>108</v>
      </c>
      <c r="E340" s="70">
        <f>26495+579137</f>
        <v>605632</v>
      </c>
      <c r="F340" s="70"/>
      <c r="G340" s="70">
        <f t="shared" si="211"/>
        <v>605632</v>
      </c>
      <c r="H340" s="70"/>
      <c r="I340" s="70">
        <f t="shared" si="212"/>
        <v>605632</v>
      </c>
      <c r="J340" s="70"/>
      <c r="K340" s="70">
        <f t="shared" si="213"/>
        <v>605632</v>
      </c>
      <c r="L340" s="70"/>
      <c r="M340" s="70">
        <f t="shared" si="214"/>
        <v>605632</v>
      </c>
      <c r="N340" s="70"/>
      <c r="O340" s="70">
        <f t="shared" si="215"/>
        <v>605632</v>
      </c>
      <c r="P340" s="70"/>
      <c r="Q340" s="70">
        <f t="shared" si="216"/>
        <v>605632</v>
      </c>
      <c r="R340" s="70"/>
      <c r="S340" s="70">
        <f t="shared" si="217"/>
        <v>605632</v>
      </c>
      <c r="T340" s="70"/>
      <c r="U340" s="70">
        <f t="shared" si="218"/>
        <v>605632</v>
      </c>
      <c r="V340" s="70">
        <v>13050</v>
      </c>
      <c r="W340" s="70">
        <f t="shared" si="219"/>
        <v>618682</v>
      </c>
      <c r="X340" s="70"/>
      <c r="Y340" s="70">
        <f t="shared" si="220"/>
        <v>618682</v>
      </c>
      <c r="Z340" s="70">
        <v>11803</v>
      </c>
      <c r="AA340" s="70">
        <f t="shared" si="205"/>
        <v>630485</v>
      </c>
      <c r="AB340" s="70"/>
      <c r="AC340" s="70">
        <f t="shared" si="206"/>
        <v>630485</v>
      </c>
      <c r="AD340" s="105"/>
      <c r="AE340" s="105"/>
    </row>
    <row r="341" spans="1:31" s="22" customFormat="1" ht="21" customHeight="1">
      <c r="A341" s="56"/>
      <c r="B341" s="72"/>
      <c r="C341" s="76">
        <v>4040</v>
      </c>
      <c r="D341" s="36" t="s">
        <v>109</v>
      </c>
      <c r="E341" s="70">
        <f>1830+43000</f>
        <v>44830</v>
      </c>
      <c r="F341" s="70"/>
      <c r="G341" s="70">
        <f t="shared" si="211"/>
        <v>44830</v>
      </c>
      <c r="H341" s="70"/>
      <c r="I341" s="70">
        <f t="shared" si="212"/>
        <v>44830</v>
      </c>
      <c r="J341" s="70"/>
      <c r="K341" s="70">
        <f t="shared" si="213"/>
        <v>44830</v>
      </c>
      <c r="L341" s="70"/>
      <c r="M341" s="70">
        <f t="shared" si="214"/>
        <v>44830</v>
      </c>
      <c r="N341" s="70"/>
      <c r="O341" s="70">
        <f t="shared" si="215"/>
        <v>44830</v>
      </c>
      <c r="P341" s="70"/>
      <c r="Q341" s="70">
        <f t="shared" si="216"/>
        <v>44830</v>
      </c>
      <c r="R341" s="70"/>
      <c r="S341" s="70">
        <f t="shared" si="217"/>
        <v>44830</v>
      </c>
      <c r="T341" s="70"/>
      <c r="U341" s="70">
        <f t="shared" si="218"/>
        <v>44830</v>
      </c>
      <c r="V341" s="70"/>
      <c r="W341" s="70">
        <f t="shared" si="219"/>
        <v>44830</v>
      </c>
      <c r="X341" s="70"/>
      <c r="Y341" s="70">
        <f t="shared" si="220"/>
        <v>44830</v>
      </c>
      <c r="Z341" s="70"/>
      <c r="AA341" s="70">
        <f t="shared" si="205"/>
        <v>44830</v>
      </c>
      <c r="AB341" s="70"/>
      <c r="AC341" s="70">
        <f t="shared" si="206"/>
        <v>44830</v>
      </c>
      <c r="AD341" s="105"/>
      <c r="AE341" s="105"/>
    </row>
    <row r="342" spans="1:31" s="22" customFormat="1" ht="21" customHeight="1">
      <c r="A342" s="56"/>
      <c r="B342" s="72"/>
      <c r="C342" s="76">
        <v>4110</v>
      </c>
      <c r="D342" s="36" t="s">
        <v>110</v>
      </c>
      <c r="E342" s="70">
        <f>5563+95530</f>
        <v>101093</v>
      </c>
      <c r="F342" s="70"/>
      <c r="G342" s="70">
        <f t="shared" si="211"/>
        <v>101093</v>
      </c>
      <c r="H342" s="70"/>
      <c r="I342" s="70">
        <f t="shared" si="212"/>
        <v>101093</v>
      </c>
      <c r="J342" s="70"/>
      <c r="K342" s="70">
        <f t="shared" si="213"/>
        <v>101093</v>
      </c>
      <c r="L342" s="70"/>
      <c r="M342" s="70">
        <f t="shared" si="214"/>
        <v>101093</v>
      </c>
      <c r="N342" s="70"/>
      <c r="O342" s="70">
        <f t="shared" si="215"/>
        <v>101093</v>
      </c>
      <c r="P342" s="70"/>
      <c r="Q342" s="70">
        <f t="shared" si="216"/>
        <v>101093</v>
      </c>
      <c r="R342" s="70"/>
      <c r="S342" s="70">
        <f t="shared" si="217"/>
        <v>101093</v>
      </c>
      <c r="T342" s="70"/>
      <c r="U342" s="70">
        <f t="shared" si="218"/>
        <v>101093</v>
      </c>
      <c r="V342" s="70"/>
      <c r="W342" s="70">
        <f t="shared" si="219"/>
        <v>101093</v>
      </c>
      <c r="X342" s="70"/>
      <c r="Y342" s="70">
        <f t="shared" si="220"/>
        <v>101093</v>
      </c>
      <c r="Z342" s="70">
        <v>1857</v>
      </c>
      <c r="AA342" s="70">
        <f t="shared" si="205"/>
        <v>102950</v>
      </c>
      <c r="AB342" s="70"/>
      <c r="AC342" s="70">
        <f t="shared" si="206"/>
        <v>102950</v>
      </c>
      <c r="AD342" s="105"/>
      <c r="AE342" s="105"/>
    </row>
    <row r="343" spans="1:31" s="22" customFormat="1" ht="21" customHeight="1">
      <c r="A343" s="56"/>
      <c r="B343" s="72"/>
      <c r="C343" s="76">
        <v>4120</v>
      </c>
      <c r="D343" s="36" t="s">
        <v>111</v>
      </c>
      <c r="E343" s="70">
        <f>694+14880</f>
        <v>15574</v>
      </c>
      <c r="F343" s="70"/>
      <c r="G343" s="70">
        <f t="shared" si="211"/>
        <v>15574</v>
      </c>
      <c r="H343" s="70"/>
      <c r="I343" s="70">
        <f t="shared" si="212"/>
        <v>15574</v>
      </c>
      <c r="J343" s="70"/>
      <c r="K343" s="70">
        <f t="shared" si="213"/>
        <v>15574</v>
      </c>
      <c r="L343" s="70"/>
      <c r="M343" s="70">
        <f t="shared" si="214"/>
        <v>15574</v>
      </c>
      <c r="N343" s="70"/>
      <c r="O343" s="70">
        <f t="shared" si="215"/>
        <v>15574</v>
      </c>
      <c r="P343" s="70"/>
      <c r="Q343" s="70">
        <f t="shared" si="216"/>
        <v>15574</v>
      </c>
      <c r="R343" s="70"/>
      <c r="S343" s="70">
        <f t="shared" si="217"/>
        <v>15574</v>
      </c>
      <c r="T343" s="70"/>
      <c r="U343" s="70">
        <f t="shared" si="218"/>
        <v>15574</v>
      </c>
      <c r="V343" s="70"/>
      <c r="W343" s="70">
        <f t="shared" si="219"/>
        <v>15574</v>
      </c>
      <c r="X343" s="70"/>
      <c r="Y343" s="70">
        <f t="shared" si="220"/>
        <v>15574</v>
      </c>
      <c r="Z343" s="70">
        <v>290</v>
      </c>
      <c r="AA343" s="70">
        <f t="shared" si="205"/>
        <v>15864</v>
      </c>
      <c r="AB343" s="70"/>
      <c r="AC343" s="70">
        <f t="shared" si="206"/>
        <v>15864</v>
      </c>
      <c r="AD343" s="105"/>
      <c r="AE343" s="105"/>
    </row>
    <row r="344" spans="1:31" s="22" customFormat="1" ht="21" customHeight="1">
      <c r="A344" s="56"/>
      <c r="B344" s="72"/>
      <c r="C344" s="76">
        <v>4170</v>
      </c>
      <c r="D344" s="36" t="s">
        <v>227</v>
      </c>
      <c r="E344" s="70">
        <f>6600+9528</f>
        <v>16128</v>
      </c>
      <c r="F344" s="70"/>
      <c r="G344" s="70">
        <f t="shared" si="211"/>
        <v>16128</v>
      </c>
      <c r="H344" s="70"/>
      <c r="I344" s="70">
        <f t="shared" si="212"/>
        <v>16128</v>
      </c>
      <c r="J344" s="70"/>
      <c r="K344" s="70">
        <f t="shared" si="213"/>
        <v>16128</v>
      </c>
      <c r="L344" s="70"/>
      <c r="M344" s="70">
        <f t="shared" si="214"/>
        <v>16128</v>
      </c>
      <c r="N344" s="70"/>
      <c r="O344" s="70">
        <f t="shared" si="215"/>
        <v>16128</v>
      </c>
      <c r="P344" s="70"/>
      <c r="Q344" s="70">
        <f t="shared" si="216"/>
        <v>16128</v>
      </c>
      <c r="R344" s="70"/>
      <c r="S344" s="70">
        <f t="shared" si="217"/>
        <v>16128</v>
      </c>
      <c r="T344" s="70"/>
      <c r="U344" s="70">
        <f t="shared" si="218"/>
        <v>16128</v>
      </c>
      <c r="V344" s="70"/>
      <c r="W344" s="70">
        <f t="shared" si="219"/>
        <v>16128</v>
      </c>
      <c r="X344" s="70"/>
      <c r="Y344" s="70">
        <f t="shared" si="220"/>
        <v>16128</v>
      </c>
      <c r="Z344" s="70"/>
      <c r="AA344" s="70">
        <f t="shared" si="205"/>
        <v>16128</v>
      </c>
      <c r="AB344" s="70"/>
      <c r="AC344" s="70">
        <f t="shared" si="206"/>
        <v>16128</v>
      </c>
      <c r="AD344" s="105"/>
      <c r="AE344" s="105"/>
    </row>
    <row r="345" spans="1:31" s="22" customFormat="1" ht="21" customHeight="1">
      <c r="A345" s="56"/>
      <c r="B345" s="72"/>
      <c r="C345" s="76">
        <v>4210</v>
      </c>
      <c r="D345" s="36" t="s">
        <v>116</v>
      </c>
      <c r="E345" s="70">
        <f>10100+31880</f>
        <v>41980</v>
      </c>
      <c r="F345" s="70"/>
      <c r="G345" s="70">
        <f t="shared" si="211"/>
        <v>41980</v>
      </c>
      <c r="H345" s="70"/>
      <c r="I345" s="70">
        <f t="shared" si="212"/>
        <v>41980</v>
      </c>
      <c r="J345" s="70"/>
      <c r="K345" s="70">
        <f t="shared" si="213"/>
        <v>41980</v>
      </c>
      <c r="L345" s="70"/>
      <c r="M345" s="70">
        <f t="shared" si="214"/>
        <v>41980</v>
      </c>
      <c r="N345" s="70"/>
      <c r="O345" s="70">
        <f t="shared" si="215"/>
        <v>41980</v>
      </c>
      <c r="P345" s="70"/>
      <c r="Q345" s="70">
        <f t="shared" si="216"/>
        <v>41980</v>
      </c>
      <c r="R345" s="70"/>
      <c r="S345" s="70">
        <f t="shared" si="217"/>
        <v>41980</v>
      </c>
      <c r="T345" s="70"/>
      <c r="U345" s="70">
        <f t="shared" si="218"/>
        <v>41980</v>
      </c>
      <c r="V345" s="70">
        <v>-636</v>
      </c>
      <c r="W345" s="70">
        <f t="shared" si="219"/>
        <v>41344</v>
      </c>
      <c r="X345" s="70"/>
      <c r="Y345" s="70">
        <f t="shared" si="220"/>
        <v>41344</v>
      </c>
      <c r="Z345" s="70"/>
      <c r="AA345" s="70">
        <f t="shared" si="205"/>
        <v>41344</v>
      </c>
      <c r="AB345" s="70"/>
      <c r="AC345" s="70">
        <f t="shared" si="206"/>
        <v>41344</v>
      </c>
      <c r="AD345" s="105"/>
      <c r="AE345" s="105"/>
    </row>
    <row r="346" spans="1:31" s="22" customFormat="1" ht="21" customHeight="1">
      <c r="A346" s="56"/>
      <c r="B346" s="72"/>
      <c r="C346" s="76">
        <v>4220</v>
      </c>
      <c r="D346" s="36" t="s">
        <v>210</v>
      </c>
      <c r="E346" s="70">
        <v>150000</v>
      </c>
      <c r="F346" s="70"/>
      <c r="G346" s="70">
        <f t="shared" si="211"/>
        <v>150000</v>
      </c>
      <c r="H346" s="70"/>
      <c r="I346" s="70">
        <f t="shared" si="212"/>
        <v>150000</v>
      </c>
      <c r="J346" s="70"/>
      <c r="K346" s="70">
        <f t="shared" si="213"/>
        <v>150000</v>
      </c>
      <c r="L346" s="70"/>
      <c r="M346" s="70">
        <f t="shared" si="214"/>
        <v>150000</v>
      </c>
      <c r="N346" s="70"/>
      <c r="O346" s="70">
        <f t="shared" si="215"/>
        <v>150000</v>
      </c>
      <c r="P346" s="70"/>
      <c r="Q346" s="70">
        <f t="shared" si="216"/>
        <v>150000</v>
      </c>
      <c r="R346" s="70"/>
      <c r="S346" s="70">
        <f t="shared" si="217"/>
        <v>150000</v>
      </c>
      <c r="T346" s="70"/>
      <c r="U346" s="70">
        <f t="shared" si="218"/>
        <v>150000</v>
      </c>
      <c r="V346" s="70"/>
      <c r="W346" s="70">
        <f t="shared" si="219"/>
        <v>150000</v>
      </c>
      <c r="X346" s="70"/>
      <c r="Y346" s="70">
        <f t="shared" si="220"/>
        <v>150000</v>
      </c>
      <c r="Z346" s="70"/>
      <c r="AA346" s="70">
        <f t="shared" si="205"/>
        <v>150000</v>
      </c>
      <c r="AB346" s="70"/>
      <c r="AC346" s="70">
        <f t="shared" si="206"/>
        <v>150000</v>
      </c>
      <c r="AD346" s="105"/>
      <c r="AE346" s="105"/>
    </row>
    <row r="347" spans="1:31" s="22" customFormat="1" ht="27" customHeight="1">
      <c r="A347" s="56"/>
      <c r="B347" s="72"/>
      <c r="C347" s="76">
        <v>4230</v>
      </c>
      <c r="D347" s="36" t="s">
        <v>319</v>
      </c>
      <c r="E347" s="70">
        <v>200</v>
      </c>
      <c r="F347" s="70"/>
      <c r="G347" s="70">
        <f t="shared" si="211"/>
        <v>200</v>
      </c>
      <c r="H347" s="70"/>
      <c r="I347" s="70">
        <f t="shared" si="212"/>
        <v>200</v>
      </c>
      <c r="J347" s="70"/>
      <c r="K347" s="70">
        <f t="shared" si="213"/>
        <v>200</v>
      </c>
      <c r="L347" s="70"/>
      <c r="M347" s="70">
        <f t="shared" si="214"/>
        <v>200</v>
      </c>
      <c r="N347" s="70"/>
      <c r="O347" s="70">
        <f t="shared" si="215"/>
        <v>200</v>
      </c>
      <c r="P347" s="70"/>
      <c r="Q347" s="70">
        <f t="shared" si="216"/>
        <v>200</v>
      </c>
      <c r="R347" s="70"/>
      <c r="S347" s="70">
        <f t="shared" si="217"/>
        <v>200</v>
      </c>
      <c r="T347" s="70"/>
      <c r="U347" s="70">
        <f t="shared" si="218"/>
        <v>200</v>
      </c>
      <c r="V347" s="70"/>
      <c r="W347" s="70">
        <f t="shared" si="219"/>
        <v>200</v>
      </c>
      <c r="X347" s="70"/>
      <c r="Y347" s="70">
        <f t="shared" si="220"/>
        <v>200</v>
      </c>
      <c r="Z347" s="70"/>
      <c r="AA347" s="70">
        <f t="shared" si="205"/>
        <v>200</v>
      </c>
      <c r="AB347" s="70"/>
      <c r="AC347" s="70">
        <f t="shared" si="206"/>
        <v>200</v>
      </c>
      <c r="AD347" s="105"/>
      <c r="AE347" s="105"/>
    </row>
    <row r="348" spans="1:31" s="22" customFormat="1" ht="21" customHeight="1">
      <c r="A348" s="56"/>
      <c r="B348" s="72"/>
      <c r="C348" s="76">
        <v>4260</v>
      </c>
      <c r="D348" s="36" t="s">
        <v>119</v>
      </c>
      <c r="E348" s="70">
        <v>11960</v>
      </c>
      <c r="F348" s="70"/>
      <c r="G348" s="70">
        <f t="shared" si="211"/>
        <v>11960</v>
      </c>
      <c r="H348" s="70"/>
      <c r="I348" s="70">
        <f t="shared" si="212"/>
        <v>11960</v>
      </c>
      <c r="J348" s="70"/>
      <c r="K348" s="70">
        <f t="shared" si="213"/>
        <v>11960</v>
      </c>
      <c r="L348" s="70"/>
      <c r="M348" s="70">
        <f t="shared" si="214"/>
        <v>11960</v>
      </c>
      <c r="N348" s="70"/>
      <c r="O348" s="70">
        <f t="shared" si="215"/>
        <v>11960</v>
      </c>
      <c r="P348" s="70"/>
      <c r="Q348" s="70">
        <f t="shared" si="216"/>
        <v>11960</v>
      </c>
      <c r="R348" s="70"/>
      <c r="S348" s="70">
        <f t="shared" si="217"/>
        <v>11960</v>
      </c>
      <c r="T348" s="70"/>
      <c r="U348" s="70">
        <f t="shared" si="218"/>
        <v>11960</v>
      </c>
      <c r="V348" s="70">
        <v>1500</v>
      </c>
      <c r="W348" s="70">
        <f t="shared" si="219"/>
        <v>13460</v>
      </c>
      <c r="X348" s="70"/>
      <c r="Y348" s="70">
        <f t="shared" si="220"/>
        <v>13460</v>
      </c>
      <c r="Z348" s="70"/>
      <c r="AA348" s="70">
        <f t="shared" si="205"/>
        <v>13460</v>
      </c>
      <c r="AB348" s="70"/>
      <c r="AC348" s="70">
        <f t="shared" si="206"/>
        <v>13460</v>
      </c>
      <c r="AD348" s="105"/>
      <c r="AE348" s="105"/>
    </row>
    <row r="349" spans="1:31" s="22" customFormat="1" ht="21" customHeight="1">
      <c r="A349" s="56"/>
      <c r="B349" s="72"/>
      <c r="C349" s="76">
        <v>4270</v>
      </c>
      <c r="D349" s="36" t="s">
        <v>102</v>
      </c>
      <c r="E349" s="70">
        <v>4000</v>
      </c>
      <c r="F349" s="70"/>
      <c r="G349" s="70">
        <f t="shared" si="211"/>
        <v>4000</v>
      </c>
      <c r="H349" s="70"/>
      <c r="I349" s="70">
        <f t="shared" si="212"/>
        <v>4000</v>
      </c>
      <c r="J349" s="70"/>
      <c r="K349" s="70">
        <f t="shared" si="213"/>
        <v>4000</v>
      </c>
      <c r="L349" s="70"/>
      <c r="M349" s="70">
        <f t="shared" si="214"/>
        <v>4000</v>
      </c>
      <c r="N349" s="70"/>
      <c r="O349" s="70">
        <f t="shared" si="215"/>
        <v>4000</v>
      </c>
      <c r="P349" s="70"/>
      <c r="Q349" s="70">
        <f t="shared" si="216"/>
        <v>4000</v>
      </c>
      <c r="R349" s="70"/>
      <c r="S349" s="70">
        <f t="shared" si="217"/>
        <v>4000</v>
      </c>
      <c r="T349" s="60">
        <v>25000</v>
      </c>
      <c r="U349" s="70">
        <f t="shared" si="218"/>
        <v>29000</v>
      </c>
      <c r="V349" s="60"/>
      <c r="W349" s="70">
        <f t="shared" si="219"/>
        <v>29000</v>
      </c>
      <c r="X349" s="60"/>
      <c r="Y349" s="70">
        <f t="shared" si="220"/>
        <v>29000</v>
      </c>
      <c r="Z349" s="60"/>
      <c r="AA349" s="70">
        <f t="shared" si="205"/>
        <v>29000</v>
      </c>
      <c r="AB349" s="60"/>
      <c r="AC349" s="70">
        <f t="shared" si="206"/>
        <v>29000</v>
      </c>
      <c r="AD349" s="105"/>
      <c r="AE349" s="105"/>
    </row>
    <row r="350" spans="1:31" s="22" customFormat="1" ht="21" customHeight="1">
      <c r="A350" s="56"/>
      <c r="B350" s="72"/>
      <c r="C350" s="76">
        <v>4280</v>
      </c>
      <c r="D350" s="36" t="s">
        <v>233</v>
      </c>
      <c r="E350" s="70">
        <v>1050</v>
      </c>
      <c r="F350" s="70"/>
      <c r="G350" s="70">
        <f t="shared" si="211"/>
        <v>1050</v>
      </c>
      <c r="H350" s="70"/>
      <c r="I350" s="70">
        <f t="shared" si="212"/>
        <v>1050</v>
      </c>
      <c r="J350" s="70"/>
      <c r="K350" s="70">
        <f t="shared" si="213"/>
        <v>1050</v>
      </c>
      <c r="L350" s="70"/>
      <c r="M350" s="70">
        <f t="shared" si="214"/>
        <v>1050</v>
      </c>
      <c r="N350" s="70"/>
      <c r="O350" s="70">
        <f t="shared" si="215"/>
        <v>1050</v>
      </c>
      <c r="P350" s="70"/>
      <c r="Q350" s="70">
        <f t="shared" si="216"/>
        <v>1050</v>
      </c>
      <c r="R350" s="70"/>
      <c r="S350" s="70">
        <f t="shared" si="217"/>
        <v>1050</v>
      </c>
      <c r="T350" s="70"/>
      <c r="U350" s="70">
        <f t="shared" si="218"/>
        <v>1050</v>
      </c>
      <c r="V350" s="70"/>
      <c r="W350" s="70">
        <f t="shared" si="219"/>
        <v>1050</v>
      </c>
      <c r="X350" s="70"/>
      <c r="Y350" s="70">
        <f t="shared" si="220"/>
        <v>1050</v>
      </c>
      <c r="Z350" s="70"/>
      <c r="AA350" s="70">
        <f t="shared" si="205"/>
        <v>1050</v>
      </c>
      <c r="AB350" s="70"/>
      <c r="AC350" s="70">
        <f t="shared" si="206"/>
        <v>1050</v>
      </c>
      <c r="AD350" s="105"/>
      <c r="AE350" s="105"/>
    </row>
    <row r="351" spans="1:31" s="22" customFormat="1" ht="21" customHeight="1">
      <c r="A351" s="56"/>
      <c r="B351" s="72"/>
      <c r="C351" s="76">
        <v>4300</v>
      </c>
      <c r="D351" s="36" t="s">
        <v>103</v>
      </c>
      <c r="E351" s="70">
        <f>34000+42675</f>
        <v>76675</v>
      </c>
      <c r="F351" s="70"/>
      <c r="G351" s="70">
        <f t="shared" si="211"/>
        <v>76675</v>
      </c>
      <c r="H351" s="70"/>
      <c r="I351" s="70">
        <f t="shared" si="212"/>
        <v>76675</v>
      </c>
      <c r="J351" s="70"/>
      <c r="K351" s="70">
        <f t="shared" si="213"/>
        <v>76675</v>
      </c>
      <c r="L351" s="70"/>
      <c r="M351" s="70">
        <f t="shared" si="214"/>
        <v>76675</v>
      </c>
      <c r="N351" s="70"/>
      <c r="O351" s="70">
        <f t="shared" si="215"/>
        <v>76675</v>
      </c>
      <c r="P351" s="70"/>
      <c r="Q351" s="70">
        <f t="shared" si="216"/>
        <v>76675</v>
      </c>
      <c r="R351" s="70"/>
      <c r="S351" s="70">
        <f t="shared" si="217"/>
        <v>76675</v>
      </c>
      <c r="T351" s="70"/>
      <c r="U351" s="70">
        <f t="shared" si="218"/>
        <v>76675</v>
      </c>
      <c r="V351" s="70">
        <v>-800</v>
      </c>
      <c r="W351" s="70">
        <f t="shared" si="219"/>
        <v>75875</v>
      </c>
      <c r="X351" s="70"/>
      <c r="Y351" s="70">
        <f t="shared" si="220"/>
        <v>75875</v>
      </c>
      <c r="Z351" s="70"/>
      <c r="AA351" s="70">
        <f t="shared" si="205"/>
        <v>75875</v>
      </c>
      <c r="AB351" s="70"/>
      <c r="AC351" s="70">
        <f t="shared" si="206"/>
        <v>75875</v>
      </c>
      <c r="AD351" s="105"/>
      <c r="AE351" s="105"/>
    </row>
    <row r="352" spans="1:31" s="22" customFormat="1" ht="21" customHeight="1">
      <c r="A352" s="56"/>
      <c r="B352" s="72"/>
      <c r="C352" s="76">
        <v>4350</v>
      </c>
      <c r="D352" s="36" t="s">
        <v>245</v>
      </c>
      <c r="E352" s="70">
        <f>550+627</f>
        <v>1177</v>
      </c>
      <c r="F352" s="70"/>
      <c r="G352" s="70">
        <f t="shared" si="211"/>
        <v>1177</v>
      </c>
      <c r="H352" s="70"/>
      <c r="I352" s="70">
        <f t="shared" si="212"/>
        <v>1177</v>
      </c>
      <c r="J352" s="70"/>
      <c r="K352" s="70">
        <f t="shared" si="213"/>
        <v>1177</v>
      </c>
      <c r="L352" s="70"/>
      <c r="M352" s="70">
        <f t="shared" si="214"/>
        <v>1177</v>
      </c>
      <c r="N352" s="70"/>
      <c r="O352" s="70">
        <f t="shared" si="215"/>
        <v>1177</v>
      </c>
      <c r="P352" s="70"/>
      <c r="Q352" s="70">
        <f t="shared" si="216"/>
        <v>1177</v>
      </c>
      <c r="R352" s="70"/>
      <c r="S352" s="70">
        <f t="shared" si="217"/>
        <v>1177</v>
      </c>
      <c r="T352" s="70"/>
      <c r="U352" s="70">
        <f t="shared" si="218"/>
        <v>1177</v>
      </c>
      <c r="V352" s="70"/>
      <c r="W352" s="70">
        <f t="shared" si="219"/>
        <v>1177</v>
      </c>
      <c r="X352" s="70"/>
      <c r="Y352" s="70">
        <f t="shared" si="220"/>
        <v>1177</v>
      </c>
      <c r="Z352" s="70"/>
      <c r="AA352" s="70">
        <f t="shared" si="205"/>
        <v>1177</v>
      </c>
      <c r="AB352" s="70"/>
      <c r="AC352" s="70">
        <f t="shared" si="206"/>
        <v>1177</v>
      </c>
      <c r="AD352" s="105"/>
      <c r="AE352" s="105"/>
    </row>
    <row r="353" spans="1:31" s="22" customFormat="1" ht="24">
      <c r="A353" s="56"/>
      <c r="B353" s="72"/>
      <c r="C353" s="76">
        <v>4360</v>
      </c>
      <c r="D353" s="36" t="s">
        <v>269</v>
      </c>
      <c r="E353" s="70">
        <v>732</v>
      </c>
      <c r="F353" s="70"/>
      <c r="G353" s="70">
        <f t="shared" si="211"/>
        <v>732</v>
      </c>
      <c r="H353" s="70"/>
      <c r="I353" s="70">
        <f t="shared" si="212"/>
        <v>732</v>
      </c>
      <c r="J353" s="70"/>
      <c r="K353" s="70">
        <f t="shared" si="213"/>
        <v>732</v>
      </c>
      <c r="L353" s="70"/>
      <c r="M353" s="70">
        <f t="shared" si="214"/>
        <v>732</v>
      </c>
      <c r="N353" s="70"/>
      <c r="O353" s="70">
        <f t="shared" si="215"/>
        <v>732</v>
      </c>
      <c r="P353" s="70"/>
      <c r="Q353" s="70">
        <f t="shared" si="216"/>
        <v>732</v>
      </c>
      <c r="R353" s="70"/>
      <c r="S353" s="70">
        <f t="shared" si="217"/>
        <v>732</v>
      </c>
      <c r="T353" s="70"/>
      <c r="U353" s="70">
        <f t="shared" si="218"/>
        <v>732</v>
      </c>
      <c r="V353" s="70"/>
      <c r="W353" s="70">
        <f t="shared" si="219"/>
        <v>732</v>
      </c>
      <c r="X353" s="70"/>
      <c r="Y353" s="70">
        <f t="shared" si="220"/>
        <v>732</v>
      </c>
      <c r="Z353" s="70"/>
      <c r="AA353" s="70">
        <f t="shared" si="205"/>
        <v>732</v>
      </c>
      <c r="AB353" s="70"/>
      <c r="AC353" s="70">
        <f t="shared" si="206"/>
        <v>732</v>
      </c>
      <c r="AD353" s="105"/>
      <c r="AE353" s="105"/>
    </row>
    <row r="354" spans="1:33" s="22" customFormat="1" ht="24">
      <c r="A354" s="56"/>
      <c r="B354" s="72"/>
      <c r="C354" s="76">
        <v>4370</v>
      </c>
      <c r="D354" s="36" t="s">
        <v>269</v>
      </c>
      <c r="E354" s="70">
        <f>2500+8280</f>
        <v>10780</v>
      </c>
      <c r="F354" s="70"/>
      <c r="G354" s="70">
        <f t="shared" si="211"/>
        <v>10780</v>
      </c>
      <c r="H354" s="70"/>
      <c r="I354" s="70">
        <f t="shared" si="212"/>
        <v>10780</v>
      </c>
      <c r="J354" s="70"/>
      <c r="K354" s="70">
        <f t="shared" si="213"/>
        <v>10780</v>
      </c>
      <c r="L354" s="70"/>
      <c r="M354" s="70">
        <f t="shared" si="214"/>
        <v>10780</v>
      </c>
      <c r="N354" s="70"/>
      <c r="O354" s="70">
        <f t="shared" si="215"/>
        <v>10780</v>
      </c>
      <c r="P354" s="70"/>
      <c r="Q354" s="70">
        <f t="shared" si="216"/>
        <v>10780</v>
      </c>
      <c r="R354" s="70"/>
      <c r="S354" s="70">
        <f t="shared" si="217"/>
        <v>10780</v>
      </c>
      <c r="T354" s="70"/>
      <c r="U354" s="70">
        <f t="shared" si="218"/>
        <v>10780</v>
      </c>
      <c r="V354" s="70"/>
      <c r="W354" s="70">
        <f t="shared" si="219"/>
        <v>10780</v>
      </c>
      <c r="X354" s="70"/>
      <c r="Y354" s="70">
        <f t="shared" si="220"/>
        <v>10780</v>
      </c>
      <c r="Z354" s="70"/>
      <c r="AA354" s="70">
        <f t="shared" si="205"/>
        <v>10780</v>
      </c>
      <c r="AB354" s="70"/>
      <c r="AC354" s="70">
        <f t="shared" si="206"/>
        <v>10780</v>
      </c>
      <c r="AD354" s="105"/>
      <c r="AE354" s="105"/>
      <c r="AG354" s="139"/>
    </row>
    <row r="355" spans="1:31" s="22" customFormat="1" ht="24">
      <c r="A355" s="56"/>
      <c r="B355" s="72"/>
      <c r="C355" s="76">
        <v>4400</v>
      </c>
      <c r="D355" s="36" t="s">
        <v>288</v>
      </c>
      <c r="E355" s="70">
        <f>2070+70607</f>
        <v>72677</v>
      </c>
      <c r="F355" s="70"/>
      <c r="G355" s="70">
        <f t="shared" si="211"/>
        <v>72677</v>
      </c>
      <c r="H355" s="70"/>
      <c r="I355" s="70">
        <f t="shared" si="212"/>
        <v>72677</v>
      </c>
      <c r="J355" s="70"/>
      <c r="K355" s="70">
        <f t="shared" si="213"/>
        <v>72677</v>
      </c>
      <c r="L355" s="70"/>
      <c r="M355" s="70">
        <f t="shared" si="214"/>
        <v>72677</v>
      </c>
      <c r="N355" s="70"/>
      <c r="O355" s="70">
        <f t="shared" si="215"/>
        <v>72677</v>
      </c>
      <c r="P355" s="70"/>
      <c r="Q355" s="70">
        <f t="shared" si="216"/>
        <v>72677</v>
      </c>
      <c r="R355" s="70"/>
      <c r="S355" s="70">
        <f t="shared" si="217"/>
        <v>72677</v>
      </c>
      <c r="T355" s="70"/>
      <c r="U355" s="70">
        <f t="shared" si="218"/>
        <v>72677</v>
      </c>
      <c r="V355" s="70">
        <v>-1500</v>
      </c>
      <c r="W355" s="70">
        <f t="shared" si="219"/>
        <v>71177</v>
      </c>
      <c r="X355" s="70"/>
      <c r="Y355" s="70">
        <f t="shared" si="220"/>
        <v>71177</v>
      </c>
      <c r="Z355" s="70"/>
      <c r="AA355" s="70">
        <f t="shared" si="205"/>
        <v>71177</v>
      </c>
      <c r="AB355" s="70"/>
      <c r="AC355" s="70">
        <f t="shared" si="206"/>
        <v>71177</v>
      </c>
      <c r="AD355" s="105"/>
      <c r="AE355" s="105"/>
    </row>
    <row r="356" spans="1:31" s="22" customFormat="1" ht="21" customHeight="1">
      <c r="A356" s="56"/>
      <c r="B356" s="72"/>
      <c r="C356" s="76">
        <v>4410</v>
      </c>
      <c r="D356" s="36" t="s">
        <v>114</v>
      </c>
      <c r="E356" s="70">
        <f>1620+9955</f>
        <v>11575</v>
      </c>
      <c r="F356" s="70"/>
      <c r="G356" s="70">
        <f t="shared" si="211"/>
        <v>11575</v>
      </c>
      <c r="H356" s="70"/>
      <c r="I356" s="70">
        <f t="shared" si="212"/>
        <v>11575</v>
      </c>
      <c r="J356" s="70"/>
      <c r="K356" s="70">
        <f t="shared" si="213"/>
        <v>11575</v>
      </c>
      <c r="L356" s="70"/>
      <c r="M356" s="70">
        <f t="shared" si="214"/>
        <v>11575</v>
      </c>
      <c r="N356" s="70"/>
      <c r="O356" s="70">
        <f t="shared" si="215"/>
        <v>11575</v>
      </c>
      <c r="P356" s="70"/>
      <c r="Q356" s="70">
        <f t="shared" si="216"/>
        <v>11575</v>
      </c>
      <c r="R356" s="70"/>
      <c r="S356" s="70">
        <f t="shared" si="217"/>
        <v>11575</v>
      </c>
      <c r="T356" s="70"/>
      <c r="U356" s="70">
        <f t="shared" si="218"/>
        <v>11575</v>
      </c>
      <c r="V356" s="70"/>
      <c r="W356" s="70">
        <f t="shared" si="219"/>
        <v>11575</v>
      </c>
      <c r="X356" s="70"/>
      <c r="Y356" s="70">
        <f t="shared" si="220"/>
        <v>11575</v>
      </c>
      <c r="Z356" s="70"/>
      <c r="AA356" s="70">
        <f t="shared" si="205"/>
        <v>11575</v>
      </c>
      <c r="AB356" s="70"/>
      <c r="AC356" s="70">
        <f t="shared" si="206"/>
        <v>11575</v>
      </c>
      <c r="AD356" s="105"/>
      <c r="AE356" s="105"/>
    </row>
    <row r="357" spans="1:31" s="22" customFormat="1" ht="21" customHeight="1">
      <c r="A357" s="56"/>
      <c r="B357" s="72"/>
      <c r="C357" s="76">
        <v>4430</v>
      </c>
      <c r="D357" s="36" t="s">
        <v>118</v>
      </c>
      <c r="E357" s="70">
        <v>2800</v>
      </c>
      <c r="F357" s="70"/>
      <c r="G357" s="70">
        <f t="shared" si="211"/>
        <v>2800</v>
      </c>
      <c r="H357" s="70"/>
      <c r="I357" s="70">
        <f t="shared" si="212"/>
        <v>2800</v>
      </c>
      <c r="J357" s="70"/>
      <c r="K357" s="70">
        <f t="shared" si="213"/>
        <v>2800</v>
      </c>
      <c r="L357" s="70"/>
      <c r="M357" s="70">
        <f t="shared" si="214"/>
        <v>2800</v>
      </c>
      <c r="N357" s="70"/>
      <c r="O357" s="70">
        <f t="shared" si="215"/>
        <v>2800</v>
      </c>
      <c r="P357" s="70"/>
      <c r="Q357" s="70">
        <f t="shared" si="216"/>
        <v>2800</v>
      </c>
      <c r="R357" s="70"/>
      <c r="S357" s="70">
        <f t="shared" si="217"/>
        <v>2800</v>
      </c>
      <c r="T357" s="70"/>
      <c r="U357" s="70">
        <f t="shared" si="218"/>
        <v>2800</v>
      </c>
      <c r="V357" s="70"/>
      <c r="W357" s="70">
        <f t="shared" si="219"/>
        <v>2800</v>
      </c>
      <c r="X357" s="70"/>
      <c r="Y357" s="70">
        <f t="shared" si="220"/>
        <v>2800</v>
      </c>
      <c r="Z357" s="70"/>
      <c r="AA357" s="70">
        <f t="shared" si="205"/>
        <v>2800</v>
      </c>
      <c r="AB357" s="70"/>
      <c r="AC357" s="70">
        <f t="shared" si="206"/>
        <v>2800</v>
      </c>
      <c r="AD357" s="105"/>
      <c r="AE357" s="105"/>
    </row>
    <row r="358" spans="1:31" s="22" customFormat="1" ht="21" customHeight="1">
      <c r="A358" s="56"/>
      <c r="B358" s="72"/>
      <c r="C358" s="76">
        <v>4440</v>
      </c>
      <c r="D358" s="36" t="s">
        <v>112</v>
      </c>
      <c r="E358" s="70">
        <f>1680+18585</f>
        <v>20265</v>
      </c>
      <c r="F358" s="70"/>
      <c r="G358" s="70">
        <f t="shared" si="211"/>
        <v>20265</v>
      </c>
      <c r="H358" s="70"/>
      <c r="I358" s="70">
        <f t="shared" si="212"/>
        <v>20265</v>
      </c>
      <c r="J358" s="70"/>
      <c r="K358" s="70">
        <f t="shared" si="213"/>
        <v>20265</v>
      </c>
      <c r="L358" s="70"/>
      <c r="M358" s="70">
        <f t="shared" si="214"/>
        <v>20265</v>
      </c>
      <c r="N358" s="70"/>
      <c r="O358" s="70">
        <f t="shared" si="215"/>
        <v>20265</v>
      </c>
      <c r="P358" s="70"/>
      <c r="Q358" s="70">
        <f t="shared" si="216"/>
        <v>20265</v>
      </c>
      <c r="R358" s="70"/>
      <c r="S358" s="70">
        <f t="shared" si="217"/>
        <v>20265</v>
      </c>
      <c r="T358" s="70"/>
      <c r="U358" s="70">
        <f t="shared" si="218"/>
        <v>20265</v>
      </c>
      <c r="V358" s="70"/>
      <c r="W358" s="70">
        <f t="shared" si="219"/>
        <v>20265</v>
      </c>
      <c r="X358" s="70"/>
      <c r="Y358" s="70">
        <f t="shared" si="220"/>
        <v>20265</v>
      </c>
      <c r="Z358" s="70"/>
      <c r="AA358" s="70">
        <f t="shared" si="205"/>
        <v>20265</v>
      </c>
      <c r="AB358" s="70"/>
      <c r="AC358" s="70">
        <f t="shared" si="206"/>
        <v>20265</v>
      </c>
      <c r="AD358" s="105"/>
      <c r="AE358" s="105"/>
    </row>
    <row r="359" spans="1:31" s="22" customFormat="1" ht="21" customHeight="1">
      <c r="A359" s="56"/>
      <c r="B359" s="72"/>
      <c r="C359" s="76">
        <v>4610</v>
      </c>
      <c r="D359" s="36" t="s">
        <v>215</v>
      </c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>
        <v>0</v>
      </c>
      <c r="V359" s="70">
        <v>800</v>
      </c>
      <c r="W359" s="70">
        <f t="shared" si="219"/>
        <v>800</v>
      </c>
      <c r="X359" s="70"/>
      <c r="Y359" s="70">
        <f t="shared" si="220"/>
        <v>800</v>
      </c>
      <c r="Z359" s="70"/>
      <c r="AA359" s="70">
        <f t="shared" si="205"/>
        <v>800</v>
      </c>
      <c r="AB359" s="70"/>
      <c r="AC359" s="70">
        <f t="shared" si="206"/>
        <v>800</v>
      </c>
      <c r="AD359" s="105"/>
      <c r="AE359" s="105"/>
    </row>
    <row r="360" spans="1:31" s="22" customFormat="1" ht="24">
      <c r="A360" s="56"/>
      <c r="B360" s="72"/>
      <c r="C360" s="76">
        <v>4700</v>
      </c>
      <c r="D360" s="36" t="s">
        <v>321</v>
      </c>
      <c r="E360" s="70">
        <v>3500</v>
      </c>
      <c r="F360" s="70"/>
      <c r="G360" s="70">
        <f>SUM(E360:F360)</f>
        <v>3500</v>
      </c>
      <c r="H360" s="70"/>
      <c r="I360" s="70">
        <f>SUM(G360:H360)</f>
        <v>3500</v>
      </c>
      <c r="J360" s="70"/>
      <c r="K360" s="70">
        <f>SUM(I360:J360)</f>
        <v>3500</v>
      </c>
      <c r="L360" s="70"/>
      <c r="M360" s="70">
        <f>SUM(K360:L360)</f>
        <v>3500</v>
      </c>
      <c r="N360" s="70"/>
      <c r="O360" s="70">
        <f>SUM(M360:N360)</f>
        <v>3500</v>
      </c>
      <c r="P360" s="70"/>
      <c r="Q360" s="70">
        <f>SUM(O360:P360)</f>
        <v>3500</v>
      </c>
      <c r="R360" s="70"/>
      <c r="S360" s="70">
        <f>SUM(Q360:R360)</f>
        <v>3500</v>
      </c>
      <c r="T360" s="70"/>
      <c r="U360" s="70">
        <f>SUM(S360:T360)</f>
        <v>3500</v>
      </c>
      <c r="V360" s="70"/>
      <c r="W360" s="70">
        <f t="shared" si="219"/>
        <v>3500</v>
      </c>
      <c r="X360" s="70"/>
      <c r="Y360" s="70">
        <f t="shared" si="220"/>
        <v>3500</v>
      </c>
      <c r="Z360" s="70"/>
      <c r="AA360" s="70">
        <f t="shared" si="205"/>
        <v>3500</v>
      </c>
      <c r="AB360" s="70"/>
      <c r="AC360" s="70">
        <f t="shared" si="206"/>
        <v>3500</v>
      </c>
      <c r="AD360" s="105"/>
      <c r="AE360" s="105"/>
    </row>
    <row r="361" spans="1:31" s="22" customFormat="1" ht="24">
      <c r="A361" s="56"/>
      <c r="B361" s="72"/>
      <c r="C361" s="76">
        <v>4740</v>
      </c>
      <c r="D361" s="36" t="s">
        <v>270</v>
      </c>
      <c r="E361" s="70">
        <f>300+1872</f>
        <v>2172</v>
      </c>
      <c r="F361" s="70"/>
      <c r="G361" s="70">
        <f>SUM(E361:F361)</f>
        <v>2172</v>
      </c>
      <c r="H361" s="70"/>
      <c r="I361" s="70">
        <f>SUM(G361:H361)</f>
        <v>2172</v>
      </c>
      <c r="J361" s="70"/>
      <c r="K361" s="70">
        <f>SUM(I361:J361)</f>
        <v>2172</v>
      </c>
      <c r="L361" s="70"/>
      <c r="M361" s="70">
        <f>SUM(K361:L361)</f>
        <v>2172</v>
      </c>
      <c r="N361" s="70"/>
      <c r="O361" s="70">
        <f>SUM(M361:N361)</f>
        <v>2172</v>
      </c>
      <c r="P361" s="70"/>
      <c r="Q361" s="70">
        <f>SUM(O361:P361)</f>
        <v>2172</v>
      </c>
      <c r="R361" s="70"/>
      <c r="S361" s="70">
        <f>SUM(Q361:R361)</f>
        <v>2172</v>
      </c>
      <c r="T361" s="70"/>
      <c r="U361" s="70">
        <f>SUM(S361:T361)</f>
        <v>2172</v>
      </c>
      <c r="V361" s="70">
        <v>533</v>
      </c>
      <c r="W361" s="70">
        <f t="shared" si="219"/>
        <v>2705</v>
      </c>
      <c r="X361" s="70"/>
      <c r="Y361" s="70">
        <f t="shared" si="220"/>
        <v>2705</v>
      </c>
      <c r="Z361" s="70"/>
      <c r="AA361" s="70">
        <f t="shared" si="205"/>
        <v>2705</v>
      </c>
      <c r="AB361" s="70"/>
      <c r="AC361" s="70">
        <f t="shared" si="206"/>
        <v>2705</v>
      </c>
      <c r="AD361" s="105"/>
      <c r="AE361" s="105"/>
    </row>
    <row r="362" spans="1:31" s="22" customFormat="1" ht="24">
      <c r="A362" s="56"/>
      <c r="B362" s="72"/>
      <c r="C362" s="76">
        <v>4750</v>
      </c>
      <c r="D362" s="36" t="s">
        <v>374</v>
      </c>
      <c r="E362" s="70">
        <f>1000+4500</f>
        <v>5500</v>
      </c>
      <c r="F362" s="70"/>
      <c r="G362" s="70">
        <f>SUM(E362:F362)</f>
        <v>5500</v>
      </c>
      <c r="H362" s="70"/>
      <c r="I362" s="70">
        <f>SUM(G362:H362)</f>
        <v>5500</v>
      </c>
      <c r="J362" s="70"/>
      <c r="K362" s="70">
        <f>SUM(I362:J362)</f>
        <v>5500</v>
      </c>
      <c r="L362" s="70"/>
      <c r="M362" s="70">
        <f>SUM(K362:L362)</f>
        <v>5500</v>
      </c>
      <c r="N362" s="70"/>
      <c r="O362" s="70">
        <f>SUM(M362:N362)</f>
        <v>5500</v>
      </c>
      <c r="P362" s="70"/>
      <c r="Q362" s="70">
        <f>SUM(O362:P362)</f>
        <v>5500</v>
      </c>
      <c r="R362" s="70"/>
      <c r="S362" s="70">
        <f>SUM(Q362:R362)</f>
        <v>5500</v>
      </c>
      <c r="T362" s="70"/>
      <c r="U362" s="70">
        <f>SUM(S362:T362)</f>
        <v>5500</v>
      </c>
      <c r="V362" s="70">
        <v>103</v>
      </c>
      <c r="W362" s="70">
        <f t="shared" si="219"/>
        <v>5603</v>
      </c>
      <c r="X362" s="70"/>
      <c r="Y362" s="70">
        <f t="shared" si="220"/>
        <v>5603</v>
      </c>
      <c r="Z362" s="70"/>
      <c r="AA362" s="70">
        <f t="shared" si="205"/>
        <v>5603</v>
      </c>
      <c r="AB362" s="70"/>
      <c r="AC362" s="70">
        <f t="shared" si="206"/>
        <v>5603</v>
      </c>
      <c r="AD362" s="105"/>
      <c r="AE362" s="105"/>
    </row>
    <row r="363" spans="1:31" s="22" customFormat="1" ht="21.75" customHeight="1">
      <c r="A363" s="56"/>
      <c r="B363" s="72">
        <v>85228</v>
      </c>
      <c r="C363" s="76"/>
      <c r="D363" s="36" t="s">
        <v>149</v>
      </c>
      <c r="E363" s="70">
        <f aca="true" t="shared" si="221" ref="E363:AB363">SUM(E364)</f>
        <v>150000</v>
      </c>
      <c r="F363" s="70">
        <f t="shared" si="221"/>
        <v>0</v>
      </c>
      <c r="G363" s="70">
        <f t="shared" si="221"/>
        <v>150000</v>
      </c>
      <c r="H363" s="70">
        <f t="shared" si="221"/>
        <v>0</v>
      </c>
      <c r="I363" s="70">
        <f t="shared" si="221"/>
        <v>150000</v>
      </c>
      <c r="J363" s="70">
        <f t="shared" si="221"/>
        <v>0</v>
      </c>
      <c r="K363" s="70">
        <f t="shared" si="221"/>
        <v>150000</v>
      </c>
      <c r="L363" s="70">
        <f t="shared" si="221"/>
        <v>0</v>
      </c>
      <c r="M363" s="70">
        <f t="shared" si="221"/>
        <v>150000</v>
      </c>
      <c r="N363" s="70">
        <f t="shared" si="221"/>
        <v>0</v>
      </c>
      <c r="O363" s="70">
        <f t="shared" si="221"/>
        <v>150000</v>
      </c>
      <c r="P363" s="70">
        <f t="shared" si="221"/>
        <v>0</v>
      </c>
      <c r="Q363" s="70">
        <f t="shared" si="221"/>
        <v>150000</v>
      </c>
      <c r="R363" s="70">
        <f t="shared" si="221"/>
        <v>0</v>
      </c>
      <c r="S363" s="70">
        <f t="shared" si="221"/>
        <v>150000</v>
      </c>
      <c r="T363" s="70">
        <f t="shared" si="221"/>
        <v>0</v>
      </c>
      <c r="U363" s="70">
        <f t="shared" si="221"/>
        <v>150000</v>
      </c>
      <c r="V363" s="70">
        <f t="shared" si="221"/>
        <v>0</v>
      </c>
      <c r="W363" s="70">
        <f t="shared" si="221"/>
        <v>150000</v>
      </c>
      <c r="X363" s="70">
        <f t="shared" si="221"/>
        <v>0</v>
      </c>
      <c r="Y363" s="70">
        <f t="shared" si="221"/>
        <v>150000</v>
      </c>
      <c r="Z363" s="70">
        <f t="shared" si="221"/>
        <v>0</v>
      </c>
      <c r="AA363" s="70">
        <f t="shared" si="205"/>
        <v>150000</v>
      </c>
      <c r="AB363" s="70">
        <f t="shared" si="221"/>
        <v>0</v>
      </c>
      <c r="AC363" s="70">
        <f t="shared" si="206"/>
        <v>150000</v>
      </c>
      <c r="AD363" s="105"/>
      <c r="AE363" s="105"/>
    </row>
    <row r="364" spans="1:31" s="22" customFormat="1" ht="21" customHeight="1">
      <c r="A364" s="56"/>
      <c r="B364" s="72"/>
      <c r="C364" s="76">
        <v>4300</v>
      </c>
      <c r="D364" s="36" t="s">
        <v>103</v>
      </c>
      <c r="E364" s="70">
        <v>150000</v>
      </c>
      <c r="F364" s="70"/>
      <c r="G364" s="70">
        <f>SUM(E364:F364)</f>
        <v>150000</v>
      </c>
      <c r="H364" s="70"/>
      <c r="I364" s="70">
        <f>SUM(G364:H364)</f>
        <v>150000</v>
      </c>
      <c r="J364" s="70"/>
      <c r="K364" s="70">
        <f>SUM(I364:J364)</f>
        <v>150000</v>
      </c>
      <c r="L364" s="70"/>
      <c r="M364" s="70">
        <f>SUM(K364:L364)</f>
        <v>150000</v>
      </c>
      <c r="N364" s="70"/>
      <c r="O364" s="70">
        <f>SUM(M364:N364)</f>
        <v>150000</v>
      </c>
      <c r="P364" s="70"/>
      <c r="Q364" s="70">
        <f>SUM(O364:P364)</f>
        <v>150000</v>
      </c>
      <c r="R364" s="70"/>
      <c r="S364" s="70">
        <f>SUM(Q364:R364)</f>
        <v>150000</v>
      </c>
      <c r="T364" s="70"/>
      <c r="U364" s="70">
        <f>SUM(S364:T364)</f>
        <v>150000</v>
      </c>
      <c r="V364" s="70"/>
      <c r="W364" s="70">
        <f>SUM(U364:V364)</f>
        <v>150000</v>
      </c>
      <c r="X364" s="70"/>
      <c r="Y364" s="70">
        <f>SUM(W364:X364)</f>
        <v>150000</v>
      </c>
      <c r="Z364" s="70"/>
      <c r="AA364" s="70">
        <f t="shared" si="205"/>
        <v>150000</v>
      </c>
      <c r="AB364" s="70"/>
      <c r="AC364" s="70">
        <f t="shared" si="206"/>
        <v>150000</v>
      </c>
      <c r="AD364" s="105"/>
      <c r="AE364" s="105"/>
    </row>
    <row r="365" spans="1:31" s="22" customFormat="1" ht="21.75" customHeight="1">
      <c r="A365" s="56"/>
      <c r="B365" s="72" t="s">
        <v>187</v>
      </c>
      <c r="C365" s="76"/>
      <c r="D365" s="36" t="s">
        <v>17</v>
      </c>
      <c r="E365" s="70">
        <f aca="true" t="shared" si="222" ref="E365:Z365">SUM(E366:E367)</f>
        <v>516720</v>
      </c>
      <c r="F365" s="70">
        <f t="shared" si="222"/>
        <v>0</v>
      </c>
      <c r="G365" s="70">
        <f t="shared" si="222"/>
        <v>516720</v>
      </c>
      <c r="H365" s="70">
        <f t="shared" si="222"/>
        <v>0</v>
      </c>
      <c r="I365" s="70">
        <f t="shared" si="222"/>
        <v>516720</v>
      </c>
      <c r="J365" s="70">
        <f t="shared" si="222"/>
        <v>0</v>
      </c>
      <c r="K365" s="70">
        <f t="shared" si="222"/>
        <v>516720</v>
      </c>
      <c r="L365" s="70">
        <f t="shared" si="222"/>
        <v>0</v>
      </c>
      <c r="M365" s="70">
        <f t="shared" si="222"/>
        <v>516720</v>
      </c>
      <c r="N365" s="70">
        <f t="shared" si="222"/>
        <v>0</v>
      </c>
      <c r="O365" s="70">
        <f t="shared" si="222"/>
        <v>516720</v>
      </c>
      <c r="P365" s="70">
        <f t="shared" si="222"/>
        <v>0</v>
      </c>
      <c r="Q365" s="70">
        <f t="shared" si="222"/>
        <v>516720</v>
      </c>
      <c r="R365" s="70">
        <f t="shared" si="222"/>
        <v>0</v>
      </c>
      <c r="S365" s="70">
        <f t="shared" si="222"/>
        <v>516720</v>
      </c>
      <c r="T365" s="70">
        <f t="shared" si="222"/>
        <v>313200</v>
      </c>
      <c r="U365" s="70">
        <f t="shared" si="222"/>
        <v>829920</v>
      </c>
      <c r="V365" s="70">
        <f t="shared" si="222"/>
        <v>0</v>
      </c>
      <c r="W365" s="70">
        <f t="shared" si="222"/>
        <v>829920</v>
      </c>
      <c r="X365" s="70">
        <f t="shared" si="222"/>
        <v>173200</v>
      </c>
      <c r="Y365" s="70">
        <f t="shared" si="222"/>
        <v>1003120</v>
      </c>
      <c r="Z365" s="70">
        <f t="shared" si="222"/>
        <v>0</v>
      </c>
      <c r="AA365" s="70">
        <f t="shared" si="205"/>
        <v>1003120</v>
      </c>
      <c r="AB365" s="70">
        <f>SUM(AB366:AB367)</f>
        <v>86600</v>
      </c>
      <c r="AC365" s="70">
        <f t="shared" si="206"/>
        <v>1089720</v>
      </c>
      <c r="AD365" s="105"/>
      <c r="AE365" s="105"/>
    </row>
    <row r="366" spans="1:31" s="22" customFormat="1" ht="21" customHeight="1">
      <c r="A366" s="56"/>
      <c r="B366" s="72"/>
      <c r="C366" s="76">
        <v>3110</v>
      </c>
      <c r="D366" s="36" t="s">
        <v>140</v>
      </c>
      <c r="E366" s="70">
        <f>401200+100000+10000</f>
        <v>511200</v>
      </c>
      <c r="F366" s="70"/>
      <c r="G366" s="70">
        <f>SUM(E366:F366)</f>
        <v>511200</v>
      </c>
      <c r="H366" s="70"/>
      <c r="I366" s="70">
        <f>SUM(G366:H366)</f>
        <v>511200</v>
      </c>
      <c r="J366" s="70"/>
      <c r="K366" s="70">
        <f>SUM(I366:J366)</f>
        <v>511200</v>
      </c>
      <c r="L366" s="70"/>
      <c r="M366" s="70">
        <f>SUM(K366:L366)</f>
        <v>511200</v>
      </c>
      <c r="N366" s="70"/>
      <c r="O366" s="70">
        <f>SUM(M366:N366)</f>
        <v>511200</v>
      </c>
      <c r="P366" s="70"/>
      <c r="Q366" s="70">
        <f>SUM(O366:P366)</f>
        <v>511200</v>
      </c>
      <c r="R366" s="70"/>
      <c r="S366" s="70">
        <f>SUM(Q366:R366)</f>
        <v>511200</v>
      </c>
      <c r="T366" s="70">
        <f>173200+140000</f>
        <v>313200</v>
      </c>
      <c r="U366" s="70">
        <f>SUM(S366:T366)</f>
        <v>824400</v>
      </c>
      <c r="V366" s="70"/>
      <c r="W366" s="70">
        <f>SUM(U366:V366)</f>
        <v>824400</v>
      </c>
      <c r="X366" s="70">
        <v>173200</v>
      </c>
      <c r="Y366" s="70">
        <f>SUM(W366:X366)</f>
        <v>997600</v>
      </c>
      <c r="Z366" s="70"/>
      <c r="AA366" s="70">
        <f t="shared" si="205"/>
        <v>997600</v>
      </c>
      <c r="AB366" s="70">
        <v>86600</v>
      </c>
      <c r="AC366" s="70">
        <f t="shared" si="206"/>
        <v>1084200</v>
      </c>
      <c r="AD366" s="105"/>
      <c r="AE366" s="105"/>
    </row>
    <row r="367" spans="1:31" s="22" customFormat="1" ht="21" customHeight="1">
      <c r="A367" s="56"/>
      <c r="B367" s="72"/>
      <c r="C367" s="76">
        <v>4430</v>
      </c>
      <c r="D367" s="36" t="s">
        <v>118</v>
      </c>
      <c r="E367" s="70">
        <v>5520</v>
      </c>
      <c r="F367" s="70"/>
      <c r="G367" s="70">
        <f>SUM(E367:F367)</f>
        <v>5520</v>
      </c>
      <c r="H367" s="70"/>
      <c r="I367" s="70">
        <f>SUM(G367:H367)</f>
        <v>5520</v>
      </c>
      <c r="J367" s="70"/>
      <c r="K367" s="70">
        <f>SUM(I367:J367)</f>
        <v>5520</v>
      </c>
      <c r="L367" s="70"/>
      <c r="M367" s="70">
        <f>SUM(K367:L367)</f>
        <v>5520</v>
      </c>
      <c r="N367" s="70"/>
      <c r="O367" s="70">
        <f>SUM(M367:N367)</f>
        <v>5520</v>
      </c>
      <c r="P367" s="70"/>
      <c r="Q367" s="70">
        <f>SUM(O367:P367)</f>
        <v>5520</v>
      </c>
      <c r="R367" s="70"/>
      <c r="S367" s="70">
        <f>SUM(Q367:R367)</f>
        <v>5520</v>
      </c>
      <c r="T367" s="70"/>
      <c r="U367" s="70">
        <f>SUM(S367:T367)</f>
        <v>5520</v>
      </c>
      <c r="V367" s="70"/>
      <c r="W367" s="70">
        <f>SUM(U367:V367)</f>
        <v>5520</v>
      </c>
      <c r="X367" s="70"/>
      <c r="Y367" s="70">
        <f>SUM(W367:X367)</f>
        <v>5520</v>
      </c>
      <c r="Z367" s="70"/>
      <c r="AA367" s="70">
        <f t="shared" si="205"/>
        <v>5520</v>
      </c>
      <c r="AB367" s="70"/>
      <c r="AC367" s="70">
        <f t="shared" si="206"/>
        <v>5520</v>
      </c>
      <c r="AD367" s="105"/>
      <c r="AE367" s="105"/>
    </row>
    <row r="368" spans="1:31" s="38" customFormat="1" ht="26.25" customHeight="1">
      <c r="A368" s="31">
        <v>853</v>
      </c>
      <c r="B368" s="50"/>
      <c r="C368" s="33"/>
      <c r="D368" s="34" t="s">
        <v>306</v>
      </c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>
        <f aca="true" t="shared" si="223" ref="Q368:AB369">SUM(Q369)</f>
        <v>0</v>
      </c>
      <c r="R368" s="35">
        <f t="shared" si="223"/>
        <v>10704</v>
      </c>
      <c r="S368" s="35">
        <f t="shared" si="223"/>
        <v>10704</v>
      </c>
      <c r="T368" s="35">
        <f t="shared" si="223"/>
        <v>0</v>
      </c>
      <c r="U368" s="35">
        <f t="shared" si="223"/>
        <v>10704</v>
      </c>
      <c r="V368" s="35">
        <f t="shared" si="223"/>
        <v>0</v>
      </c>
      <c r="W368" s="35">
        <f t="shared" si="223"/>
        <v>10704</v>
      </c>
      <c r="X368" s="35">
        <f t="shared" si="223"/>
        <v>0</v>
      </c>
      <c r="Y368" s="35">
        <f t="shared" si="223"/>
        <v>10704</v>
      </c>
      <c r="Z368" s="35">
        <f t="shared" si="223"/>
        <v>0</v>
      </c>
      <c r="AA368" s="35">
        <f t="shared" si="205"/>
        <v>10704</v>
      </c>
      <c r="AB368" s="35">
        <f>SUM(AB369,)</f>
        <v>0</v>
      </c>
      <c r="AC368" s="35">
        <f>SUM(AC369,)</f>
        <v>10704</v>
      </c>
      <c r="AD368" s="37"/>
      <c r="AE368" s="37"/>
    </row>
    <row r="369" spans="1:31" s="22" customFormat="1" ht="21" customHeight="1">
      <c r="A369" s="56"/>
      <c r="B369" s="72">
        <v>85311</v>
      </c>
      <c r="C369" s="76"/>
      <c r="D369" s="36" t="s">
        <v>307</v>
      </c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>
        <f t="shared" si="223"/>
        <v>0</v>
      </c>
      <c r="R369" s="70">
        <f t="shared" si="223"/>
        <v>10704</v>
      </c>
      <c r="S369" s="70">
        <f t="shared" si="223"/>
        <v>10704</v>
      </c>
      <c r="T369" s="70">
        <f t="shared" si="223"/>
        <v>0</v>
      </c>
      <c r="U369" s="70">
        <f t="shared" si="223"/>
        <v>10704</v>
      </c>
      <c r="V369" s="70">
        <f t="shared" si="223"/>
        <v>0</v>
      </c>
      <c r="W369" s="70">
        <f t="shared" si="223"/>
        <v>10704</v>
      </c>
      <c r="X369" s="70">
        <f t="shared" si="223"/>
        <v>0</v>
      </c>
      <c r="Y369" s="70">
        <f t="shared" si="223"/>
        <v>10704</v>
      </c>
      <c r="Z369" s="70">
        <f t="shared" si="223"/>
        <v>0</v>
      </c>
      <c r="AA369" s="70">
        <f t="shared" si="205"/>
        <v>10704</v>
      </c>
      <c r="AB369" s="70">
        <f t="shared" si="223"/>
        <v>0</v>
      </c>
      <c r="AC369" s="70">
        <f t="shared" si="206"/>
        <v>10704</v>
      </c>
      <c r="AD369" s="105"/>
      <c r="AE369" s="105"/>
    </row>
    <row r="370" spans="1:31" s="22" customFormat="1" ht="39" customHeight="1">
      <c r="A370" s="56"/>
      <c r="B370" s="72"/>
      <c r="C370" s="76">
        <v>2710</v>
      </c>
      <c r="D370" s="36" t="s">
        <v>323</v>
      </c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>
        <v>0</v>
      </c>
      <c r="R370" s="70">
        <v>10704</v>
      </c>
      <c r="S370" s="70">
        <f>SUM(Q370:R370)</f>
        <v>10704</v>
      </c>
      <c r="T370" s="70"/>
      <c r="U370" s="70">
        <f>SUM(S370:T370)</f>
        <v>10704</v>
      </c>
      <c r="V370" s="70"/>
      <c r="W370" s="70">
        <f>SUM(U370:V370)</f>
        <v>10704</v>
      </c>
      <c r="X370" s="70"/>
      <c r="Y370" s="70">
        <f>SUM(W370:X370)</f>
        <v>10704</v>
      </c>
      <c r="Z370" s="70"/>
      <c r="AA370" s="70">
        <f t="shared" si="205"/>
        <v>10704</v>
      </c>
      <c r="AB370" s="70"/>
      <c r="AC370" s="70">
        <f t="shared" si="206"/>
        <v>10704</v>
      </c>
      <c r="AD370" s="105"/>
      <c r="AE370" s="105"/>
    </row>
    <row r="371" spans="1:31" s="6" customFormat="1" ht="24.75" customHeight="1">
      <c r="A371" s="31" t="s">
        <v>150</v>
      </c>
      <c r="B371" s="32"/>
      <c r="C371" s="33"/>
      <c r="D371" s="34" t="s">
        <v>82</v>
      </c>
      <c r="E371" s="35">
        <f aca="true" t="shared" si="224" ref="E371:R371">SUM(E372,E385,E399,E396,E393)</f>
        <v>1076944</v>
      </c>
      <c r="F371" s="35">
        <f t="shared" si="224"/>
        <v>40000</v>
      </c>
      <c r="G371" s="35">
        <f t="shared" si="224"/>
        <v>1116944</v>
      </c>
      <c r="H371" s="35">
        <f t="shared" si="224"/>
        <v>0</v>
      </c>
      <c r="I371" s="35">
        <f t="shared" si="224"/>
        <v>1116944</v>
      </c>
      <c r="J371" s="35">
        <f t="shared" si="224"/>
        <v>0</v>
      </c>
      <c r="K371" s="35">
        <f t="shared" si="224"/>
        <v>1116944</v>
      </c>
      <c r="L371" s="35">
        <f t="shared" si="224"/>
        <v>0</v>
      </c>
      <c r="M371" s="35">
        <f t="shared" si="224"/>
        <v>1116944</v>
      </c>
      <c r="N371" s="35">
        <f t="shared" si="224"/>
        <v>0</v>
      </c>
      <c r="O371" s="35">
        <f t="shared" si="224"/>
        <v>1116944</v>
      </c>
      <c r="P371" s="35">
        <f t="shared" si="224"/>
        <v>37458</v>
      </c>
      <c r="Q371" s="35">
        <f t="shared" si="224"/>
        <v>1154402</v>
      </c>
      <c r="R371" s="35">
        <f t="shared" si="224"/>
        <v>290676</v>
      </c>
      <c r="S371" s="35">
        <f aca="true" t="shared" si="225" ref="S371:Z371">SUM(S372,S385,S399,S396,S393,S383)</f>
        <v>1445078</v>
      </c>
      <c r="T371" s="35">
        <f t="shared" si="225"/>
        <v>27000</v>
      </c>
      <c r="U371" s="35">
        <f t="shared" si="225"/>
        <v>1472078</v>
      </c>
      <c r="V371" s="35">
        <f t="shared" si="225"/>
        <v>0</v>
      </c>
      <c r="W371" s="35">
        <f t="shared" si="225"/>
        <v>1472078</v>
      </c>
      <c r="X371" s="35">
        <f t="shared" si="225"/>
        <v>-29812</v>
      </c>
      <c r="Y371" s="35">
        <f t="shared" si="225"/>
        <v>1442266</v>
      </c>
      <c r="Z371" s="35">
        <f t="shared" si="225"/>
        <v>30361</v>
      </c>
      <c r="AA371" s="35">
        <f t="shared" si="205"/>
        <v>1472627</v>
      </c>
      <c r="AB371" s="35">
        <f>SUM(AB372,AB385,AB399,AB396,AB393,AB383)</f>
        <v>246717</v>
      </c>
      <c r="AC371" s="35">
        <f t="shared" si="206"/>
        <v>1719344</v>
      </c>
      <c r="AD371" s="23"/>
      <c r="AE371" s="23"/>
    </row>
    <row r="372" spans="1:31" s="22" customFormat="1" ht="21.75" customHeight="1">
      <c r="A372" s="56"/>
      <c r="B372" s="72">
        <v>85401</v>
      </c>
      <c r="C372" s="76"/>
      <c r="D372" s="36" t="s">
        <v>83</v>
      </c>
      <c r="E372" s="70">
        <f aca="true" t="shared" si="226" ref="E372:Z372">SUM(E373:E382)</f>
        <v>483878</v>
      </c>
      <c r="F372" s="70">
        <f t="shared" si="226"/>
        <v>0</v>
      </c>
      <c r="G372" s="70">
        <f t="shared" si="226"/>
        <v>483878</v>
      </c>
      <c r="H372" s="70">
        <f t="shared" si="226"/>
        <v>0</v>
      </c>
      <c r="I372" s="70">
        <f t="shared" si="226"/>
        <v>483878</v>
      </c>
      <c r="J372" s="70">
        <f t="shared" si="226"/>
        <v>0</v>
      </c>
      <c r="K372" s="70">
        <f t="shared" si="226"/>
        <v>483878</v>
      </c>
      <c r="L372" s="70">
        <f t="shared" si="226"/>
        <v>0</v>
      </c>
      <c r="M372" s="70">
        <f t="shared" si="226"/>
        <v>483878</v>
      </c>
      <c r="N372" s="70">
        <f t="shared" si="226"/>
        <v>0</v>
      </c>
      <c r="O372" s="70">
        <f t="shared" si="226"/>
        <v>483878</v>
      </c>
      <c r="P372" s="70">
        <f t="shared" si="226"/>
        <v>37458</v>
      </c>
      <c r="Q372" s="70">
        <f t="shared" si="226"/>
        <v>521336</v>
      </c>
      <c r="R372" s="70">
        <f t="shared" si="226"/>
        <v>0</v>
      </c>
      <c r="S372" s="70">
        <f t="shared" si="226"/>
        <v>521336</v>
      </c>
      <c r="T372" s="70">
        <f t="shared" si="226"/>
        <v>0</v>
      </c>
      <c r="U372" s="70">
        <f t="shared" si="226"/>
        <v>521336</v>
      </c>
      <c r="V372" s="70">
        <f t="shared" si="226"/>
        <v>0</v>
      </c>
      <c r="W372" s="70">
        <f t="shared" si="226"/>
        <v>521336</v>
      </c>
      <c r="X372" s="70">
        <f t="shared" si="226"/>
        <v>0</v>
      </c>
      <c r="Y372" s="70">
        <f t="shared" si="226"/>
        <v>521336</v>
      </c>
      <c r="Z372" s="70">
        <f t="shared" si="226"/>
        <v>0</v>
      </c>
      <c r="AA372" s="70">
        <f t="shared" si="205"/>
        <v>521336</v>
      </c>
      <c r="AB372" s="70">
        <f>SUM(AB373:AB382)</f>
        <v>0</v>
      </c>
      <c r="AC372" s="70">
        <f t="shared" si="206"/>
        <v>521336</v>
      </c>
      <c r="AD372" s="105"/>
      <c r="AE372" s="105"/>
    </row>
    <row r="373" spans="1:31" s="22" customFormat="1" ht="21" customHeight="1">
      <c r="A373" s="56"/>
      <c r="B373" s="72"/>
      <c r="C373" s="76">
        <v>3020</v>
      </c>
      <c r="D373" s="36" t="s">
        <v>249</v>
      </c>
      <c r="E373" s="70">
        <v>8491</v>
      </c>
      <c r="F373" s="70"/>
      <c r="G373" s="70">
        <f aca="true" t="shared" si="227" ref="G373:G382">SUM(E373:F373)</f>
        <v>8491</v>
      </c>
      <c r="H373" s="70"/>
      <c r="I373" s="70">
        <f aca="true" t="shared" si="228" ref="I373:I382">SUM(G373:H373)</f>
        <v>8491</v>
      </c>
      <c r="J373" s="70"/>
      <c r="K373" s="70">
        <f aca="true" t="shared" si="229" ref="K373:K382">SUM(I373:J373)</f>
        <v>8491</v>
      </c>
      <c r="L373" s="70"/>
      <c r="M373" s="70">
        <f aca="true" t="shared" si="230" ref="M373:M382">SUM(K373:L373)</f>
        <v>8491</v>
      </c>
      <c r="N373" s="70"/>
      <c r="O373" s="70">
        <f aca="true" t="shared" si="231" ref="O373:O382">SUM(M373:N373)</f>
        <v>8491</v>
      </c>
      <c r="P373" s="70"/>
      <c r="Q373" s="70">
        <f aca="true" t="shared" si="232" ref="Q373:Q382">SUM(O373:P373)</f>
        <v>8491</v>
      </c>
      <c r="R373" s="70"/>
      <c r="S373" s="70">
        <f aca="true" t="shared" si="233" ref="S373:S382">SUM(Q373:R373)</f>
        <v>8491</v>
      </c>
      <c r="T373" s="70"/>
      <c r="U373" s="70">
        <f aca="true" t="shared" si="234" ref="U373:U382">SUM(S373:T373)</f>
        <v>8491</v>
      </c>
      <c r="V373" s="70"/>
      <c r="W373" s="70">
        <f aca="true" t="shared" si="235" ref="W373:W382">SUM(U373:V373)</f>
        <v>8491</v>
      </c>
      <c r="X373" s="70"/>
      <c r="Y373" s="70">
        <f aca="true" t="shared" si="236" ref="Y373:Y382">SUM(W373:X373)</f>
        <v>8491</v>
      </c>
      <c r="Z373" s="70"/>
      <c r="AA373" s="70">
        <f t="shared" si="205"/>
        <v>8491</v>
      </c>
      <c r="AB373" s="70"/>
      <c r="AC373" s="70">
        <f t="shared" si="206"/>
        <v>8491</v>
      </c>
      <c r="AD373" s="105"/>
      <c r="AE373" s="105"/>
    </row>
    <row r="374" spans="1:31" s="22" customFormat="1" ht="21" customHeight="1">
      <c r="A374" s="56"/>
      <c r="B374" s="72"/>
      <c r="C374" s="76">
        <v>4010</v>
      </c>
      <c r="D374" s="36" t="s">
        <v>108</v>
      </c>
      <c r="E374" s="70">
        <v>331218</v>
      </c>
      <c r="F374" s="70"/>
      <c r="G374" s="70">
        <f t="shared" si="227"/>
        <v>331218</v>
      </c>
      <c r="H374" s="70"/>
      <c r="I374" s="70">
        <f t="shared" si="228"/>
        <v>331218</v>
      </c>
      <c r="J374" s="70"/>
      <c r="K374" s="70">
        <f t="shared" si="229"/>
        <v>331218</v>
      </c>
      <c r="L374" s="70"/>
      <c r="M374" s="70">
        <f t="shared" si="230"/>
        <v>331218</v>
      </c>
      <c r="N374" s="70"/>
      <c r="O374" s="70">
        <f t="shared" si="231"/>
        <v>331218</v>
      </c>
      <c r="P374" s="70">
        <v>38397</v>
      </c>
      <c r="Q374" s="70">
        <f t="shared" si="232"/>
        <v>369615</v>
      </c>
      <c r="R374" s="70"/>
      <c r="S374" s="70">
        <f t="shared" si="233"/>
        <v>369615</v>
      </c>
      <c r="T374" s="70"/>
      <c r="U374" s="70">
        <f t="shared" si="234"/>
        <v>369615</v>
      </c>
      <c r="V374" s="70"/>
      <c r="W374" s="70">
        <f t="shared" si="235"/>
        <v>369615</v>
      </c>
      <c r="X374" s="70"/>
      <c r="Y374" s="70">
        <f t="shared" si="236"/>
        <v>369615</v>
      </c>
      <c r="Z374" s="70"/>
      <c r="AA374" s="70">
        <f t="shared" si="205"/>
        <v>369615</v>
      </c>
      <c r="AB374" s="70"/>
      <c r="AC374" s="70">
        <f t="shared" si="206"/>
        <v>369615</v>
      </c>
      <c r="AD374" s="105"/>
      <c r="AE374" s="105"/>
    </row>
    <row r="375" spans="1:31" s="22" customFormat="1" ht="21" customHeight="1">
      <c r="A375" s="56"/>
      <c r="B375" s="72"/>
      <c r="C375" s="76">
        <v>4040</v>
      </c>
      <c r="D375" s="36" t="s">
        <v>109</v>
      </c>
      <c r="E375" s="70">
        <v>27265</v>
      </c>
      <c r="F375" s="70"/>
      <c r="G375" s="70">
        <f t="shared" si="227"/>
        <v>27265</v>
      </c>
      <c r="H375" s="70"/>
      <c r="I375" s="70">
        <f t="shared" si="228"/>
        <v>27265</v>
      </c>
      <c r="J375" s="70"/>
      <c r="K375" s="70">
        <f t="shared" si="229"/>
        <v>27265</v>
      </c>
      <c r="L375" s="70"/>
      <c r="M375" s="70">
        <f t="shared" si="230"/>
        <v>27265</v>
      </c>
      <c r="N375" s="70"/>
      <c r="O375" s="70">
        <f t="shared" si="231"/>
        <v>27265</v>
      </c>
      <c r="P375" s="70">
        <v>-939</v>
      </c>
      <c r="Q375" s="70">
        <f t="shared" si="232"/>
        <v>26326</v>
      </c>
      <c r="R375" s="70"/>
      <c r="S375" s="70">
        <f t="shared" si="233"/>
        <v>26326</v>
      </c>
      <c r="T375" s="70"/>
      <c r="U375" s="70">
        <f t="shared" si="234"/>
        <v>26326</v>
      </c>
      <c r="V375" s="70"/>
      <c r="W375" s="70">
        <f t="shared" si="235"/>
        <v>26326</v>
      </c>
      <c r="X375" s="70"/>
      <c r="Y375" s="70">
        <f t="shared" si="236"/>
        <v>26326</v>
      </c>
      <c r="Z375" s="70"/>
      <c r="AA375" s="70">
        <f t="shared" si="205"/>
        <v>26326</v>
      </c>
      <c r="AB375" s="70"/>
      <c r="AC375" s="70">
        <f t="shared" si="206"/>
        <v>26326</v>
      </c>
      <c r="AD375" s="105"/>
      <c r="AE375" s="105"/>
    </row>
    <row r="376" spans="1:31" s="22" customFormat="1" ht="21" customHeight="1">
      <c r="A376" s="56"/>
      <c r="B376" s="72"/>
      <c r="C376" s="76">
        <v>4110</v>
      </c>
      <c r="D376" s="36" t="s">
        <v>110</v>
      </c>
      <c r="E376" s="70">
        <v>64440</v>
      </c>
      <c r="F376" s="70"/>
      <c r="G376" s="70">
        <f t="shared" si="227"/>
        <v>64440</v>
      </c>
      <c r="H376" s="70"/>
      <c r="I376" s="70">
        <f t="shared" si="228"/>
        <v>64440</v>
      </c>
      <c r="J376" s="70"/>
      <c r="K376" s="70">
        <f t="shared" si="229"/>
        <v>64440</v>
      </c>
      <c r="L376" s="70"/>
      <c r="M376" s="70">
        <f t="shared" si="230"/>
        <v>64440</v>
      </c>
      <c r="N376" s="70"/>
      <c r="O376" s="70">
        <f t="shared" si="231"/>
        <v>64440</v>
      </c>
      <c r="P376" s="70"/>
      <c r="Q376" s="70">
        <f t="shared" si="232"/>
        <v>64440</v>
      </c>
      <c r="R376" s="70"/>
      <c r="S376" s="70">
        <f t="shared" si="233"/>
        <v>64440</v>
      </c>
      <c r="T376" s="70"/>
      <c r="U376" s="70">
        <f t="shared" si="234"/>
        <v>64440</v>
      </c>
      <c r="V376" s="70"/>
      <c r="W376" s="70">
        <f t="shared" si="235"/>
        <v>64440</v>
      </c>
      <c r="X376" s="70"/>
      <c r="Y376" s="70">
        <f t="shared" si="236"/>
        <v>64440</v>
      </c>
      <c r="Z376" s="70"/>
      <c r="AA376" s="70">
        <f t="shared" si="205"/>
        <v>64440</v>
      </c>
      <c r="AB376" s="70"/>
      <c r="AC376" s="70">
        <f t="shared" si="206"/>
        <v>64440</v>
      </c>
      <c r="AD376" s="105"/>
      <c r="AE376" s="105"/>
    </row>
    <row r="377" spans="1:31" s="22" customFormat="1" ht="21" customHeight="1">
      <c r="A377" s="56"/>
      <c r="B377" s="72"/>
      <c r="C377" s="76">
        <v>4120</v>
      </c>
      <c r="D377" s="36" t="s">
        <v>111</v>
      </c>
      <c r="E377" s="70">
        <v>9132</v>
      </c>
      <c r="F377" s="70"/>
      <c r="G377" s="70">
        <f t="shared" si="227"/>
        <v>9132</v>
      </c>
      <c r="H377" s="70"/>
      <c r="I377" s="70">
        <f t="shared" si="228"/>
        <v>9132</v>
      </c>
      <c r="J377" s="70"/>
      <c r="K377" s="70">
        <f t="shared" si="229"/>
        <v>9132</v>
      </c>
      <c r="L377" s="70"/>
      <c r="M377" s="70">
        <f t="shared" si="230"/>
        <v>9132</v>
      </c>
      <c r="N377" s="70"/>
      <c r="O377" s="70">
        <f t="shared" si="231"/>
        <v>9132</v>
      </c>
      <c r="P377" s="70"/>
      <c r="Q377" s="70">
        <f t="shared" si="232"/>
        <v>9132</v>
      </c>
      <c r="R377" s="70"/>
      <c r="S377" s="70">
        <f t="shared" si="233"/>
        <v>9132</v>
      </c>
      <c r="T377" s="70"/>
      <c r="U377" s="70">
        <f t="shared" si="234"/>
        <v>9132</v>
      </c>
      <c r="V377" s="70"/>
      <c r="W377" s="70">
        <f t="shared" si="235"/>
        <v>9132</v>
      </c>
      <c r="X377" s="70"/>
      <c r="Y377" s="70">
        <f t="shared" si="236"/>
        <v>9132</v>
      </c>
      <c r="Z377" s="70"/>
      <c r="AA377" s="70">
        <f t="shared" si="205"/>
        <v>9132</v>
      </c>
      <c r="AB377" s="70"/>
      <c r="AC377" s="70">
        <f t="shared" si="206"/>
        <v>9132</v>
      </c>
      <c r="AD377" s="105"/>
      <c r="AE377" s="105"/>
    </row>
    <row r="378" spans="1:31" s="22" customFormat="1" ht="21" customHeight="1">
      <c r="A378" s="56"/>
      <c r="B378" s="72"/>
      <c r="C378" s="76">
        <v>4210</v>
      </c>
      <c r="D378" s="36" t="s">
        <v>116</v>
      </c>
      <c r="E378" s="70">
        <v>10250</v>
      </c>
      <c r="F378" s="70"/>
      <c r="G378" s="70">
        <f t="shared" si="227"/>
        <v>10250</v>
      </c>
      <c r="H378" s="70"/>
      <c r="I378" s="70">
        <f t="shared" si="228"/>
        <v>10250</v>
      </c>
      <c r="J378" s="70"/>
      <c r="K378" s="70">
        <f t="shared" si="229"/>
        <v>10250</v>
      </c>
      <c r="L378" s="70"/>
      <c r="M378" s="70">
        <f t="shared" si="230"/>
        <v>10250</v>
      </c>
      <c r="N378" s="70"/>
      <c r="O378" s="70">
        <f t="shared" si="231"/>
        <v>10250</v>
      </c>
      <c r="P378" s="70"/>
      <c r="Q378" s="70">
        <f t="shared" si="232"/>
        <v>10250</v>
      </c>
      <c r="R378" s="70"/>
      <c r="S378" s="70">
        <f t="shared" si="233"/>
        <v>10250</v>
      </c>
      <c r="T378" s="70"/>
      <c r="U378" s="70">
        <f t="shared" si="234"/>
        <v>10250</v>
      </c>
      <c r="V378" s="70"/>
      <c r="W378" s="70">
        <f t="shared" si="235"/>
        <v>10250</v>
      </c>
      <c r="X378" s="70"/>
      <c r="Y378" s="70">
        <f t="shared" si="236"/>
        <v>10250</v>
      </c>
      <c r="Z378" s="70"/>
      <c r="AA378" s="70">
        <f t="shared" si="205"/>
        <v>10250</v>
      </c>
      <c r="AB378" s="70"/>
      <c r="AC378" s="70">
        <f t="shared" si="206"/>
        <v>10250</v>
      </c>
      <c r="AD378" s="105"/>
      <c r="AE378" s="105"/>
    </row>
    <row r="379" spans="1:31" s="22" customFormat="1" ht="21" customHeight="1">
      <c r="A379" s="56"/>
      <c r="B379" s="72"/>
      <c r="C379" s="76">
        <v>4240</v>
      </c>
      <c r="D379" s="36" t="s">
        <v>151</v>
      </c>
      <c r="E379" s="70">
        <v>3600</v>
      </c>
      <c r="F379" s="70"/>
      <c r="G379" s="70">
        <f t="shared" si="227"/>
        <v>3600</v>
      </c>
      <c r="H379" s="70"/>
      <c r="I379" s="70">
        <f t="shared" si="228"/>
        <v>3600</v>
      </c>
      <c r="J379" s="70"/>
      <c r="K379" s="70">
        <f t="shared" si="229"/>
        <v>3600</v>
      </c>
      <c r="L379" s="70"/>
      <c r="M379" s="70">
        <f t="shared" si="230"/>
        <v>3600</v>
      </c>
      <c r="N379" s="70"/>
      <c r="O379" s="70">
        <f t="shared" si="231"/>
        <v>3600</v>
      </c>
      <c r="P379" s="70"/>
      <c r="Q379" s="70">
        <f t="shared" si="232"/>
        <v>3600</v>
      </c>
      <c r="R379" s="70"/>
      <c r="S379" s="70">
        <f t="shared" si="233"/>
        <v>3600</v>
      </c>
      <c r="T379" s="70"/>
      <c r="U379" s="70">
        <f t="shared" si="234"/>
        <v>3600</v>
      </c>
      <c r="V379" s="70"/>
      <c r="W379" s="70">
        <f t="shared" si="235"/>
        <v>3600</v>
      </c>
      <c r="X379" s="70"/>
      <c r="Y379" s="70">
        <f t="shared" si="236"/>
        <v>3600</v>
      </c>
      <c r="Z379" s="70"/>
      <c r="AA379" s="70">
        <f t="shared" si="205"/>
        <v>3600</v>
      </c>
      <c r="AB379" s="70"/>
      <c r="AC379" s="70">
        <f t="shared" si="206"/>
        <v>3600</v>
      </c>
      <c r="AD379" s="105"/>
      <c r="AE379" s="105"/>
    </row>
    <row r="380" spans="1:31" s="22" customFormat="1" ht="21" customHeight="1">
      <c r="A380" s="56"/>
      <c r="B380" s="72"/>
      <c r="C380" s="76">
        <v>4280</v>
      </c>
      <c r="D380" s="36" t="s">
        <v>233</v>
      </c>
      <c r="E380" s="70">
        <v>600</v>
      </c>
      <c r="F380" s="70"/>
      <c r="G380" s="70">
        <f t="shared" si="227"/>
        <v>600</v>
      </c>
      <c r="H380" s="70"/>
      <c r="I380" s="70">
        <f t="shared" si="228"/>
        <v>600</v>
      </c>
      <c r="J380" s="70"/>
      <c r="K380" s="70">
        <f t="shared" si="229"/>
        <v>600</v>
      </c>
      <c r="L380" s="70"/>
      <c r="M380" s="70">
        <f t="shared" si="230"/>
        <v>600</v>
      </c>
      <c r="N380" s="70"/>
      <c r="O380" s="70">
        <f t="shared" si="231"/>
        <v>600</v>
      </c>
      <c r="P380" s="70"/>
      <c r="Q380" s="70">
        <f t="shared" si="232"/>
        <v>600</v>
      </c>
      <c r="R380" s="70"/>
      <c r="S380" s="70">
        <f t="shared" si="233"/>
        <v>600</v>
      </c>
      <c r="T380" s="70"/>
      <c r="U380" s="70">
        <f t="shared" si="234"/>
        <v>600</v>
      </c>
      <c r="V380" s="70"/>
      <c r="W380" s="70">
        <f t="shared" si="235"/>
        <v>600</v>
      </c>
      <c r="X380" s="70"/>
      <c r="Y380" s="70">
        <f t="shared" si="236"/>
        <v>600</v>
      </c>
      <c r="Z380" s="70"/>
      <c r="AA380" s="70">
        <f t="shared" si="205"/>
        <v>600</v>
      </c>
      <c r="AB380" s="70"/>
      <c r="AC380" s="70">
        <f t="shared" si="206"/>
        <v>600</v>
      </c>
      <c r="AD380" s="105"/>
      <c r="AE380" s="105"/>
    </row>
    <row r="381" spans="1:31" s="22" customFormat="1" ht="24.75" customHeight="1">
      <c r="A381" s="56"/>
      <c r="B381" s="72"/>
      <c r="C381" s="76">
        <v>4440</v>
      </c>
      <c r="D381" s="36" t="s">
        <v>112</v>
      </c>
      <c r="E381" s="70">
        <v>28782</v>
      </c>
      <c r="F381" s="70"/>
      <c r="G381" s="70">
        <f t="shared" si="227"/>
        <v>28782</v>
      </c>
      <c r="H381" s="70"/>
      <c r="I381" s="70">
        <f t="shared" si="228"/>
        <v>28782</v>
      </c>
      <c r="J381" s="70"/>
      <c r="K381" s="70">
        <f t="shared" si="229"/>
        <v>28782</v>
      </c>
      <c r="L381" s="70"/>
      <c r="M381" s="70">
        <f t="shared" si="230"/>
        <v>28782</v>
      </c>
      <c r="N381" s="70"/>
      <c r="O381" s="70">
        <f t="shared" si="231"/>
        <v>28782</v>
      </c>
      <c r="P381" s="70"/>
      <c r="Q381" s="70">
        <f t="shared" si="232"/>
        <v>28782</v>
      </c>
      <c r="R381" s="70"/>
      <c r="S381" s="70">
        <f t="shared" si="233"/>
        <v>28782</v>
      </c>
      <c r="T381" s="70"/>
      <c r="U381" s="70">
        <f t="shared" si="234"/>
        <v>28782</v>
      </c>
      <c r="V381" s="70"/>
      <c r="W381" s="70">
        <f t="shared" si="235"/>
        <v>28782</v>
      </c>
      <c r="X381" s="70"/>
      <c r="Y381" s="70">
        <f t="shared" si="236"/>
        <v>28782</v>
      </c>
      <c r="Z381" s="70"/>
      <c r="AA381" s="70">
        <f t="shared" si="205"/>
        <v>28782</v>
      </c>
      <c r="AB381" s="70"/>
      <c r="AC381" s="70">
        <f t="shared" si="206"/>
        <v>28782</v>
      </c>
      <c r="AD381" s="105"/>
      <c r="AE381" s="105"/>
    </row>
    <row r="382" spans="1:31" s="22" customFormat="1" ht="28.5" customHeight="1">
      <c r="A382" s="56"/>
      <c r="B382" s="72"/>
      <c r="C382" s="76">
        <v>4700</v>
      </c>
      <c r="D382" s="36" t="s">
        <v>321</v>
      </c>
      <c r="E382" s="70">
        <v>100</v>
      </c>
      <c r="F382" s="70"/>
      <c r="G382" s="70">
        <f t="shared" si="227"/>
        <v>100</v>
      </c>
      <c r="H382" s="70"/>
      <c r="I382" s="70">
        <f t="shared" si="228"/>
        <v>100</v>
      </c>
      <c r="J382" s="70"/>
      <c r="K382" s="70">
        <f t="shared" si="229"/>
        <v>100</v>
      </c>
      <c r="L382" s="70"/>
      <c r="M382" s="70">
        <f t="shared" si="230"/>
        <v>100</v>
      </c>
      <c r="N382" s="70"/>
      <c r="O382" s="70">
        <f t="shared" si="231"/>
        <v>100</v>
      </c>
      <c r="P382" s="70"/>
      <c r="Q382" s="70">
        <f t="shared" si="232"/>
        <v>100</v>
      </c>
      <c r="R382" s="70"/>
      <c r="S382" s="70">
        <f t="shared" si="233"/>
        <v>100</v>
      </c>
      <c r="T382" s="70"/>
      <c r="U382" s="70">
        <f t="shared" si="234"/>
        <v>100</v>
      </c>
      <c r="V382" s="70"/>
      <c r="W382" s="70">
        <f t="shared" si="235"/>
        <v>100</v>
      </c>
      <c r="X382" s="70"/>
      <c r="Y382" s="70">
        <f t="shared" si="236"/>
        <v>100</v>
      </c>
      <c r="Z382" s="70"/>
      <c r="AA382" s="70">
        <f t="shared" si="205"/>
        <v>100</v>
      </c>
      <c r="AB382" s="70"/>
      <c r="AC382" s="70">
        <f t="shared" si="206"/>
        <v>100</v>
      </c>
      <c r="AD382" s="105"/>
      <c r="AE382" s="105"/>
    </row>
    <row r="383" spans="1:31" s="22" customFormat="1" ht="23.25" customHeight="1">
      <c r="A383" s="56"/>
      <c r="B383" s="72">
        <v>85407</v>
      </c>
      <c r="C383" s="76"/>
      <c r="D383" s="36" t="s">
        <v>401</v>
      </c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>
        <f aca="true" t="shared" si="237" ref="S383:AB383">SUM(S384)</f>
        <v>0</v>
      </c>
      <c r="T383" s="70">
        <f t="shared" si="237"/>
        <v>25000</v>
      </c>
      <c r="U383" s="70">
        <f t="shared" si="237"/>
        <v>25000</v>
      </c>
      <c r="V383" s="70">
        <f t="shared" si="237"/>
        <v>0</v>
      </c>
      <c r="W383" s="70">
        <f t="shared" si="237"/>
        <v>25000</v>
      </c>
      <c r="X383" s="70">
        <f t="shared" si="237"/>
        <v>0</v>
      </c>
      <c r="Y383" s="70">
        <f t="shared" si="237"/>
        <v>25000</v>
      </c>
      <c r="Z383" s="70">
        <f t="shared" si="237"/>
        <v>0</v>
      </c>
      <c r="AA383" s="70">
        <f t="shared" si="205"/>
        <v>25000</v>
      </c>
      <c r="AB383" s="70">
        <f t="shared" si="237"/>
        <v>0</v>
      </c>
      <c r="AC383" s="70">
        <f t="shared" si="206"/>
        <v>25000</v>
      </c>
      <c r="AD383" s="105"/>
      <c r="AE383" s="105"/>
    </row>
    <row r="384" spans="1:31" s="22" customFormat="1" ht="21.75" customHeight="1">
      <c r="A384" s="56"/>
      <c r="B384" s="72"/>
      <c r="C384" s="76">
        <v>4270</v>
      </c>
      <c r="D384" s="36" t="s">
        <v>102</v>
      </c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>
        <v>0</v>
      </c>
      <c r="T384" s="70">
        <v>25000</v>
      </c>
      <c r="U384" s="70">
        <f>SUM(S384:T384)</f>
        <v>25000</v>
      </c>
      <c r="V384" s="70"/>
      <c r="W384" s="70">
        <f>SUM(U384:V384)</f>
        <v>25000</v>
      </c>
      <c r="X384" s="70"/>
      <c r="Y384" s="70">
        <f>SUM(W384:X384)</f>
        <v>25000</v>
      </c>
      <c r="Z384" s="70"/>
      <c r="AA384" s="70">
        <f t="shared" si="205"/>
        <v>25000</v>
      </c>
      <c r="AB384" s="70"/>
      <c r="AC384" s="70">
        <f t="shared" si="206"/>
        <v>25000</v>
      </c>
      <c r="AD384" s="105"/>
      <c r="AE384" s="105"/>
    </row>
    <row r="385" spans="1:31" s="22" customFormat="1" ht="36">
      <c r="A385" s="56"/>
      <c r="B385" s="72" t="s">
        <v>154</v>
      </c>
      <c r="C385" s="76"/>
      <c r="D385" s="36" t="s">
        <v>188</v>
      </c>
      <c r="E385" s="70">
        <f aca="true" t="shared" si="238" ref="E385:X385">SUM(E386:E391)</f>
        <v>249900</v>
      </c>
      <c r="F385" s="70">
        <f t="shared" si="238"/>
        <v>40000</v>
      </c>
      <c r="G385" s="70">
        <f t="shared" si="238"/>
        <v>289900</v>
      </c>
      <c r="H385" s="70">
        <f t="shared" si="238"/>
        <v>0</v>
      </c>
      <c r="I385" s="70">
        <f t="shared" si="238"/>
        <v>289900</v>
      </c>
      <c r="J385" s="70">
        <f t="shared" si="238"/>
        <v>0</v>
      </c>
      <c r="K385" s="70">
        <f t="shared" si="238"/>
        <v>289900</v>
      </c>
      <c r="L385" s="70">
        <f t="shared" si="238"/>
        <v>0</v>
      </c>
      <c r="M385" s="70">
        <f t="shared" si="238"/>
        <v>289900</v>
      </c>
      <c r="N385" s="70">
        <f t="shared" si="238"/>
        <v>0</v>
      </c>
      <c r="O385" s="70">
        <f t="shared" si="238"/>
        <v>289900</v>
      </c>
      <c r="P385" s="70">
        <f t="shared" si="238"/>
        <v>0</v>
      </c>
      <c r="Q385" s="70">
        <f t="shared" si="238"/>
        <v>289900</v>
      </c>
      <c r="R385" s="70">
        <f t="shared" si="238"/>
        <v>37602</v>
      </c>
      <c r="S385" s="70">
        <f t="shared" si="238"/>
        <v>327502</v>
      </c>
      <c r="T385" s="70">
        <f t="shared" si="238"/>
        <v>2000</v>
      </c>
      <c r="U385" s="70">
        <f t="shared" si="238"/>
        <v>329502</v>
      </c>
      <c r="V385" s="70">
        <f t="shared" si="238"/>
        <v>0</v>
      </c>
      <c r="W385" s="70">
        <f t="shared" si="238"/>
        <v>329502</v>
      </c>
      <c r="X385" s="70">
        <f t="shared" si="238"/>
        <v>-28012</v>
      </c>
      <c r="Y385" s="70">
        <f>SUM(Y386:Y392)</f>
        <v>301490</v>
      </c>
      <c r="Z385" s="70">
        <f>SUM(Z386:Z392)</f>
        <v>3110</v>
      </c>
      <c r="AA385" s="70">
        <f>SUM(AA386:AA392)</f>
        <v>304600</v>
      </c>
      <c r="AB385" s="70">
        <f>SUM(AB386:AB392)</f>
        <v>0</v>
      </c>
      <c r="AC385" s="70">
        <f>SUM(AC386:AC392)</f>
        <v>304600</v>
      </c>
      <c r="AD385" s="105"/>
      <c r="AE385" s="105"/>
    </row>
    <row r="386" spans="1:31" s="22" customFormat="1" ht="24">
      <c r="A386" s="56"/>
      <c r="B386" s="72"/>
      <c r="C386" s="76">
        <v>2630</v>
      </c>
      <c r="D386" s="36" t="s">
        <v>263</v>
      </c>
      <c r="E386" s="70">
        <v>53700</v>
      </c>
      <c r="F386" s="70"/>
      <c r="G386" s="70">
        <f>SUM(E386:F386)</f>
        <v>53700</v>
      </c>
      <c r="H386" s="70"/>
      <c r="I386" s="70">
        <f>SUM(G386:H386)</f>
        <v>53700</v>
      </c>
      <c r="J386" s="70"/>
      <c r="K386" s="70">
        <f>SUM(I386:J386)</f>
        <v>53700</v>
      </c>
      <c r="L386" s="70"/>
      <c r="M386" s="70">
        <f>SUM(K386:L386)</f>
        <v>53700</v>
      </c>
      <c r="N386" s="70"/>
      <c r="O386" s="70">
        <f>SUM(M386:N386)</f>
        <v>53700</v>
      </c>
      <c r="P386" s="70"/>
      <c r="Q386" s="70">
        <f>SUM(O386:P386)</f>
        <v>53700</v>
      </c>
      <c r="R386" s="70">
        <f>4840+32762</f>
        <v>37602</v>
      </c>
      <c r="S386" s="70">
        <f>SUM(Q386:R386)</f>
        <v>91302</v>
      </c>
      <c r="T386" s="70"/>
      <c r="U386" s="70">
        <f>SUM(S386:T386)</f>
        <v>91302</v>
      </c>
      <c r="V386" s="70">
        <f>-10300-18250-36000</f>
        <v>-64550</v>
      </c>
      <c r="W386" s="70">
        <f aca="true" t="shared" si="239" ref="W386:W391">SUM(U386:V386)</f>
        <v>26752</v>
      </c>
      <c r="X386" s="70">
        <v>-26752</v>
      </c>
      <c r="Y386" s="70">
        <f aca="true" t="shared" si="240" ref="Y386:Y391">SUM(W386:X386)</f>
        <v>0</v>
      </c>
      <c r="Z386" s="70"/>
      <c r="AA386" s="70">
        <f aca="true" t="shared" si="241" ref="AA386:AA429">SUM(Y386:Z386)</f>
        <v>0</v>
      </c>
      <c r="AB386" s="70"/>
      <c r="AC386" s="70">
        <f aca="true" t="shared" si="242" ref="AC386:AC429">SUM(AA386:AB386)</f>
        <v>0</v>
      </c>
      <c r="AD386" s="105"/>
      <c r="AE386" s="105"/>
    </row>
    <row r="387" spans="1:31" s="22" customFormat="1" ht="36">
      <c r="A387" s="56"/>
      <c r="B387" s="72"/>
      <c r="C387" s="76">
        <v>2820</v>
      </c>
      <c r="D387" s="36" t="s">
        <v>355</v>
      </c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>
        <v>0</v>
      </c>
      <c r="V387" s="70">
        <f>10300+18250</f>
        <v>28550</v>
      </c>
      <c r="W387" s="70">
        <f t="shared" si="239"/>
        <v>28550</v>
      </c>
      <c r="X387" s="70"/>
      <c r="Y387" s="70">
        <f t="shared" si="240"/>
        <v>28550</v>
      </c>
      <c r="Z387" s="70"/>
      <c r="AA387" s="70">
        <f t="shared" si="241"/>
        <v>28550</v>
      </c>
      <c r="AB387" s="70"/>
      <c r="AC387" s="70">
        <f t="shared" si="242"/>
        <v>28550</v>
      </c>
      <c r="AD387" s="105"/>
      <c r="AE387" s="105"/>
    </row>
    <row r="388" spans="1:31" s="22" customFormat="1" ht="48">
      <c r="A388" s="56"/>
      <c r="B388" s="72"/>
      <c r="C388" s="76">
        <v>2830</v>
      </c>
      <c r="D388" s="36" t="s">
        <v>356</v>
      </c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>
        <v>0</v>
      </c>
      <c r="V388" s="70">
        <v>36000</v>
      </c>
      <c r="W388" s="70">
        <f t="shared" si="239"/>
        <v>36000</v>
      </c>
      <c r="X388" s="70"/>
      <c r="Y388" s="70">
        <f t="shared" si="240"/>
        <v>36000</v>
      </c>
      <c r="Z388" s="70"/>
      <c r="AA388" s="70">
        <f t="shared" si="241"/>
        <v>36000</v>
      </c>
      <c r="AB388" s="70"/>
      <c r="AC388" s="70">
        <f t="shared" si="242"/>
        <v>36000</v>
      </c>
      <c r="AD388" s="105"/>
      <c r="AE388" s="105"/>
    </row>
    <row r="389" spans="1:31" s="22" customFormat="1" ht="21" customHeight="1">
      <c r="A389" s="56"/>
      <c r="B389" s="72"/>
      <c r="C389" s="76">
        <v>4210</v>
      </c>
      <c r="D389" s="36" t="s">
        <v>116</v>
      </c>
      <c r="E389" s="70">
        <v>2000</v>
      </c>
      <c r="F389" s="70"/>
      <c r="G389" s="70">
        <f>SUM(E389:F389)</f>
        <v>2000</v>
      </c>
      <c r="H389" s="70"/>
      <c r="I389" s="70">
        <f>SUM(G389:H389)</f>
        <v>2000</v>
      </c>
      <c r="J389" s="70"/>
      <c r="K389" s="70">
        <f>SUM(I389:J389)</f>
        <v>2000</v>
      </c>
      <c r="L389" s="70"/>
      <c r="M389" s="70">
        <f>SUM(K389:L389)</f>
        <v>2000</v>
      </c>
      <c r="N389" s="70"/>
      <c r="O389" s="70">
        <f>SUM(M389:N389)</f>
        <v>2000</v>
      </c>
      <c r="P389" s="70"/>
      <c r="Q389" s="70">
        <f>SUM(O389:P389)</f>
        <v>2000</v>
      </c>
      <c r="R389" s="70"/>
      <c r="S389" s="70">
        <f>SUM(Q389:R389)</f>
        <v>2000</v>
      </c>
      <c r="T389" s="70"/>
      <c r="U389" s="70">
        <f>SUM(S389:T389)</f>
        <v>2000</v>
      </c>
      <c r="V389" s="70">
        <f>1500-800</f>
        <v>700</v>
      </c>
      <c r="W389" s="70">
        <f t="shared" si="239"/>
        <v>2700</v>
      </c>
      <c r="X389" s="70">
        <v>-760</v>
      </c>
      <c r="Y389" s="70">
        <f t="shared" si="240"/>
        <v>1940</v>
      </c>
      <c r="Z389" s="70"/>
      <c r="AA389" s="70">
        <f t="shared" si="241"/>
        <v>1940</v>
      </c>
      <c r="AB389" s="70"/>
      <c r="AC389" s="70">
        <f t="shared" si="242"/>
        <v>1940</v>
      </c>
      <c r="AD389" s="105"/>
      <c r="AE389" s="105"/>
    </row>
    <row r="390" spans="1:31" s="22" customFormat="1" ht="21" customHeight="1">
      <c r="A390" s="76"/>
      <c r="B390" s="77"/>
      <c r="C390" s="76">
        <v>4300</v>
      </c>
      <c r="D390" s="36" t="s">
        <v>103</v>
      </c>
      <c r="E390" s="70">
        <v>4200</v>
      </c>
      <c r="F390" s="70"/>
      <c r="G390" s="70">
        <f>SUM(E390:F390)</f>
        <v>4200</v>
      </c>
      <c r="H390" s="70"/>
      <c r="I390" s="70">
        <f>SUM(G390:H390)</f>
        <v>4200</v>
      </c>
      <c r="J390" s="70"/>
      <c r="K390" s="70">
        <f>SUM(I390:J390)</f>
        <v>4200</v>
      </c>
      <c r="L390" s="70"/>
      <c r="M390" s="70">
        <f>SUM(K390:L390)</f>
        <v>4200</v>
      </c>
      <c r="N390" s="70"/>
      <c r="O390" s="70">
        <f>SUM(M390:N390)</f>
        <v>4200</v>
      </c>
      <c r="P390" s="70"/>
      <c r="Q390" s="70">
        <f>SUM(O390:P390)</f>
        <v>4200</v>
      </c>
      <c r="R390" s="70"/>
      <c r="S390" s="70">
        <f>SUM(Q390:R390)</f>
        <v>4200</v>
      </c>
      <c r="T390" s="70">
        <f>500+1500</f>
        <v>2000</v>
      </c>
      <c r="U390" s="70">
        <f>SUM(S390:T390)</f>
        <v>6200</v>
      </c>
      <c r="V390" s="70">
        <f>800-1500</f>
        <v>-700</v>
      </c>
      <c r="W390" s="70">
        <f t="shared" si="239"/>
        <v>5500</v>
      </c>
      <c r="X390" s="70">
        <v>-500</v>
      </c>
      <c r="Y390" s="70">
        <f t="shared" si="240"/>
        <v>5000</v>
      </c>
      <c r="Z390" s="70">
        <v>-550</v>
      </c>
      <c r="AA390" s="70">
        <f t="shared" si="241"/>
        <v>4450</v>
      </c>
      <c r="AB390" s="70"/>
      <c r="AC390" s="70">
        <f t="shared" si="242"/>
        <v>4450</v>
      </c>
      <c r="AD390" s="105"/>
      <c r="AE390" s="105"/>
    </row>
    <row r="391" spans="1:33" s="22" customFormat="1" ht="21" customHeight="1">
      <c r="A391" s="76"/>
      <c r="B391" s="77"/>
      <c r="C391" s="76">
        <v>6050</v>
      </c>
      <c r="D391" s="36" t="s">
        <v>97</v>
      </c>
      <c r="E391" s="70">
        <f>100000+85000+5000</f>
        <v>190000</v>
      </c>
      <c r="F391" s="70">
        <f>30000+5000+5000</f>
        <v>40000</v>
      </c>
      <c r="G391" s="70">
        <f>SUM(E391:F391)</f>
        <v>230000</v>
      </c>
      <c r="H391" s="70"/>
      <c r="I391" s="70">
        <f>SUM(G391:H391)</f>
        <v>230000</v>
      </c>
      <c r="J391" s="70"/>
      <c r="K391" s="70">
        <f>SUM(I391:J391)</f>
        <v>230000</v>
      </c>
      <c r="L391" s="70"/>
      <c r="M391" s="70">
        <f>SUM(K391:L391)</f>
        <v>230000</v>
      </c>
      <c r="N391" s="70"/>
      <c r="O391" s="70">
        <f>SUM(M391:N391)</f>
        <v>230000</v>
      </c>
      <c r="P391" s="70"/>
      <c r="Q391" s="70">
        <f>SUM(O391:P391)</f>
        <v>230000</v>
      </c>
      <c r="R391" s="70"/>
      <c r="S391" s="70">
        <f>SUM(Q391:R391)</f>
        <v>230000</v>
      </c>
      <c r="T391" s="70"/>
      <c r="U391" s="70">
        <f>SUM(S391:T391)</f>
        <v>230000</v>
      </c>
      <c r="V391" s="70"/>
      <c r="W391" s="70">
        <f t="shared" si="239"/>
        <v>230000</v>
      </c>
      <c r="X391" s="70"/>
      <c r="Y391" s="70">
        <f t="shared" si="240"/>
        <v>230000</v>
      </c>
      <c r="Z391" s="70"/>
      <c r="AA391" s="70">
        <f t="shared" si="241"/>
        <v>230000</v>
      </c>
      <c r="AB391" s="70"/>
      <c r="AC391" s="70">
        <f t="shared" si="242"/>
        <v>230000</v>
      </c>
      <c r="AD391" s="105"/>
      <c r="AE391" s="105"/>
      <c r="AF391" s="105"/>
      <c r="AG391" s="105"/>
    </row>
    <row r="392" spans="1:33" s="22" customFormat="1" ht="21" customHeight="1">
      <c r="A392" s="76"/>
      <c r="B392" s="77"/>
      <c r="C392" s="76">
        <v>6060</v>
      </c>
      <c r="D392" s="36" t="s">
        <v>120</v>
      </c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>
        <v>0</v>
      </c>
      <c r="Z392" s="70">
        <v>3660</v>
      </c>
      <c r="AA392" s="70">
        <f t="shared" si="241"/>
        <v>3660</v>
      </c>
      <c r="AB392" s="70"/>
      <c r="AC392" s="70">
        <f t="shared" si="242"/>
        <v>3660</v>
      </c>
      <c r="AD392" s="105"/>
      <c r="AE392" s="105"/>
      <c r="AF392" s="105"/>
      <c r="AG392" s="105"/>
    </row>
    <row r="393" spans="1:31" s="22" customFormat="1" ht="21" customHeight="1">
      <c r="A393" s="76"/>
      <c r="B393" s="77">
        <v>85415</v>
      </c>
      <c r="C393" s="76"/>
      <c r="D393" s="36" t="s">
        <v>279</v>
      </c>
      <c r="E393" s="70">
        <f aca="true" t="shared" si="243" ref="E393:X393">SUM(E394)</f>
        <v>113000</v>
      </c>
      <c r="F393" s="70">
        <f t="shared" si="243"/>
        <v>0</v>
      </c>
      <c r="G393" s="70">
        <f t="shared" si="243"/>
        <v>113000</v>
      </c>
      <c r="H393" s="70">
        <f t="shared" si="243"/>
        <v>0</v>
      </c>
      <c r="I393" s="70">
        <f t="shared" si="243"/>
        <v>113000</v>
      </c>
      <c r="J393" s="70">
        <f t="shared" si="243"/>
        <v>0</v>
      </c>
      <c r="K393" s="70">
        <f t="shared" si="243"/>
        <v>113000</v>
      </c>
      <c r="L393" s="70">
        <f t="shared" si="243"/>
        <v>0</v>
      </c>
      <c r="M393" s="70">
        <f t="shared" si="243"/>
        <v>113000</v>
      </c>
      <c r="N393" s="70">
        <f t="shared" si="243"/>
        <v>0</v>
      </c>
      <c r="O393" s="70">
        <f t="shared" si="243"/>
        <v>113000</v>
      </c>
      <c r="P393" s="70">
        <f t="shared" si="243"/>
        <v>0</v>
      </c>
      <c r="Q393" s="70">
        <f t="shared" si="243"/>
        <v>113000</v>
      </c>
      <c r="R393" s="70">
        <f t="shared" si="243"/>
        <v>253074</v>
      </c>
      <c r="S393" s="70">
        <f t="shared" si="243"/>
        <v>366074</v>
      </c>
      <c r="T393" s="70">
        <f t="shared" si="243"/>
        <v>0</v>
      </c>
      <c r="U393" s="70">
        <f t="shared" si="243"/>
        <v>366074</v>
      </c>
      <c r="V393" s="70">
        <f t="shared" si="243"/>
        <v>0</v>
      </c>
      <c r="W393" s="70">
        <f t="shared" si="243"/>
        <v>366074</v>
      </c>
      <c r="X393" s="70">
        <f t="shared" si="243"/>
        <v>-1800</v>
      </c>
      <c r="Y393" s="70">
        <f>SUM(Y394:Y395)</f>
        <v>364274</v>
      </c>
      <c r="Z393" s="70">
        <f>SUM(Z394:Z395)</f>
        <v>27251</v>
      </c>
      <c r="AA393" s="70">
        <f t="shared" si="241"/>
        <v>391525</v>
      </c>
      <c r="AB393" s="70">
        <f>SUM(AB394:AB395)</f>
        <v>246717</v>
      </c>
      <c r="AC393" s="70">
        <f t="shared" si="242"/>
        <v>638242</v>
      </c>
      <c r="AD393" s="105"/>
      <c r="AE393" s="105"/>
    </row>
    <row r="394" spans="1:31" s="22" customFormat="1" ht="21" customHeight="1">
      <c r="A394" s="76"/>
      <c r="B394" s="77"/>
      <c r="C394" s="76">
        <v>3240</v>
      </c>
      <c r="D394" s="36" t="s">
        <v>280</v>
      </c>
      <c r="E394" s="70">
        <v>113000</v>
      </c>
      <c r="F394" s="70"/>
      <c r="G394" s="70">
        <f>SUM(E394:F394)</f>
        <v>113000</v>
      </c>
      <c r="H394" s="70"/>
      <c r="I394" s="70">
        <f>SUM(G394:H394)</f>
        <v>113000</v>
      </c>
      <c r="J394" s="70"/>
      <c r="K394" s="70">
        <f>SUM(I394:J394)</f>
        <v>113000</v>
      </c>
      <c r="L394" s="70"/>
      <c r="M394" s="70">
        <f>SUM(K394:L394)</f>
        <v>113000</v>
      </c>
      <c r="N394" s="70"/>
      <c r="O394" s="70">
        <f>SUM(M394:N394)</f>
        <v>113000</v>
      </c>
      <c r="P394" s="70"/>
      <c r="Q394" s="70">
        <f>SUM(O394:P394)</f>
        <v>113000</v>
      </c>
      <c r="R394" s="70">
        <v>253074</v>
      </c>
      <c r="S394" s="70">
        <f>SUM(Q394:R394)</f>
        <v>366074</v>
      </c>
      <c r="T394" s="70"/>
      <c r="U394" s="70">
        <f>SUM(S394:T394)</f>
        <v>366074</v>
      </c>
      <c r="V394" s="70"/>
      <c r="W394" s="70">
        <f>SUM(U394:V394)</f>
        <v>366074</v>
      </c>
      <c r="X394" s="70">
        <v>-1800</v>
      </c>
      <c r="Y394" s="70">
        <f>SUM(W394:X394)</f>
        <v>364274</v>
      </c>
      <c r="Z394" s="70"/>
      <c r="AA394" s="70">
        <f t="shared" si="241"/>
        <v>364274</v>
      </c>
      <c r="AB394" s="70">
        <f>11122+235595</f>
        <v>246717</v>
      </c>
      <c r="AC394" s="70">
        <f t="shared" si="242"/>
        <v>610991</v>
      </c>
      <c r="AD394" s="105"/>
      <c r="AE394" s="105"/>
    </row>
    <row r="395" spans="1:31" s="22" customFormat="1" ht="21" customHeight="1">
      <c r="A395" s="76"/>
      <c r="B395" s="77"/>
      <c r="C395" s="76">
        <v>3260</v>
      </c>
      <c r="D395" s="36" t="s">
        <v>352</v>
      </c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>
        <v>0</v>
      </c>
      <c r="Z395" s="70">
        <v>27251</v>
      </c>
      <c r="AA395" s="70">
        <f t="shared" si="241"/>
        <v>27251</v>
      </c>
      <c r="AB395" s="70"/>
      <c r="AC395" s="70">
        <f t="shared" si="242"/>
        <v>27251</v>
      </c>
      <c r="AD395" s="105"/>
      <c r="AE395" s="105"/>
    </row>
    <row r="396" spans="1:31" s="22" customFormat="1" ht="21.75" customHeight="1">
      <c r="A396" s="76"/>
      <c r="B396" s="77">
        <v>85446</v>
      </c>
      <c r="C396" s="76"/>
      <c r="D396" s="36" t="s">
        <v>177</v>
      </c>
      <c r="E396" s="70">
        <f aca="true" t="shared" si="244" ref="E396:J396">SUM(E397:E397)</f>
        <v>3516</v>
      </c>
      <c r="F396" s="70">
        <f t="shared" si="244"/>
        <v>0</v>
      </c>
      <c r="G396" s="70">
        <f t="shared" si="244"/>
        <v>3516</v>
      </c>
      <c r="H396" s="70">
        <f t="shared" si="244"/>
        <v>0</v>
      </c>
      <c r="I396" s="70">
        <f t="shared" si="244"/>
        <v>3516</v>
      </c>
      <c r="J396" s="70">
        <f t="shared" si="244"/>
        <v>0</v>
      </c>
      <c r="K396" s="70">
        <f aca="true" t="shared" si="245" ref="K396:Z396">SUM(K397:K398)</f>
        <v>3516</v>
      </c>
      <c r="L396" s="70">
        <f t="shared" si="245"/>
        <v>0</v>
      </c>
      <c r="M396" s="70">
        <f t="shared" si="245"/>
        <v>3516</v>
      </c>
      <c r="N396" s="70">
        <f t="shared" si="245"/>
        <v>0</v>
      </c>
      <c r="O396" s="70">
        <f t="shared" si="245"/>
        <v>3516</v>
      </c>
      <c r="P396" s="70">
        <f t="shared" si="245"/>
        <v>0</v>
      </c>
      <c r="Q396" s="70">
        <f t="shared" si="245"/>
        <v>3516</v>
      </c>
      <c r="R396" s="70">
        <f t="shared" si="245"/>
        <v>0</v>
      </c>
      <c r="S396" s="70">
        <f t="shared" si="245"/>
        <v>3516</v>
      </c>
      <c r="T396" s="70">
        <f t="shared" si="245"/>
        <v>0</v>
      </c>
      <c r="U396" s="70">
        <f t="shared" si="245"/>
        <v>3516</v>
      </c>
      <c r="V396" s="70">
        <f t="shared" si="245"/>
        <v>0</v>
      </c>
      <c r="W396" s="70">
        <f t="shared" si="245"/>
        <v>3516</v>
      </c>
      <c r="X396" s="70">
        <f t="shared" si="245"/>
        <v>0</v>
      </c>
      <c r="Y396" s="70">
        <f t="shared" si="245"/>
        <v>3516</v>
      </c>
      <c r="Z396" s="70">
        <f t="shared" si="245"/>
        <v>0</v>
      </c>
      <c r="AA396" s="70">
        <f t="shared" si="241"/>
        <v>3516</v>
      </c>
      <c r="AB396" s="70">
        <f>SUM(AB397:AB398)</f>
        <v>0</v>
      </c>
      <c r="AC396" s="70">
        <f t="shared" si="242"/>
        <v>3516</v>
      </c>
      <c r="AD396" s="105"/>
      <c r="AE396" s="105"/>
    </row>
    <row r="397" spans="1:31" s="22" customFormat="1" ht="21" customHeight="1">
      <c r="A397" s="76"/>
      <c r="B397" s="77"/>
      <c r="C397" s="76">
        <v>4300</v>
      </c>
      <c r="D397" s="36" t="s">
        <v>103</v>
      </c>
      <c r="E397" s="70">
        <v>3516</v>
      </c>
      <c r="F397" s="70"/>
      <c r="G397" s="70">
        <f>SUM(E397:F397)</f>
        <v>3516</v>
      </c>
      <c r="H397" s="70"/>
      <c r="I397" s="70">
        <f>SUM(G397:H397)</f>
        <v>3516</v>
      </c>
      <c r="J397" s="70"/>
      <c r="K397" s="70">
        <f>SUM(I397:J397)</f>
        <v>3516</v>
      </c>
      <c r="L397" s="70">
        <v>-1192</v>
      </c>
      <c r="M397" s="70">
        <f>SUM(K397:L397)</f>
        <v>2324</v>
      </c>
      <c r="N397" s="70"/>
      <c r="O397" s="70">
        <f>SUM(M397:N397)</f>
        <v>2324</v>
      </c>
      <c r="P397" s="70"/>
      <c r="Q397" s="70">
        <f>SUM(O397:P397)</f>
        <v>2324</v>
      </c>
      <c r="R397" s="70"/>
      <c r="S397" s="70">
        <f>SUM(Q397:R397)</f>
        <v>2324</v>
      </c>
      <c r="T397" s="70"/>
      <c r="U397" s="70">
        <f>SUM(S397:T397)</f>
        <v>2324</v>
      </c>
      <c r="V397" s="70"/>
      <c r="W397" s="70">
        <f>SUM(U397:V397)</f>
        <v>2324</v>
      </c>
      <c r="X397" s="70"/>
      <c r="Y397" s="70">
        <f>SUM(W397:X397)</f>
        <v>2324</v>
      </c>
      <c r="Z397" s="70"/>
      <c r="AA397" s="70">
        <f t="shared" si="241"/>
        <v>2324</v>
      </c>
      <c r="AB397" s="70"/>
      <c r="AC397" s="70">
        <f t="shared" si="242"/>
        <v>2324</v>
      </c>
      <c r="AD397" s="105"/>
      <c r="AE397" s="105"/>
    </row>
    <row r="398" spans="1:31" s="22" customFormat="1" ht="21" customHeight="1">
      <c r="A398" s="76"/>
      <c r="B398" s="77"/>
      <c r="C398" s="76">
        <v>4410</v>
      </c>
      <c r="D398" s="36" t="s">
        <v>114</v>
      </c>
      <c r="E398" s="70"/>
      <c r="F398" s="70"/>
      <c r="G398" s="70"/>
      <c r="H398" s="70"/>
      <c r="I398" s="70"/>
      <c r="J398" s="70"/>
      <c r="K398" s="70">
        <v>0</v>
      </c>
      <c r="L398" s="70">
        <v>1192</v>
      </c>
      <c r="M398" s="70">
        <f>SUM(K398:L398)</f>
        <v>1192</v>
      </c>
      <c r="N398" s="70"/>
      <c r="O398" s="70">
        <f>SUM(M398:N398)</f>
        <v>1192</v>
      </c>
      <c r="P398" s="70"/>
      <c r="Q398" s="70">
        <f>SUM(O398:P398)</f>
        <v>1192</v>
      </c>
      <c r="R398" s="70"/>
      <c r="S398" s="70">
        <f>SUM(Q398:R398)</f>
        <v>1192</v>
      </c>
      <c r="T398" s="70"/>
      <c r="U398" s="70">
        <f>SUM(S398:T398)</f>
        <v>1192</v>
      </c>
      <c r="V398" s="70"/>
      <c r="W398" s="70">
        <f>SUM(U398:V398)</f>
        <v>1192</v>
      </c>
      <c r="X398" s="70"/>
      <c r="Y398" s="70">
        <f>SUM(W398:X398)</f>
        <v>1192</v>
      </c>
      <c r="Z398" s="70"/>
      <c r="AA398" s="70">
        <f t="shared" si="241"/>
        <v>1192</v>
      </c>
      <c r="AB398" s="70"/>
      <c r="AC398" s="70">
        <f t="shared" si="242"/>
        <v>1192</v>
      </c>
      <c r="AD398" s="105"/>
      <c r="AE398" s="105"/>
    </row>
    <row r="399" spans="1:31" s="22" customFormat="1" ht="21.75" customHeight="1">
      <c r="A399" s="76"/>
      <c r="B399" s="77">
        <v>85495</v>
      </c>
      <c r="C399" s="76"/>
      <c r="D399" s="36" t="s">
        <v>17</v>
      </c>
      <c r="E399" s="70">
        <f aca="true" t="shared" si="246" ref="E399:AB399">SUM(E400:E400)</f>
        <v>226650</v>
      </c>
      <c r="F399" s="70">
        <f t="shared" si="246"/>
        <v>0</v>
      </c>
      <c r="G399" s="70">
        <f t="shared" si="246"/>
        <v>226650</v>
      </c>
      <c r="H399" s="70">
        <f t="shared" si="246"/>
        <v>0</v>
      </c>
      <c r="I399" s="70">
        <f t="shared" si="246"/>
        <v>226650</v>
      </c>
      <c r="J399" s="70">
        <f t="shared" si="246"/>
        <v>0</v>
      </c>
      <c r="K399" s="70">
        <f t="shared" si="246"/>
        <v>226650</v>
      </c>
      <c r="L399" s="70">
        <f t="shared" si="246"/>
        <v>0</v>
      </c>
      <c r="M399" s="70">
        <f t="shared" si="246"/>
        <v>226650</v>
      </c>
      <c r="N399" s="70">
        <f t="shared" si="246"/>
        <v>0</v>
      </c>
      <c r="O399" s="70">
        <f t="shared" si="246"/>
        <v>226650</v>
      </c>
      <c r="P399" s="70">
        <f t="shared" si="246"/>
        <v>0</v>
      </c>
      <c r="Q399" s="70">
        <f t="shared" si="246"/>
        <v>226650</v>
      </c>
      <c r="R399" s="70">
        <f t="shared" si="246"/>
        <v>0</v>
      </c>
      <c r="S399" s="70">
        <f t="shared" si="246"/>
        <v>226650</v>
      </c>
      <c r="T399" s="70">
        <f t="shared" si="246"/>
        <v>0</v>
      </c>
      <c r="U399" s="70">
        <f t="shared" si="246"/>
        <v>226650</v>
      </c>
      <c r="V399" s="70">
        <f t="shared" si="246"/>
        <v>0</v>
      </c>
      <c r="W399" s="70">
        <f t="shared" si="246"/>
        <v>226650</v>
      </c>
      <c r="X399" s="70">
        <f t="shared" si="246"/>
        <v>0</v>
      </c>
      <c r="Y399" s="70">
        <f t="shared" si="246"/>
        <v>226650</v>
      </c>
      <c r="Z399" s="70">
        <f t="shared" si="246"/>
        <v>0</v>
      </c>
      <c r="AA399" s="70">
        <f t="shared" si="241"/>
        <v>226650</v>
      </c>
      <c r="AB399" s="70">
        <f t="shared" si="246"/>
        <v>0</v>
      </c>
      <c r="AC399" s="70">
        <f t="shared" si="242"/>
        <v>226650</v>
      </c>
      <c r="AD399" s="105"/>
      <c r="AE399" s="105"/>
    </row>
    <row r="400" spans="1:31" s="22" customFormat="1" ht="48">
      <c r="A400" s="76"/>
      <c r="B400" s="77"/>
      <c r="C400" s="76">
        <v>2320</v>
      </c>
      <c r="D400" s="36" t="s">
        <v>180</v>
      </c>
      <c r="E400" s="70">
        <f>200000+26650</f>
        <v>226650</v>
      </c>
      <c r="F400" s="70"/>
      <c r="G400" s="70">
        <f>SUM(E400:F400)</f>
        <v>226650</v>
      </c>
      <c r="H400" s="70"/>
      <c r="I400" s="70">
        <f>SUM(G400:H400)</f>
        <v>226650</v>
      </c>
      <c r="J400" s="70"/>
      <c r="K400" s="70">
        <f>SUM(I400:J400)</f>
        <v>226650</v>
      </c>
      <c r="L400" s="70"/>
      <c r="M400" s="70">
        <f>SUM(K400:L400)</f>
        <v>226650</v>
      </c>
      <c r="N400" s="70"/>
      <c r="O400" s="70">
        <f>SUM(M400:N400)</f>
        <v>226650</v>
      </c>
      <c r="P400" s="70"/>
      <c r="Q400" s="70">
        <f>SUM(O400:P400)</f>
        <v>226650</v>
      </c>
      <c r="R400" s="70"/>
      <c r="S400" s="70">
        <f>SUM(Q400:R400)</f>
        <v>226650</v>
      </c>
      <c r="T400" s="70"/>
      <c r="U400" s="70">
        <f>SUM(S400:T400)</f>
        <v>226650</v>
      </c>
      <c r="V400" s="70"/>
      <c r="W400" s="70">
        <f>SUM(U400:V400)</f>
        <v>226650</v>
      </c>
      <c r="X400" s="70"/>
      <c r="Y400" s="70">
        <f>SUM(W400:X400)</f>
        <v>226650</v>
      </c>
      <c r="Z400" s="70"/>
      <c r="AA400" s="70">
        <f t="shared" si="241"/>
        <v>226650</v>
      </c>
      <c r="AB400" s="70"/>
      <c r="AC400" s="70">
        <f t="shared" si="242"/>
        <v>226650</v>
      </c>
      <c r="AD400" s="105"/>
      <c r="AE400" s="105"/>
    </row>
    <row r="401" spans="1:31" s="6" customFormat="1" ht="28.5" customHeight="1">
      <c r="A401" s="31" t="s">
        <v>155</v>
      </c>
      <c r="B401" s="32"/>
      <c r="C401" s="33"/>
      <c r="D401" s="34" t="s">
        <v>84</v>
      </c>
      <c r="E401" s="35">
        <f aca="true" t="shared" si="247" ref="E401:Z401">SUM(E402,E407,E409,E415,E417,E419,E425,)</f>
        <v>6268095</v>
      </c>
      <c r="F401" s="35">
        <f t="shared" si="247"/>
        <v>-1149433</v>
      </c>
      <c r="G401" s="35">
        <f t="shared" si="247"/>
        <v>5118662</v>
      </c>
      <c r="H401" s="35">
        <f t="shared" si="247"/>
        <v>25300</v>
      </c>
      <c r="I401" s="35">
        <f t="shared" si="247"/>
        <v>5143962</v>
      </c>
      <c r="J401" s="35">
        <f t="shared" si="247"/>
        <v>0</v>
      </c>
      <c r="K401" s="35">
        <f t="shared" si="247"/>
        <v>5143962</v>
      </c>
      <c r="L401" s="35">
        <f t="shared" si="247"/>
        <v>0</v>
      </c>
      <c r="M401" s="35">
        <f t="shared" si="247"/>
        <v>5143962</v>
      </c>
      <c r="N401" s="35">
        <f t="shared" si="247"/>
        <v>0</v>
      </c>
      <c r="O401" s="35">
        <f t="shared" si="247"/>
        <v>5143962</v>
      </c>
      <c r="P401" s="35">
        <f t="shared" si="247"/>
        <v>-2520</v>
      </c>
      <c r="Q401" s="35">
        <f t="shared" si="247"/>
        <v>5141442</v>
      </c>
      <c r="R401" s="35">
        <f t="shared" si="247"/>
        <v>0</v>
      </c>
      <c r="S401" s="35">
        <f t="shared" si="247"/>
        <v>5141442</v>
      </c>
      <c r="T401" s="35">
        <f t="shared" si="247"/>
        <v>2697</v>
      </c>
      <c r="U401" s="35">
        <f t="shared" si="247"/>
        <v>5144139</v>
      </c>
      <c r="V401" s="35">
        <f t="shared" si="247"/>
        <v>0</v>
      </c>
      <c r="W401" s="35">
        <f t="shared" si="247"/>
        <v>5144139</v>
      </c>
      <c r="X401" s="35">
        <f t="shared" si="247"/>
        <v>-365549</v>
      </c>
      <c r="Y401" s="35">
        <f t="shared" si="247"/>
        <v>4778590</v>
      </c>
      <c r="Z401" s="35">
        <f t="shared" si="247"/>
        <v>21840</v>
      </c>
      <c r="AA401" s="35">
        <f t="shared" si="241"/>
        <v>4800430</v>
      </c>
      <c r="AB401" s="35">
        <f>SUM(AB402,AB407,AB409,AB415,AB417,AB419,AB425,)</f>
        <v>0</v>
      </c>
      <c r="AC401" s="35">
        <f t="shared" si="242"/>
        <v>4800430</v>
      </c>
      <c r="AD401" s="23"/>
      <c r="AE401" s="23"/>
    </row>
    <row r="402" spans="1:31" s="22" customFormat="1" ht="21.75" customHeight="1">
      <c r="A402" s="56"/>
      <c r="B402" s="72" t="s">
        <v>156</v>
      </c>
      <c r="C402" s="76"/>
      <c r="D402" s="36" t="s">
        <v>85</v>
      </c>
      <c r="E402" s="70">
        <f aca="true" t="shared" si="248" ref="E402:Z402">SUM(E403:E406)</f>
        <v>3730075</v>
      </c>
      <c r="F402" s="70">
        <f t="shared" si="248"/>
        <v>-857433</v>
      </c>
      <c r="G402" s="70">
        <f t="shared" si="248"/>
        <v>2872642</v>
      </c>
      <c r="H402" s="70">
        <f t="shared" si="248"/>
        <v>25300</v>
      </c>
      <c r="I402" s="70">
        <f t="shared" si="248"/>
        <v>2897942</v>
      </c>
      <c r="J402" s="70">
        <f t="shared" si="248"/>
        <v>0</v>
      </c>
      <c r="K402" s="70">
        <f t="shared" si="248"/>
        <v>2897942</v>
      </c>
      <c r="L402" s="70">
        <f t="shared" si="248"/>
        <v>0</v>
      </c>
      <c r="M402" s="70">
        <f t="shared" si="248"/>
        <v>2897942</v>
      </c>
      <c r="N402" s="70">
        <f t="shared" si="248"/>
        <v>0</v>
      </c>
      <c r="O402" s="70">
        <f t="shared" si="248"/>
        <v>2897942</v>
      </c>
      <c r="P402" s="70">
        <f t="shared" si="248"/>
        <v>0</v>
      </c>
      <c r="Q402" s="70">
        <f t="shared" si="248"/>
        <v>2897942</v>
      </c>
      <c r="R402" s="70">
        <f t="shared" si="248"/>
        <v>0</v>
      </c>
      <c r="S402" s="70">
        <f t="shared" si="248"/>
        <v>2897942</v>
      </c>
      <c r="T402" s="70">
        <f t="shared" si="248"/>
        <v>447</v>
      </c>
      <c r="U402" s="70">
        <f t="shared" si="248"/>
        <v>2898389</v>
      </c>
      <c r="V402" s="70">
        <f t="shared" si="248"/>
        <v>0</v>
      </c>
      <c r="W402" s="70">
        <f t="shared" si="248"/>
        <v>2898389</v>
      </c>
      <c r="X402" s="70">
        <f t="shared" si="248"/>
        <v>-573200</v>
      </c>
      <c r="Y402" s="70">
        <f t="shared" si="248"/>
        <v>2325189</v>
      </c>
      <c r="Z402" s="70">
        <f t="shared" si="248"/>
        <v>150000</v>
      </c>
      <c r="AA402" s="70">
        <f t="shared" si="241"/>
        <v>2475189</v>
      </c>
      <c r="AB402" s="70">
        <f>SUM(AB403:AB406)</f>
        <v>0</v>
      </c>
      <c r="AC402" s="70">
        <f t="shared" si="242"/>
        <v>2475189</v>
      </c>
      <c r="AD402" s="105"/>
      <c r="AE402" s="105"/>
    </row>
    <row r="403" spans="1:31" s="22" customFormat="1" ht="21" customHeight="1">
      <c r="A403" s="56"/>
      <c r="B403" s="72"/>
      <c r="C403" s="56">
        <v>4300</v>
      </c>
      <c r="D403" s="36" t="s">
        <v>103</v>
      </c>
      <c r="E403" s="70">
        <v>40000</v>
      </c>
      <c r="F403" s="70"/>
      <c r="G403" s="70">
        <f>SUM(E403:F403)</f>
        <v>40000</v>
      </c>
      <c r="H403" s="70"/>
      <c r="I403" s="70">
        <f>SUM(G403:H403)</f>
        <v>40000</v>
      </c>
      <c r="J403" s="70"/>
      <c r="K403" s="70">
        <f>SUM(I403:J403)</f>
        <v>40000</v>
      </c>
      <c r="L403" s="70"/>
      <c r="M403" s="70">
        <f>SUM(K403:L403)</f>
        <v>40000</v>
      </c>
      <c r="N403" s="70"/>
      <c r="O403" s="70">
        <f>SUM(M403:N403)</f>
        <v>40000</v>
      </c>
      <c r="P403" s="70"/>
      <c r="Q403" s="70">
        <f>SUM(O403:P403)</f>
        <v>40000</v>
      </c>
      <c r="R403" s="70"/>
      <c r="S403" s="70">
        <f>SUM(Q403:R403)</f>
        <v>40000</v>
      </c>
      <c r="T403" s="70"/>
      <c r="U403" s="70">
        <f>SUM(S403:T403)</f>
        <v>40000</v>
      </c>
      <c r="V403" s="70"/>
      <c r="W403" s="70">
        <f>SUM(U403:V403)</f>
        <v>40000</v>
      </c>
      <c r="X403" s="70">
        <v>58000</v>
      </c>
      <c r="Y403" s="70">
        <f>SUM(W403:X403)</f>
        <v>98000</v>
      </c>
      <c r="Z403" s="70"/>
      <c r="AA403" s="70">
        <f t="shared" si="241"/>
        <v>98000</v>
      </c>
      <c r="AB403" s="70"/>
      <c r="AC403" s="70">
        <f t="shared" si="242"/>
        <v>98000</v>
      </c>
      <c r="AD403" s="105"/>
      <c r="AE403" s="105"/>
    </row>
    <row r="404" spans="1:31" s="22" customFormat="1" ht="21" customHeight="1">
      <c r="A404" s="56"/>
      <c r="B404" s="72"/>
      <c r="C404" s="56">
        <v>4430</v>
      </c>
      <c r="D404" s="36" t="s">
        <v>118</v>
      </c>
      <c r="E404" s="70">
        <v>75</v>
      </c>
      <c r="F404" s="70"/>
      <c r="G404" s="70">
        <f>SUM(E404:F404)</f>
        <v>75</v>
      </c>
      <c r="H404" s="70"/>
      <c r="I404" s="70">
        <f>SUM(G404:H404)</f>
        <v>75</v>
      </c>
      <c r="J404" s="70"/>
      <c r="K404" s="70">
        <f>SUM(I404:J404)</f>
        <v>75</v>
      </c>
      <c r="L404" s="70"/>
      <c r="M404" s="70">
        <f>SUM(K404:L404)</f>
        <v>75</v>
      </c>
      <c r="N404" s="70"/>
      <c r="O404" s="70">
        <f>SUM(M404:N404)</f>
        <v>75</v>
      </c>
      <c r="P404" s="70"/>
      <c r="Q404" s="70">
        <f>SUM(O404:P404)</f>
        <v>75</v>
      </c>
      <c r="R404" s="70"/>
      <c r="S404" s="70">
        <f>SUM(Q404:R404)</f>
        <v>75</v>
      </c>
      <c r="T404" s="70"/>
      <c r="U404" s="70">
        <f>SUM(S404:T404)</f>
        <v>75</v>
      </c>
      <c r="V404" s="70"/>
      <c r="W404" s="70">
        <f>SUM(U404:V404)</f>
        <v>75</v>
      </c>
      <c r="X404" s="70"/>
      <c r="Y404" s="70">
        <f>SUM(W404:X404)</f>
        <v>75</v>
      </c>
      <c r="Z404" s="70"/>
      <c r="AA404" s="70">
        <f t="shared" si="241"/>
        <v>75</v>
      </c>
      <c r="AB404" s="70"/>
      <c r="AC404" s="70">
        <f t="shared" si="242"/>
        <v>75</v>
      </c>
      <c r="AD404" s="105"/>
      <c r="AE404" s="105"/>
    </row>
    <row r="405" spans="1:33" s="22" customFormat="1" ht="46.5" customHeight="1">
      <c r="A405" s="56"/>
      <c r="B405" s="72"/>
      <c r="C405" s="56">
        <v>6010</v>
      </c>
      <c r="D405" s="36" t="s">
        <v>2</v>
      </c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>
        <v>0</v>
      </c>
      <c r="T405" s="70">
        <v>447</v>
      </c>
      <c r="U405" s="70">
        <f>SUM(S405:T405)</f>
        <v>447</v>
      </c>
      <c r="V405" s="70"/>
      <c r="W405" s="70">
        <f>SUM(U405:V405)</f>
        <v>447</v>
      </c>
      <c r="X405" s="70">
        <v>100000</v>
      </c>
      <c r="Y405" s="70">
        <f>SUM(W405:X405)</f>
        <v>100447</v>
      </c>
      <c r="Z405" s="70"/>
      <c r="AA405" s="70">
        <f t="shared" si="241"/>
        <v>100447</v>
      </c>
      <c r="AB405" s="70"/>
      <c r="AC405" s="70">
        <f t="shared" si="242"/>
        <v>100447</v>
      </c>
      <c r="AD405" s="105"/>
      <c r="AE405" s="105"/>
      <c r="AF405" s="105"/>
      <c r="AG405" s="105"/>
    </row>
    <row r="406" spans="1:33" s="22" customFormat="1" ht="25.5" customHeight="1">
      <c r="A406" s="56"/>
      <c r="B406" s="72"/>
      <c r="C406" s="56">
        <v>6050</v>
      </c>
      <c r="D406" s="36" t="s">
        <v>97</v>
      </c>
      <c r="E406" s="70">
        <f>90000+1900000+370000+250000+280000+800000</f>
        <v>3690000</v>
      </c>
      <c r="F406" s="70">
        <f>-1525000+200000+70000+80000+317567</f>
        <v>-857433</v>
      </c>
      <c r="G406" s="70">
        <f>SUM(E406:F406)</f>
        <v>2832567</v>
      </c>
      <c r="H406" s="70">
        <f>3800+21500</f>
        <v>25300</v>
      </c>
      <c r="I406" s="70">
        <f>SUM(G406:H406)</f>
        <v>2857867</v>
      </c>
      <c r="J406" s="70"/>
      <c r="K406" s="70">
        <f>SUM(I406:J406)</f>
        <v>2857867</v>
      </c>
      <c r="L406" s="70"/>
      <c r="M406" s="70">
        <f>SUM(K406:L406)</f>
        <v>2857867</v>
      </c>
      <c r="N406" s="70"/>
      <c r="O406" s="70">
        <f>SUM(M406:N406)</f>
        <v>2857867</v>
      </c>
      <c r="P406" s="70"/>
      <c r="Q406" s="70">
        <f>SUM(O406:P406)</f>
        <v>2857867</v>
      </c>
      <c r="R406" s="70"/>
      <c r="S406" s="70">
        <f>SUM(Q406:R406)</f>
        <v>2857867</v>
      </c>
      <c r="T406" s="70"/>
      <c r="U406" s="70">
        <f>SUM(S406:T406)</f>
        <v>2857867</v>
      </c>
      <c r="V406" s="70"/>
      <c r="W406" s="70">
        <f>SUM(U406:V406)</f>
        <v>2857867</v>
      </c>
      <c r="X406" s="70">
        <f>-1100-3100-36000-327000-54000-89000-21000-200000</f>
        <v>-731200</v>
      </c>
      <c r="Y406" s="70">
        <f>SUM(W406:X406)</f>
        <v>2126667</v>
      </c>
      <c r="Z406" s="70">
        <v>150000</v>
      </c>
      <c r="AA406" s="70">
        <f t="shared" si="241"/>
        <v>2276667</v>
      </c>
      <c r="AB406" s="70"/>
      <c r="AC406" s="70">
        <f t="shared" si="242"/>
        <v>2276667</v>
      </c>
      <c r="AD406" s="105"/>
      <c r="AE406" s="105"/>
      <c r="AF406" s="105"/>
      <c r="AG406" s="105"/>
    </row>
    <row r="407" spans="1:31" s="22" customFormat="1" ht="21.75" customHeight="1">
      <c r="A407" s="56"/>
      <c r="B407" s="72" t="s">
        <v>157</v>
      </c>
      <c r="C407" s="76"/>
      <c r="D407" s="36" t="s">
        <v>158</v>
      </c>
      <c r="E407" s="70">
        <f aca="true" t="shared" si="249" ref="E407:AB407">SUM(E408:E408)</f>
        <v>706900</v>
      </c>
      <c r="F407" s="70">
        <f t="shared" si="249"/>
        <v>0</v>
      </c>
      <c r="G407" s="70">
        <f t="shared" si="249"/>
        <v>706900</v>
      </c>
      <c r="H407" s="70">
        <f t="shared" si="249"/>
        <v>0</v>
      </c>
      <c r="I407" s="70">
        <f t="shared" si="249"/>
        <v>706900</v>
      </c>
      <c r="J407" s="70">
        <f t="shared" si="249"/>
        <v>0</v>
      </c>
      <c r="K407" s="70">
        <f t="shared" si="249"/>
        <v>706900</v>
      </c>
      <c r="L407" s="70">
        <f t="shared" si="249"/>
        <v>0</v>
      </c>
      <c r="M407" s="70">
        <f t="shared" si="249"/>
        <v>706900</v>
      </c>
      <c r="N407" s="70">
        <f t="shared" si="249"/>
        <v>0</v>
      </c>
      <c r="O407" s="70">
        <f t="shared" si="249"/>
        <v>706900</v>
      </c>
      <c r="P407" s="70">
        <f t="shared" si="249"/>
        <v>0</v>
      </c>
      <c r="Q407" s="70">
        <f t="shared" si="249"/>
        <v>706900</v>
      </c>
      <c r="R407" s="70">
        <f t="shared" si="249"/>
        <v>0</v>
      </c>
      <c r="S407" s="70">
        <f t="shared" si="249"/>
        <v>706900</v>
      </c>
      <c r="T407" s="70">
        <f t="shared" si="249"/>
        <v>0</v>
      </c>
      <c r="U407" s="70">
        <f t="shared" si="249"/>
        <v>706900</v>
      </c>
      <c r="V407" s="70">
        <f t="shared" si="249"/>
        <v>1170</v>
      </c>
      <c r="W407" s="70">
        <f t="shared" si="249"/>
        <v>708070</v>
      </c>
      <c r="X407" s="70">
        <f t="shared" si="249"/>
        <v>240</v>
      </c>
      <c r="Y407" s="70">
        <f t="shared" si="249"/>
        <v>708310</v>
      </c>
      <c r="Z407" s="70">
        <f t="shared" si="249"/>
        <v>-165</v>
      </c>
      <c r="AA407" s="70">
        <f t="shared" si="241"/>
        <v>708145</v>
      </c>
      <c r="AB407" s="70">
        <f t="shared" si="249"/>
        <v>0</v>
      </c>
      <c r="AC407" s="70">
        <f t="shared" si="242"/>
        <v>708145</v>
      </c>
      <c r="AD407" s="105"/>
      <c r="AE407" s="105"/>
    </row>
    <row r="408" spans="1:31" s="22" customFormat="1" ht="21" customHeight="1">
      <c r="A408" s="56"/>
      <c r="B408" s="72"/>
      <c r="C408" s="76">
        <v>4300</v>
      </c>
      <c r="D408" s="80" t="s">
        <v>103</v>
      </c>
      <c r="E408" s="70">
        <f>686600+20000+300</f>
        <v>706900</v>
      </c>
      <c r="F408" s="70"/>
      <c r="G408" s="70">
        <f>SUM(E408:F408)</f>
        <v>706900</v>
      </c>
      <c r="H408" s="70"/>
      <c r="I408" s="70">
        <f>SUM(G408:H408)</f>
        <v>706900</v>
      </c>
      <c r="J408" s="70"/>
      <c r="K408" s="70">
        <f>SUM(I408:J408)</f>
        <v>706900</v>
      </c>
      <c r="L408" s="70"/>
      <c r="M408" s="70">
        <f>SUM(K408:L408)</f>
        <v>706900</v>
      </c>
      <c r="N408" s="70"/>
      <c r="O408" s="70">
        <f>SUM(M408:N408)</f>
        <v>706900</v>
      </c>
      <c r="P408" s="70"/>
      <c r="Q408" s="70">
        <f>SUM(O408:P408)</f>
        <v>706900</v>
      </c>
      <c r="R408" s="70"/>
      <c r="S408" s="70">
        <f>SUM(Q408:R408)</f>
        <v>706900</v>
      </c>
      <c r="T408" s="70"/>
      <c r="U408" s="70">
        <f>SUM(S408:T408)</f>
        <v>706900</v>
      </c>
      <c r="V408" s="70">
        <v>1170</v>
      </c>
      <c r="W408" s="70">
        <f>SUM(U408:V408)</f>
        <v>708070</v>
      </c>
      <c r="X408" s="70">
        <v>240</v>
      </c>
      <c r="Y408" s="70">
        <f>SUM(W408:X408)</f>
        <v>708310</v>
      </c>
      <c r="Z408" s="70">
        <v>-165</v>
      </c>
      <c r="AA408" s="70">
        <f t="shared" si="241"/>
        <v>708145</v>
      </c>
      <c r="AB408" s="70"/>
      <c r="AC408" s="70">
        <f t="shared" si="242"/>
        <v>708145</v>
      </c>
      <c r="AD408" s="105"/>
      <c r="AE408" s="105"/>
    </row>
    <row r="409" spans="1:31" s="22" customFormat="1" ht="21.75" customHeight="1">
      <c r="A409" s="56"/>
      <c r="B409" s="72" t="s">
        <v>159</v>
      </c>
      <c r="C409" s="76"/>
      <c r="D409" s="36" t="s">
        <v>182</v>
      </c>
      <c r="E409" s="70">
        <f aca="true" t="shared" si="250" ref="E409:V409">SUM(E410:E413)</f>
        <v>269300</v>
      </c>
      <c r="F409" s="70">
        <f t="shared" si="250"/>
        <v>20000</v>
      </c>
      <c r="G409" s="70">
        <f t="shared" si="250"/>
        <v>289300</v>
      </c>
      <c r="H409" s="70">
        <f t="shared" si="250"/>
        <v>0</v>
      </c>
      <c r="I409" s="70">
        <f t="shared" si="250"/>
        <v>289300</v>
      </c>
      <c r="J409" s="70">
        <f t="shared" si="250"/>
        <v>0</v>
      </c>
      <c r="K409" s="70">
        <f t="shared" si="250"/>
        <v>289300</v>
      </c>
      <c r="L409" s="70">
        <f t="shared" si="250"/>
        <v>0</v>
      </c>
      <c r="M409" s="70">
        <f t="shared" si="250"/>
        <v>289300</v>
      </c>
      <c r="N409" s="70">
        <f t="shared" si="250"/>
        <v>0</v>
      </c>
      <c r="O409" s="70">
        <f t="shared" si="250"/>
        <v>289300</v>
      </c>
      <c r="P409" s="70">
        <f t="shared" si="250"/>
        <v>-2520</v>
      </c>
      <c r="Q409" s="70">
        <f t="shared" si="250"/>
        <v>286780</v>
      </c>
      <c r="R409" s="70">
        <f t="shared" si="250"/>
        <v>0</v>
      </c>
      <c r="S409" s="70">
        <f t="shared" si="250"/>
        <v>286780</v>
      </c>
      <c r="T409" s="70">
        <f t="shared" si="250"/>
        <v>-500</v>
      </c>
      <c r="U409" s="70">
        <f t="shared" si="250"/>
        <v>286280</v>
      </c>
      <c r="V409" s="70">
        <f t="shared" si="250"/>
        <v>-1170</v>
      </c>
      <c r="W409" s="70">
        <f>SUM(W410:W414)</f>
        <v>285110</v>
      </c>
      <c r="X409" s="70">
        <f>SUM(X410:X414)</f>
        <v>37365</v>
      </c>
      <c r="Y409" s="70">
        <f>SUM(Y410:Y414)</f>
        <v>322475</v>
      </c>
      <c r="Z409" s="70">
        <f>SUM(Z410:Z414)</f>
        <v>3305</v>
      </c>
      <c r="AA409" s="70">
        <f t="shared" si="241"/>
        <v>325780</v>
      </c>
      <c r="AB409" s="70">
        <f>SUM(AB410:AB414)</f>
        <v>0</v>
      </c>
      <c r="AC409" s="70">
        <f t="shared" si="242"/>
        <v>325780</v>
      </c>
      <c r="AD409" s="105"/>
      <c r="AE409" s="105"/>
    </row>
    <row r="410" spans="1:31" s="22" customFormat="1" ht="21" customHeight="1">
      <c r="A410" s="56"/>
      <c r="B410" s="72"/>
      <c r="C410" s="56">
        <v>4210</v>
      </c>
      <c r="D410" s="36" t="s">
        <v>116</v>
      </c>
      <c r="E410" s="70">
        <f>9000+16000+12000+6000+57300</f>
        <v>100300</v>
      </c>
      <c r="F410" s="70"/>
      <c r="G410" s="70">
        <f>SUM(E410:F410)</f>
        <v>100300</v>
      </c>
      <c r="H410" s="70"/>
      <c r="I410" s="70">
        <f>SUM(G410:H410)</f>
        <v>100300</v>
      </c>
      <c r="J410" s="70"/>
      <c r="K410" s="70">
        <f>SUM(I410:J410)</f>
        <v>100300</v>
      </c>
      <c r="L410" s="70"/>
      <c r="M410" s="70">
        <f>SUM(K410:L410)</f>
        <v>100300</v>
      </c>
      <c r="N410" s="70"/>
      <c r="O410" s="70">
        <f>SUM(M410:N410)</f>
        <v>100300</v>
      </c>
      <c r="P410" s="70">
        <v>-2520</v>
      </c>
      <c r="Q410" s="70">
        <f>SUM(O410:P410)</f>
        <v>97780</v>
      </c>
      <c r="R410" s="70"/>
      <c r="S410" s="70">
        <f>SUM(Q410:R410)</f>
        <v>97780</v>
      </c>
      <c r="T410" s="70">
        <v>-500</v>
      </c>
      <c r="U410" s="70">
        <f>SUM(S410:T410)</f>
        <v>97280</v>
      </c>
      <c r="V410" s="70"/>
      <c r="W410" s="70">
        <f>SUM(U410:V410)</f>
        <v>97280</v>
      </c>
      <c r="X410" s="70">
        <v>-24185</v>
      </c>
      <c r="Y410" s="70">
        <f>SUM(W410:X410)</f>
        <v>73095</v>
      </c>
      <c r="Z410" s="70">
        <v>6280</v>
      </c>
      <c r="AA410" s="70">
        <f t="shared" si="241"/>
        <v>79375</v>
      </c>
      <c r="AB410" s="70"/>
      <c r="AC410" s="70">
        <f t="shared" si="242"/>
        <v>79375</v>
      </c>
      <c r="AD410" s="105"/>
      <c r="AE410" s="105"/>
    </row>
    <row r="411" spans="1:31" s="22" customFormat="1" ht="21" customHeight="1">
      <c r="A411" s="56"/>
      <c r="B411" s="72"/>
      <c r="C411" s="56">
        <v>4260</v>
      </c>
      <c r="D411" s="36" t="s">
        <v>119</v>
      </c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>
        <v>0</v>
      </c>
      <c r="Z411" s="70">
        <v>165</v>
      </c>
      <c r="AA411" s="70">
        <f t="shared" si="241"/>
        <v>165</v>
      </c>
      <c r="AB411" s="70"/>
      <c r="AC411" s="70">
        <f t="shared" si="242"/>
        <v>165</v>
      </c>
      <c r="AD411" s="105"/>
      <c r="AE411" s="105"/>
    </row>
    <row r="412" spans="1:31" s="22" customFormat="1" ht="21" customHeight="1">
      <c r="A412" s="56"/>
      <c r="B412" s="72"/>
      <c r="C412" s="56">
        <v>4300</v>
      </c>
      <c r="D412" s="36" t="s">
        <v>103</v>
      </c>
      <c r="E412" s="70">
        <f>88830+30000+20000+20000+10170</f>
        <v>169000</v>
      </c>
      <c r="F412" s="70"/>
      <c r="G412" s="70">
        <f>SUM(E412:F412)</f>
        <v>169000</v>
      </c>
      <c r="H412" s="70"/>
      <c r="I412" s="70">
        <f>SUM(G412:H412)</f>
        <v>169000</v>
      </c>
      <c r="J412" s="70"/>
      <c r="K412" s="70">
        <f>SUM(I412:J412)</f>
        <v>169000</v>
      </c>
      <c r="L412" s="70"/>
      <c r="M412" s="70">
        <f>SUM(K412:L412)</f>
        <v>169000</v>
      </c>
      <c r="N412" s="70"/>
      <c r="O412" s="70">
        <f>SUM(M412:N412)</f>
        <v>169000</v>
      </c>
      <c r="P412" s="70"/>
      <c r="Q412" s="70">
        <f>SUM(O412:P412)</f>
        <v>169000</v>
      </c>
      <c r="R412" s="70"/>
      <c r="S412" s="70">
        <f>SUM(Q412:R412)</f>
        <v>169000</v>
      </c>
      <c r="T412" s="70"/>
      <c r="U412" s="70">
        <f>SUM(S412:T412)</f>
        <v>169000</v>
      </c>
      <c r="V412" s="70">
        <v>-1170</v>
      </c>
      <c r="W412" s="70">
        <f>SUM(U412:V412)</f>
        <v>167830</v>
      </c>
      <c r="X412" s="70">
        <v>40000</v>
      </c>
      <c r="Y412" s="70">
        <f>SUM(W412:X412)</f>
        <v>207830</v>
      </c>
      <c r="Z412" s="70">
        <v>40</v>
      </c>
      <c r="AA412" s="70">
        <f t="shared" si="241"/>
        <v>207870</v>
      </c>
      <c r="AB412" s="70"/>
      <c r="AC412" s="70">
        <f t="shared" si="242"/>
        <v>207870</v>
      </c>
      <c r="AD412" s="105"/>
      <c r="AE412" s="105"/>
    </row>
    <row r="413" spans="1:33" s="22" customFormat="1" ht="21" customHeight="1">
      <c r="A413" s="56"/>
      <c r="B413" s="72"/>
      <c r="C413" s="56">
        <v>6050</v>
      </c>
      <c r="D413" s="36" t="s">
        <v>97</v>
      </c>
      <c r="E413" s="70">
        <v>0</v>
      </c>
      <c r="F413" s="70">
        <v>20000</v>
      </c>
      <c r="G413" s="70">
        <f>SUM(E413:F413)</f>
        <v>20000</v>
      </c>
      <c r="H413" s="70"/>
      <c r="I413" s="70">
        <f>SUM(G413:H413)</f>
        <v>20000</v>
      </c>
      <c r="J413" s="70"/>
      <c r="K413" s="70">
        <f>SUM(I413:J413)</f>
        <v>20000</v>
      </c>
      <c r="L413" s="70"/>
      <c r="M413" s="70">
        <f>SUM(K413:L413)</f>
        <v>20000</v>
      </c>
      <c r="N413" s="70"/>
      <c r="O413" s="70">
        <f>SUM(M413:N413)</f>
        <v>20000</v>
      </c>
      <c r="P413" s="70"/>
      <c r="Q413" s="70">
        <f>SUM(O413:P413)</f>
        <v>20000</v>
      </c>
      <c r="R413" s="70"/>
      <c r="S413" s="70">
        <f>SUM(Q413:R413)</f>
        <v>20000</v>
      </c>
      <c r="T413" s="70"/>
      <c r="U413" s="70">
        <f>SUM(S413:T413)</f>
        <v>20000</v>
      </c>
      <c r="V413" s="70"/>
      <c r="W413" s="70">
        <f>SUM(U413:V413)</f>
        <v>20000</v>
      </c>
      <c r="X413" s="70"/>
      <c r="Y413" s="70">
        <f>SUM(W413:X413)</f>
        <v>20000</v>
      </c>
      <c r="Z413" s="70"/>
      <c r="AA413" s="70">
        <f t="shared" si="241"/>
        <v>20000</v>
      </c>
      <c r="AB413" s="70"/>
      <c r="AC413" s="70">
        <f t="shared" si="242"/>
        <v>20000</v>
      </c>
      <c r="AD413" s="105"/>
      <c r="AE413" s="105"/>
      <c r="AF413" s="105"/>
      <c r="AG413" s="105"/>
    </row>
    <row r="414" spans="1:33" s="22" customFormat="1" ht="21" customHeight="1">
      <c r="A414" s="56"/>
      <c r="B414" s="72"/>
      <c r="C414" s="56">
        <v>6060</v>
      </c>
      <c r="D414" s="36" t="s">
        <v>120</v>
      </c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>
        <v>0</v>
      </c>
      <c r="X414" s="70">
        <v>21550</v>
      </c>
      <c r="Y414" s="70">
        <f>SUM(W414:X414)</f>
        <v>21550</v>
      </c>
      <c r="Z414" s="70">
        <v>-3180</v>
      </c>
      <c r="AA414" s="70">
        <f t="shared" si="241"/>
        <v>18370</v>
      </c>
      <c r="AB414" s="70"/>
      <c r="AC414" s="70">
        <f t="shared" si="242"/>
        <v>18370</v>
      </c>
      <c r="AD414" s="105"/>
      <c r="AE414" s="105"/>
      <c r="AF414" s="105"/>
      <c r="AG414" s="105"/>
    </row>
    <row r="415" spans="1:31" s="22" customFormat="1" ht="24.75" customHeight="1">
      <c r="A415" s="56"/>
      <c r="B415" s="72" t="s">
        <v>160</v>
      </c>
      <c r="C415" s="76"/>
      <c r="D415" s="36" t="s">
        <v>161</v>
      </c>
      <c r="E415" s="70">
        <f aca="true" t="shared" si="251" ref="E415:AB415">SUM(E416:E416)</f>
        <v>15000</v>
      </c>
      <c r="F415" s="70">
        <f t="shared" si="251"/>
        <v>0</v>
      </c>
      <c r="G415" s="70">
        <f t="shared" si="251"/>
        <v>15000</v>
      </c>
      <c r="H415" s="70">
        <f t="shared" si="251"/>
        <v>0</v>
      </c>
      <c r="I415" s="70">
        <f t="shared" si="251"/>
        <v>15000</v>
      </c>
      <c r="J415" s="70">
        <f t="shared" si="251"/>
        <v>0</v>
      </c>
      <c r="K415" s="70">
        <f t="shared" si="251"/>
        <v>15000</v>
      </c>
      <c r="L415" s="70">
        <f t="shared" si="251"/>
        <v>0</v>
      </c>
      <c r="M415" s="70">
        <f t="shared" si="251"/>
        <v>15000</v>
      </c>
      <c r="N415" s="70">
        <f t="shared" si="251"/>
        <v>0</v>
      </c>
      <c r="O415" s="70">
        <f t="shared" si="251"/>
        <v>15000</v>
      </c>
      <c r="P415" s="70">
        <f t="shared" si="251"/>
        <v>0</v>
      </c>
      <c r="Q415" s="70">
        <f t="shared" si="251"/>
        <v>15000</v>
      </c>
      <c r="R415" s="70">
        <f t="shared" si="251"/>
        <v>0</v>
      </c>
      <c r="S415" s="70">
        <f t="shared" si="251"/>
        <v>15000</v>
      </c>
      <c r="T415" s="70">
        <f t="shared" si="251"/>
        <v>0</v>
      </c>
      <c r="U415" s="70">
        <f t="shared" si="251"/>
        <v>15000</v>
      </c>
      <c r="V415" s="70">
        <f t="shared" si="251"/>
        <v>0</v>
      </c>
      <c r="W415" s="70">
        <f t="shared" si="251"/>
        <v>15000</v>
      </c>
      <c r="X415" s="70">
        <f t="shared" si="251"/>
        <v>0</v>
      </c>
      <c r="Y415" s="70">
        <f t="shared" si="251"/>
        <v>15000</v>
      </c>
      <c r="Z415" s="70">
        <f t="shared" si="251"/>
        <v>0</v>
      </c>
      <c r="AA415" s="70">
        <f t="shared" si="241"/>
        <v>15000</v>
      </c>
      <c r="AB415" s="70">
        <f t="shared" si="251"/>
        <v>0</v>
      </c>
      <c r="AC415" s="70">
        <f t="shared" si="242"/>
        <v>15000</v>
      </c>
      <c r="AD415" s="105"/>
      <c r="AE415" s="105"/>
    </row>
    <row r="416" spans="1:31" s="22" customFormat="1" ht="27" customHeight="1">
      <c r="A416" s="56"/>
      <c r="B416" s="72"/>
      <c r="C416" s="76">
        <v>4520</v>
      </c>
      <c r="D416" s="36" t="s">
        <v>162</v>
      </c>
      <c r="E416" s="70">
        <v>15000</v>
      </c>
      <c r="F416" s="70"/>
      <c r="G416" s="70">
        <f>SUM(E416:F416)</f>
        <v>15000</v>
      </c>
      <c r="H416" s="70"/>
      <c r="I416" s="70">
        <f>SUM(G416:H416)</f>
        <v>15000</v>
      </c>
      <c r="J416" s="70"/>
      <c r="K416" s="70">
        <f>SUM(I416:J416)</f>
        <v>15000</v>
      </c>
      <c r="L416" s="70"/>
      <c r="M416" s="70">
        <f>SUM(K416:L416)</f>
        <v>15000</v>
      </c>
      <c r="N416" s="70"/>
      <c r="O416" s="70">
        <f>SUM(M416:N416)</f>
        <v>15000</v>
      </c>
      <c r="P416" s="70"/>
      <c r="Q416" s="70">
        <f>SUM(O416:P416)</f>
        <v>15000</v>
      </c>
      <c r="R416" s="70"/>
      <c r="S416" s="70">
        <f>SUM(Q416:R416)</f>
        <v>15000</v>
      </c>
      <c r="T416" s="70"/>
      <c r="U416" s="70">
        <f>SUM(S416:T416)</f>
        <v>15000</v>
      </c>
      <c r="V416" s="70"/>
      <c r="W416" s="70">
        <f>SUM(U416:V416)</f>
        <v>15000</v>
      </c>
      <c r="X416" s="70"/>
      <c r="Y416" s="70">
        <f>SUM(W416:X416)</f>
        <v>15000</v>
      </c>
      <c r="Z416" s="70"/>
      <c r="AA416" s="70">
        <f t="shared" si="241"/>
        <v>15000</v>
      </c>
      <c r="AB416" s="70"/>
      <c r="AC416" s="70">
        <f t="shared" si="242"/>
        <v>15000</v>
      </c>
      <c r="AD416" s="105"/>
      <c r="AE416" s="105"/>
    </row>
    <row r="417" spans="1:31" s="22" customFormat="1" ht="21" customHeight="1">
      <c r="A417" s="56"/>
      <c r="B417" s="72" t="s">
        <v>163</v>
      </c>
      <c r="C417" s="76"/>
      <c r="D417" s="36" t="s">
        <v>164</v>
      </c>
      <c r="E417" s="70">
        <f aca="true" t="shared" si="252" ref="E417:AB417">SUM(E418)</f>
        <v>96000</v>
      </c>
      <c r="F417" s="70">
        <f t="shared" si="252"/>
        <v>0</v>
      </c>
      <c r="G417" s="70">
        <f t="shared" si="252"/>
        <v>96000</v>
      </c>
      <c r="H417" s="70">
        <f t="shared" si="252"/>
        <v>0</v>
      </c>
      <c r="I417" s="70">
        <f t="shared" si="252"/>
        <v>96000</v>
      </c>
      <c r="J417" s="70">
        <f t="shared" si="252"/>
        <v>0</v>
      </c>
      <c r="K417" s="70">
        <f t="shared" si="252"/>
        <v>96000</v>
      </c>
      <c r="L417" s="70">
        <f t="shared" si="252"/>
        <v>0</v>
      </c>
      <c r="M417" s="70">
        <f t="shared" si="252"/>
        <v>96000</v>
      </c>
      <c r="N417" s="70">
        <f t="shared" si="252"/>
        <v>0</v>
      </c>
      <c r="O417" s="70">
        <f t="shared" si="252"/>
        <v>96000</v>
      </c>
      <c r="P417" s="70">
        <f t="shared" si="252"/>
        <v>0</v>
      </c>
      <c r="Q417" s="70">
        <f t="shared" si="252"/>
        <v>96000</v>
      </c>
      <c r="R417" s="70">
        <f t="shared" si="252"/>
        <v>0</v>
      </c>
      <c r="S417" s="70">
        <f t="shared" si="252"/>
        <v>96000</v>
      </c>
      <c r="T417" s="70">
        <f t="shared" si="252"/>
        <v>0</v>
      </c>
      <c r="U417" s="70">
        <f t="shared" si="252"/>
        <v>96000</v>
      </c>
      <c r="V417" s="70">
        <f t="shared" si="252"/>
        <v>0</v>
      </c>
      <c r="W417" s="70">
        <f t="shared" si="252"/>
        <v>96000</v>
      </c>
      <c r="X417" s="70">
        <f t="shared" si="252"/>
        <v>0</v>
      </c>
      <c r="Y417" s="70">
        <f t="shared" si="252"/>
        <v>96000</v>
      </c>
      <c r="Z417" s="70">
        <f t="shared" si="252"/>
        <v>0</v>
      </c>
      <c r="AA417" s="70">
        <f t="shared" si="241"/>
        <v>96000</v>
      </c>
      <c r="AB417" s="70">
        <f t="shared" si="252"/>
        <v>0</v>
      </c>
      <c r="AC417" s="70">
        <f t="shared" si="242"/>
        <v>96000</v>
      </c>
      <c r="AD417" s="105"/>
      <c r="AE417" s="105"/>
    </row>
    <row r="418" spans="1:31" s="22" customFormat="1" ht="21" customHeight="1">
      <c r="A418" s="56"/>
      <c r="B418" s="72"/>
      <c r="C418" s="76">
        <v>4300</v>
      </c>
      <c r="D418" s="80" t="s">
        <v>103</v>
      </c>
      <c r="E418" s="70">
        <v>96000</v>
      </c>
      <c r="F418" s="70"/>
      <c r="G418" s="70">
        <f>SUM(E418:F418)</f>
        <v>96000</v>
      </c>
      <c r="H418" s="70"/>
      <c r="I418" s="70">
        <f>SUM(G418:H418)</f>
        <v>96000</v>
      </c>
      <c r="J418" s="70"/>
      <c r="K418" s="70">
        <f>SUM(I418:J418)</f>
        <v>96000</v>
      </c>
      <c r="L418" s="70"/>
      <c r="M418" s="70">
        <f>SUM(K418:L418)</f>
        <v>96000</v>
      </c>
      <c r="N418" s="70"/>
      <c r="O418" s="70">
        <f>SUM(M418:N418)</f>
        <v>96000</v>
      </c>
      <c r="P418" s="70"/>
      <c r="Q418" s="70">
        <f>SUM(O418:P418)</f>
        <v>96000</v>
      </c>
      <c r="R418" s="70"/>
      <c r="S418" s="70">
        <f>SUM(Q418:R418)</f>
        <v>96000</v>
      </c>
      <c r="T418" s="70"/>
      <c r="U418" s="70">
        <f>SUM(S418:T418)</f>
        <v>96000</v>
      </c>
      <c r="V418" s="70"/>
      <c r="W418" s="70">
        <f>SUM(U418:V418)</f>
        <v>96000</v>
      </c>
      <c r="X418" s="70"/>
      <c r="Y418" s="70">
        <f>SUM(W418:X418)</f>
        <v>96000</v>
      </c>
      <c r="Z418" s="70"/>
      <c r="AA418" s="70">
        <f t="shared" si="241"/>
        <v>96000</v>
      </c>
      <c r="AB418" s="70"/>
      <c r="AC418" s="70">
        <f t="shared" si="242"/>
        <v>96000</v>
      </c>
      <c r="AD418" s="105"/>
      <c r="AE418" s="105"/>
    </row>
    <row r="419" spans="1:31" s="22" customFormat="1" ht="21" customHeight="1">
      <c r="A419" s="56"/>
      <c r="B419" s="72" t="s">
        <v>165</v>
      </c>
      <c r="C419" s="76"/>
      <c r="D419" s="36" t="s">
        <v>166</v>
      </c>
      <c r="E419" s="70">
        <f aca="true" t="shared" si="253" ref="E419:Z419">SUM(E420:E424)</f>
        <v>1362600</v>
      </c>
      <c r="F419" s="70">
        <f t="shared" si="253"/>
        <v>-312000</v>
      </c>
      <c r="G419" s="70">
        <f t="shared" si="253"/>
        <v>1050600</v>
      </c>
      <c r="H419" s="70">
        <f t="shared" si="253"/>
        <v>0</v>
      </c>
      <c r="I419" s="70">
        <f t="shared" si="253"/>
        <v>1050600</v>
      </c>
      <c r="J419" s="70">
        <f t="shared" si="253"/>
        <v>0</v>
      </c>
      <c r="K419" s="70">
        <f t="shared" si="253"/>
        <v>1050600</v>
      </c>
      <c r="L419" s="70">
        <f t="shared" si="253"/>
        <v>0</v>
      </c>
      <c r="M419" s="70">
        <f t="shared" si="253"/>
        <v>1050600</v>
      </c>
      <c r="N419" s="70">
        <f t="shared" si="253"/>
        <v>0</v>
      </c>
      <c r="O419" s="70">
        <f t="shared" si="253"/>
        <v>1050600</v>
      </c>
      <c r="P419" s="70">
        <f t="shared" si="253"/>
        <v>0</v>
      </c>
      <c r="Q419" s="70">
        <f t="shared" si="253"/>
        <v>1050600</v>
      </c>
      <c r="R419" s="70">
        <f t="shared" si="253"/>
        <v>0</v>
      </c>
      <c r="S419" s="70">
        <f t="shared" si="253"/>
        <v>1050600</v>
      </c>
      <c r="T419" s="70">
        <f t="shared" si="253"/>
        <v>2750</v>
      </c>
      <c r="U419" s="70">
        <f t="shared" si="253"/>
        <v>1053350</v>
      </c>
      <c r="V419" s="70">
        <f t="shared" si="253"/>
        <v>0</v>
      </c>
      <c r="W419" s="70">
        <f t="shared" si="253"/>
        <v>1053350</v>
      </c>
      <c r="X419" s="70">
        <f t="shared" si="253"/>
        <v>35046</v>
      </c>
      <c r="Y419" s="70">
        <f t="shared" si="253"/>
        <v>1088396</v>
      </c>
      <c r="Z419" s="70">
        <f t="shared" si="253"/>
        <v>8700</v>
      </c>
      <c r="AA419" s="70">
        <f t="shared" si="241"/>
        <v>1097096</v>
      </c>
      <c r="AB419" s="70">
        <f>SUM(AB420:AB424)</f>
        <v>0</v>
      </c>
      <c r="AC419" s="70">
        <f t="shared" si="242"/>
        <v>1097096</v>
      </c>
      <c r="AD419" s="105"/>
      <c r="AE419" s="105"/>
    </row>
    <row r="420" spans="1:31" s="22" customFormat="1" ht="21" customHeight="1">
      <c r="A420" s="56"/>
      <c r="B420" s="72"/>
      <c r="C420" s="76">
        <v>4210</v>
      </c>
      <c r="D420" s="36" t="s">
        <v>116</v>
      </c>
      <c r="E420" s="70">
        <v>600</v>
      </c>
      <c r="F420" s="70"/>
      <c r="G420" s="70">
        <f>SUM(E420:F420)</f>
        <v>600</v>
      </c>
      <c r="H420" s="70"/>
      <c r="I420" s="70">
        <f>SUM(G420:H420)</f>
        <v>600</v>
      </c>
      <c r="J420" s="70"/>
      <c r="K420" s="70">
        <f>SUM(I420:J420)</f>
        <v>600</v>
      </c>
      <c r="L420" s="70"/>
      <c r="M420" s="70">
        <f>SUM(K420:L420)</f>
        <v>600</v>
      </c>
      <c r="N420" s="70"/>
      <c r="O420" s="70">
        <f>SUM(M420:N420)</f>
        <v>600</v>
      </c>
      <c r="P420" s="70"/>
      <c r="Q420" s="70">
        <f>SUM(O420:P420)</f>
        <v>600</v>
      </c>
      <c r="R420" s="70"/>
      <c r="S420" s="70">
        <f>SUM(Q420:R420)</f>
        <v>600</v>
      </c>
      <c r="T420" s="70"/>
      <c r="U420" s="70">
        <f>SUM(S420:T420)</f>
        <v>600</v>
      </c>
      <c r="V420" s="70"/>
      <c r="W420" s="70">
        <f>SUM(U420:V420)</f>
        <v>600</v>
      </c>
      <c r="X420" s="70"/>
      <c r="Y420" s="70">
        <f>SUM(W420:X420)</f>
        <v>600</v>
      </c>
      <c r="Z420" s="70"/>
      <c r="AA420" s="70">
        <f t="shared" si="241"/>
        <v>600</v>
      </c>
      <c r="AB420" s="70"/>
      <c r="AC420" s="70">
        <f t="shared" si="242"/>
        <v>600</v>
      </c>
      <c r="AD420" s="105"/>
      <c r="AE420" s="105"/>
    </row>
    <row r="421" spans="1:31" s="22" customFormat="1" ht="21" customHeight="1">
      <c r="A421" s="56"/>
      <c r="B421" s="77"/>
      <c r="C421" s="56">
        <v>4260</v>
      </c>
      <c r="D421" s="36" t="s">
        <v>119</v>
      </c>
      <c r="E421" s="70">
        <v>495000</v>
      </c>
      <c r="F421" s="70"/>
      <c r="G421" s="70">
        <f>SUM(E421:F421)</f>
        <v>495000</v>
      </c>
      <c r="H421" s="70"/>
      <c r="I421" s="70">
        <f>SUM(G421:H421)</f>
        <v>495000</v>
      </c>
      <c r="J421" s="70"/>
      <c r="K421" s="70">
        <f>SUM(I421:J421)</f>
        <v>495000</v>
      </c>
      <c r="L421" s="70"/>
      <c r="M421" s="70">
        <f>SUM(K421:L421)</f>
        <v>495000</v>
      </c>
      <c r="N421" s="70"/>
      <c r="O421" s="70">
        <f>SUM(M421:N421)</f>
        <v>495000</v>
      </c>
      <c r="P421" s="70"/>
      <c r="Q421" s="70">
        <f>SUM(O421:P421)</f>
        <v>495000</v>
      </c>
      <c r="R421" s="70"/>
      <c r="S421" s="70">
        <f>SUM(Q421:R421)</f>
        <v>495000</v>
      </c>
      <c r="T421" s="70"/>
      <c r="U421" s="70">
        <f>SUM(S421:T421)</f>
        <v>495000</v>
      </c>
      <c r="V421" s="70"/>
      <c r="W421" s="70">
        <f>SUM(U421:V421)</f>
        <v>495000</v>
      </c>
      <c r="X421" s="70"/>
      <c r="Y421" s="70">
        <f>SUM(W421:X421)</f>
        <v>495000</v>
      </c>
      <c r="Z421" s="70"/>
      <c r="AA421" s="70">
        <f t="shared" si="241"/>
        <v>495000</v>
      </c>
      <c r="AB421" s="70"/>
      <c r="AC421" s="70">
        <f t="shared" si="242"/>
        <v>495000</v>
      </c>
      <c r="AD421" s="105"/>
      <c r="AE421" s="105"/>
    </row>
    <row r="422" spans="1:31" s="22" customFormat="1" ht="21" customHeight="1">
      <c r="A422" s="56"/>
      <c r="B422" s="77"/>
      <c r="C422" s="56">
        <v>4270</v>
      </c>
      <c r="D422" s="36" t="s">
        <v>102</v>
      </c>
      <c r="E422" s="70">
        <v>143000</v>
      </c>
      <c r="F422" s="70"/>
      <c r="G422" s="70">
        <f>SUM(E422:F422)</f>
        <v>143000</v>
      </c>
      <c r="H422" s="70"/>
      <c r="I422" s="70">
        <f>SUM(G422:H422)</f>
        <v>143000</v>
      </c>
      <c r="J422" s="70"/>
      <c r="K422" s="70">
        <f>SUM(I422:J422)</f>
        <v>143000</v>
      </c>
      <c r="L422" s="70"/>
      <c r="M422" s="70">
        <f>SUM(K422:L422)</f>
        <v>143000</v>
      </c>
      <c r="N422" s="70"/>
      <c r="O422" s="70">
        <f>SUM(M422:N422)</f>
        <v>143000</v>
      </c>
      <c r="P422" s="70"/>
      <c r="Q422" s="70">
        <f>SUM(O422:P422)</f>
        <v>143000</v>
      </c>
      <c r="R422" s="70"/>
      <c r="S422" s="70">
        <f>SUM(Q422:R422)</f>
        <v>143000</v>
      </c>
      <c r="T422" s="70"/>
      <c r="U422" s="70">
        <f>SUM(S422:T422)</f>
        <v>143000</v>
      </c>
      <c r="V422" s="70"/>
      <c r="W422" s="70">
        <f>SUM(U422:V422)</f>
        <v>143000</v>
      </c>
      <c r="X422" s="70"/>
      <c r="Y422" s="70">
        <f>SUM(W422:X422)</f>
        <v>143000</v>
      </c>
      <c r="Z422" s="70">
        <v>20000</v>
      </c>
      <c r="AA422" s="70">
        <f t="shared" si="241"/>
        <v>163000</v>
      </c>
      <c r="AB422" s="70"/>
      <c r="AC422" s="70">
        <f t="shared" si="242"/>
        <v>163000</v>
      </c>
      <c r="AD422" s="105"/>
      <c r="AE422" s="105"/>
    </row>
    <row r="423" spans="1:31" s="22" customFormat="1" ht="21" customHeight="1">
      <c r="A423" s="56"/>
      <c r="B423" s="77"/>
      <c r="C423" s="56">
        <v>4300</v>
      </c>
      <c r="D423" s="36" t="s">
        <v>103</v>
      </c>
      <c r="E423" s="70">
        <f>30000+1000</f>
        <v>31000</v>
      </c>
      <c r="F423" s="70">
        <v>3000</v>
      </c>
      <c r="G423" s="70">
        <f>SUM(E423:F423)</f>
        <v>34000</v>
      </c>
      <c r="H423" s="70"/>
      <c r="I423" s="70">
        <f>SUM(G423:H423)</f>
        <v>34000</v>
      </c>
      <c r="J423" s="70"/>
      <c r="K423" s="70">
        <f>SUM(I423:J423)</f>
        <v>34000</v>
      </c>
      <c r="L423" s="70"/>
      <c r="M423" s="70">
        <f>SUM(K423:L423)</f>
        <v>34000</v>
      </c>
      <c r="N423" s="70"/>
      <c r="O423" s="70">
        <f>SUM(M423:N423)</f>
        <v>34000</v>
      </c>
      <c r="P423" s="70"/>
      <c r="Q423" s="70">
        <f>SUM(O423:P423)</f>
        <v>34000</v>
      </c>
      <c r="R423" s="70"/>
      <c r="S423" s="70">
        <f>SUM(Q423:R423)</f>
        <v>34000</v>
      </c>
      <c r="T423" s="70">
        <v>-1000</v>
      </c>
      <c r="U423" s="70">
        <f>SUM(S423:T423)</f>
        <v>33000</v>
      </c>
      <c r="V423" s="70"/>
      <c r="W423" s="70">
        <f>SUM(U423:V423)</f>
        <v>33000</v>
      </c>
      <c r="X423" s="70">
        <v>-2200</v>
      </c>
      <c r="Y423" s="70">
        <f>SUM(W423:X423)</f>
        <v>30800</v>
      </c>
      <c r="Z423" s="70"/>
      <c r="AA423" s="70">
        <f t="shared" si="241"/>
        <v>30800</v>
      </c>
      <c r="AB423" s="70"/>
      <c r="AC423" s="70">
        <f t="shared" si="242"/>
        <v>30800</v>
      </c>
      <c r="AD423" s="105"/>
      <c r="AE423" s="105"/>
    </row>
    <row r="424" spans="1:33" s="22" customFormat="1" ht="23.25" customHeight="1">
      <c r="A424" s="56"/>
      <c r="B424" s="77"/>
      <c r="C424" s="56">
        <v>6050</v>
      </c>
      <c r="D424" s="36" t="s">
        <v>97</v>
      </c>
      <c r="E424" s="70">
        <f>150000+420000+21000+20000+25000+15000+30000+10000+2000</f>
        <v>693000</v>
      </c>
      <c r="F424" s="70">
        <f>-70000-30000-300000+50000+5000+30000</f>
        <v>-315000</v>
      </c>
      <c r="G424" s="70">
        <f>SUM(E424:F424)</f>
        <v>378000</v>
      </c>
      <c r="H424" s="70"/>
      <c r="I424" s="70">
        <f>SUM(G424:H424)</f>
        <v>378000</v>
      </c>
      <c r="J424" s="70"/>
      <c r="K424" s="70">
        <f>SUM(I424:J424)</f>
        <v>378000</v>
      </c>
      <c r="L424" s="70"/>
      <c r="M424" s="70">
        <f>SUM(K424:L424)</f>
        <v>378000</v>
      </c>
      <c r="N424" s="70"/>
      <c r="O424" s="70">
        <f>SUM(M424:N424)</f>
        <v>378000</v>
      </c>
      <c r="P424" s="70"/>
      <c r="Q424" s="70">
        <f>SUM(O424:P424)</f>
        <v>378000</v>
      </c>
      <c r="R424" s="70"/>
      <c r="S424" s="70">
        <f>SUM(Q424:R424)</f>
        <v>378000</v>
      </c>
      <c r="T424" s="70">
        <v>3750</v>
      </c>
      <c r="U424" s="70">
        <f>SUM(S424:T424)</f>
        <v>381750</v>
      </c>
      <c r="V424" s="70"/>
      <c r="W424" s="70">
        <f>SUM(U424:V424)</f>
        <v>381750</v>
      </c>
      <c r="X424" s="70">
        <f>-2000-9000+16582+1900+2000+12282+12732+1200+1550</f>
        <v>37246</v>
      </c>
      <c r="Y424" s="70">
        <f>SUM(W424:X424)</f>
        <v>418996</v>
      </c>
      <c r="Z424" s="70">
        <v>-11300</v>
      </c>
      <c r="AA424" s="70">
        <f t="shared" si="241"/>
        <v>407696</v>
      </c>
      <c r="AB424" s="70"/>
      <c r="AC424" s="70">
        <f t="shared" si="242"/>
        <v>407696</v>
      </c>
      <c r="AD424" s="105"/>
      <c r="AE424" s="105"/>
      <c r="AF424" s="105"/>
      <c r="AG424" s="105"/>
    </row>
    <row r="425" spans="1:31" s="22" customFormat="1" ht="21" customHeight="1">
      <c r="A425" s="56"/>
      <c r="B425" s="72" t="s">
        <v>167</v>
      </c>
      <c r="C425" s="76"/>
      <c r="D425" s="36" t="s">
        <v>17</v>
      </c>
      <c r="E425" s="70">
        <f aca="true" t="shared" si="254" ref="E425:Z425">SUM(E426:E429)</f>
        <v>88220</v>
      </c>
      <c r="F425" s="70">
        <f t="shared" si="254"/>
        <v>0</v>
      </c>
      <c r="G425" s="70">
        <f t="shared" si="254"/>
        <v>88220</v>
      </c>
      <c r="H425" s="70">
        <f t="shared" si="254"/>
        <v>0</v>
      </c>
      <c r="I425" s="70">
        <f t="shared" si="254"/>
        <v>88220</v>
      </c>
      <c r="J425" s="70">
        <f t="shared" si="254"/>
        <v>0</v>
      </c>
      <c r="K425" s="70">
        <f t="shared" si="254"/>
        <v>88220</v>
      </c>
      <c r="L425" s="70">
        <f t="shared" si="254"/>
        <v>0</v>
      </c>
      <c r="M425" s="70">
        <f t="shared" si="254"/>
        <v>88220</v>
      </c>
      <c r="N425" s="70">
        <f t="shared" si="254"/>
        <v>0</v>
      </c>
      <c r="O425" s="70">
        <f t="shared" si="254"/>
        <v>88220</v>
      </c>
      <c r="P425" s="70">
        <f t="shared" si="254"/>
        <v>0</v>
      </c>
      <c r="Q425" s="70">
        <f t="shared" si="254"/>
        <v>88220</v>
      </c>
      <c r="R425" s="70">
        <f t="shared" si="254"/>
        <v>0</v>
      </c>
      <c r="S425" s="70">
        <f t="shared" si="254"/>
        <v>88220</v>
      </c>
      <c r="T425" s="70">
        <f t="shared" si="254"/>
        <v>0</v>
      </c>
      <c r="U425" s="70">
        <f t="shared" si="254"/>
        <v>88220</v>
      </c>
      <c r="V425" s="70">
        <f t="shared" si="254"/>
        <v>0</v>
      </c>
      <c r="W425" s="70">
        <f t="shared" si="254"/>
        <v>88220</v>
      </c>
      <c r="X425" s="70">
        <f t="shared" si="254"/>
        <v>135000</v>
      </c>
      <c r="Y425" s="70">
        <f t="shared" si="254"/>
        <v>223220</v>
      </c>
      <c r="Z425" s="70">
        <f t="shared" si="254"/>
        <v>-140000</v>
      </c>
      <c r="AA425" s="70">
        <f t="shared" si="241"/>
        <v>83220</v>
      </c>
      <c r="AB425" s="70">
        <f>SUM(AB426:AB429)</f>
        <v>0</v>
      </c>
      <c r="AC425" s="70">
        <f t="shared" si="242"/>
        <v>83220</v>
      </c>
      <c r="AD425" s="105"/>
      <c r="AE425" s="105"/>
    </row>
    <row r="426" spans="1:31" s="22" customFormat="1" ht="21" customHeight="1">
      <c r="A426" s="56"/>
      <c r="B426" s="77"/>
      <c r="C426" s="76">
        <v>4210</v>
      </c>
      <c r="D426" s="36" t="s">
        <v>116</v>
      </c>
      <c r="E426" s="70">
        <v>1220</v>
      </c>
      <c r="F426" s="70"/>
      <c r="G426" s="70">
        <f>SUM(E426:F426)</f>
        <v>1220</v>
      </c>
      <c r="H426" s="70"/>
      <c r="I426" s="70">
        <f>SUM(G426:H426)</f>
        <v>1220</v>
      </c>
      <c r="J426" s="70"/>
      <c r="K426" s="70">
        <f>SUM(I426:J426)</f>
        <v>1220</v>
      </c>
      <c r="L426" s="70"/>
      <c r="M426" s="70">
        <f>SUM(K426:L426)</f>
        <v>1220</v>
      </c>
      <c r="N426" s="70"/>
      <c r="O426" s="70">
        <f>SUM(M426:N426)</f>
        <v>1220</v>
      </c>
      <c r="P426" s="70"/>
      <c r="Q426" s="70">
        <f>SUM(O426:P426)</f>
        <v>1220</v>
      </c>
      <c r="R426" s="70"/>
      <c r="S426" s="70">
        <f>SUM(Q426:R426)</f>
        <v>1220</v>
      </c>
      <c r="T426" s="70"/>
      <c r="U426" s="70">
        <f>SUM(S426:T426)</f>
        <v>1220</v>
      </c>
      <c r="V426" s="70"/>
      <c r="W426" s="70">
        <f>SUM(U426:V426)</f>
        <v>1220</v>
      </c>
      <c r="X426" s="70"/>
      <c r="Y426" s="70">
        <f>SUM(W426:X426)</f>
        <v>1220</v>
      </c>
      <c r="Z426" s="70"/>
      <c r="AA426" s="70">
        <f t="shared" si="241"/>
        <v>1220</v>
      </c>
      <c r="AB426" s="70"/>
      <c r="AC426" s="70">
        <f t="shared" si="242"/>
        <v>1220</v>
      </c>
      <c r="AD426" s="105"/>
      <c r="AE426" s="105"/>
    </row>
    <row r="427" spans="1:31" s="22" customFormat="1" ht="21" customHeight="1">
      <c r="A427" s="56"/>
      <c r="B427" s="77"/>
      <c r="C427" s="56">
        <v>4260</v>
      </c>
      <c r="D427" s="36" t="s">
        <v>119</v>
      </c>
      <c r="E427" s="70">
        <v>6000</v>
      </c>
      <c r="F427" s="70"/>
      <c r="G427" s="70">
        <f>SUM(E427:F427)</f>
        <v>6000</v>
      </c>
      <c r="H427" s="70"/>
      <c r="I427" s="70">
        <f>SUM(G427:H427)</f>
        <v>6000</v>
      </c>
      <c r="J427" s="70"/>
      <c r="K427" s="70">
        <f>SUM(I427:J427)</f>
        <v>6000</v>
      </c>
      <c r="L427" s="70"/>
      <c r="M427" s="70">
        <f>SUM(K427:L427)</f>
        <v>6000</v>
      </c>
      <c r="N427" s="70"/>
      <c r="O427" s="70">
        <f>SUM(M427:N427)</f>
        <v>6000</v>
      </c>
      <c r="P427" s="70"/>
      <c r="Q427" s="70">
        <f>SUM(O427:P427)</f>
        <v>6000</v>
      </c>
      <c r="R427" s="70"/>
      <c r="S427" s="70">
        <f>SUM(Q427:R427)</f>
        <v>6000</v>
      </c>
      <c r="T427" s="70"/>
      <c r="U427" s="70">
        <f>SUM(S427:T427)</f>
        <v>6000</v>
      </c>
      <c r="V427" s="70"/>
      <c r="W427" s="70">
        <f>SUM(U427:V427)</f>
        <v>6000</v>
      </c>
      <c r="X427" s="70"/>
      <c r="Y427" s="70">
        <f>SUM(W427:X427)</f>
        <v>6000</v>
      </c>
      <c r="Z427" s="70"/>
      <c r="AA427" s="70">
        <f t="shared" si="241"/>
        <v>6000</v>
      </c>
      <c r="AB427" s="70"/>
      <c r="AC427" s="70">
        <f t="shared" si="242"/>
        <v>6000</v>
      </c>
      <c r="AD427" s="105"/>
      <c r="AE427" s="105"/>
    </row>
    <row r="428" spans="1:31" s="22" customFormat="1" ht="21" customHeight="1">
      <c r="A428" s="56"/>
      <c r="B428" s="77"/>
      <c r="C428" s="76">
        <v>4300</v>
      </c>
      <c r="D428" s="80" t="s">
        <v>103</v>
      </c>
      <c r="E428" s="70">
        <f>24000+42000+5000</f>
        <v>71000</v>
      </c>
      <c r="F428" s="70"/>
      <c r="G428" s="70">
        <f>SUM(E428:F428)</f>
        <v>71000</v>
      </c>
      <c r="H428" s="70"/>
      <c r="I428" s="70">
        <f>SUM(G428:H428)</f>
        <v>71000</v>
      </c>
      <c r="J428" s="70"/>
      <c r="K428" s="70">
        <f>SUM(I428:J428)</f>
        <v>71000</v>
      </c>
      <c r="L428" s="70"/>
      <c r="M428" s="70">
        <f>SUM(K428:L428)</f>
        <v>71000</v>
      </c>
      <c r="N428" s="70"/>
      <c r="O428" s="70">
        <f>SUM(M428:N428)</f>
        <v>71000</v>
      </c>
      <c r="P428" s="70"/>
      <c r="Q428" s="70">
        <f>SUM(O428:P428)</f>
        <v>71000</v>
      </c>
      <c r="R428" s="70"/>
      <c r="S428" s="70">
        <f>SUM(Q428:R428)</f>
        <v>71000</v>
      </c>
      <c r="T428" s="70"/>
      <c r="U428" s="70">
        <f>SUM(S428:T428)</f>
        <v>71000</v>
      </c>
      <c r="V428" s="70"/>
      <c r="W428" s="70">
        <f>SUM(U428:V428)</f>
        <v>71000</v>
      </c>
      <c r="X428" s="70">
        <f>130000+5000</f>
        <v>135000</v>
      </c>
      <c r="Y428" s="70">
        <f>SUM(W428:X428)</f>
        <v>206000</v>
      </c>
      <c r="Z428" s="70">
        <f>-130000-10000</f>
        <v>-140000</v>
      </c>
      <c r="AA428" s="70">
        <f t="shared" si="241"/>
        <v>66000</v>
      </c>
      <c r="AB428" s="70"/>
      <c r="AC428" s="70">
        <f t="shared" si="242"/>
        <v>66000</v>
      </c>
      <c r="AD428" s="105"/>
      <c r="AE428" s="105"/>
    </row>
    <row r="429" spans="1:31" s="22" customFormat="1" ht="24">
      <c r="A429" s="56"/>
      <c r="B429" s="77"/>
      <c r="C429" s="76">
        <v>4390</v>
      </c>
      <c r="D429" s="36" t="s">
        <v>375</v>
      </c>
      <c r="E429" s="70">
        <v>10000</v>
      </c>
      <c r="F429" s="70"/>
      <c r="G429" s="70">
        <f>SUM(E429:F429)</f>
        <v>10000</v>
      </c>
      <c r="H429" s="70"/>
      <c r="I429" s="70">
        <f>SUM(G429:H429)</f>
        <v>10000</v>
      </c>
      <c r="J429" s="70"/>
      <c r="K429" s="70">
        <f>SUM(I429:J429)</f>
        <v>10000</v>
      </c>
      <c r="L429" s="70"/>
      <c r="M429" s="70">
        <f>SUM(K429:L429)</f>
        <v>10000</v>
      </c>
      <c r="N429" s="70"/>
      <c r="O429" s="70">
        <f>SUM(M429:N429)</f>
        <v>10000</v>
      </c>
      <c r="P429" s="70"/>
      <c r="Q429" s="70">
        <f>SUM(O429:P429)</f>
        <v>10000</v>
      </c>
      <c r="R429" s="70"/>
      <c r="S429" s="70">
        <f>SUM(Q429:R429)</f>
        <v>10000</v>
      </c>
      <c r="T429" s="70"/>
      <c r="U429" s="70">
        <f>SUM(S429:T429)</f>
        <v>10000</v>
      </c>
      <c r="V429" s="70"/>
      <c r="W429" s="70">
        <f>SUM(U429:V429)</f>
        <v>10000</v>
      </c>
      <c r="X429" s="70"/>
      <c r="Y429" s="70">
        <f>SUM(W429:X429)</f>
        <v>10000</v>
      </c>
      <c r="Z429" s="70"/>
      <c r="AA429" s="70">
        <f t="shared" si="241"/>
        <v>10000</v>
      </c>
      <c r="AB429" s="70"/>
      <c r="AC429" s="70">
        <f t="shared" si="242"/>
        <v>10000</v>
      </c>
      <c r="AD429" s="105"/>
      <c r="AE429" s="105"/>
    </row>
    <row r="430" spans="1:31" s="5" customFormat="1" ht="22.5" customHeight="1">
      <c r="A430" s="31" t="s">
        <v>86</v>
      </c>
      <c r="B430" s="32"/>
      <c r="C430" s="33"/>
      <c r="D430" s="34" t="s">
        <v>168</v>
      </c>
      <c r="E430" s="35">
        <f aca="true" t="shared" si="255" ref="E430:X430">SUM(E431,E439,E441,)</f>
        <v>2084980</v>
      </c>
      <c r="F430" s="35">
        <f t="shared" si="255"/>
        <v>85000</v>
      </c>
      <c r="G430" s="35">
        <f t="shared" si="255"/>
        <v>2169980</v>
      </c>
      <c r="H430" s="35">
        <f t="shared" si="255"/>
        <v>8000</v>
      </c>
      <c r="I430" s="35">
        <f t="shared" si="255"/>
        <v>2177980</v>
      </c>
      <c r="J430" s="35">
        <f t="shared" si="255"/>
        <v>0</v>
      </c>
      <c r="K430" s="35">
        <f t="shared" si="255"/>
        <v>2177980</v>
      </c>
      <c r="L430" s="35">
        <f t="shared" si="255"/>
        <v>0</v>
      </c>
      <c r="M430" s="35">
        <f t="shared" si="255"/>
        <v>2177980</v>
      </c>
      <c r="N430" s="35">
        <f t="shared" si="255"/>
        <v>0</v>
      </c>
      <c r="O430" s="35">
        <f t="shared" si="255"/>
        <v>2177980</v>
      </c>
      <c r="P430" s="35">
        <f t="shared" si="255"/>
        <v>0</v>
      </c>
      <c r="Q430" s="35">
        <f t="shared" si="255"/>
        <v>2177980</v>
      </c>
      <c r="R430" s="35">
        <f t="shared" si="255"/>
        <v>0</v>
      </c>
      <c r="S430" s="35">
        <f t="shared" si="255"/>
        <v>2177980</v>
      </c>
      <c r="T430" s="35">
        <f t="shared" si="255"/>
        <v>3258</v>
      </c>
      <c r="U430" s="35">
        <f t="shared" si="255"/>
        <v>2181238</v>
      </c>
      <c r="V430" s="35">
        <f t="shared" si="255"/>
        <v>0</v>
      </c>
      <c r="W430" s="35">
        <f t="shared" si="255"/>
        <v>2181238</v>
      </c>
      <c r="X430" s="35">
        <f t="shared" si="255"/>
        <v>-2622</v>
      </c>
      <c r="Y430" s="35">
        <f>SUM(Y431,Y439,Y441,Y443)</f>
        <v>2178616</v>
      </c>
      <c r="Z430" s="35">
        <f>SUM(Z431,Z439,Z441,Z443)</f>
        <v>14665</v>
      </c>
      <c r="AA430" s="35">
        <f>SUM(AA431,AA439,AA441,AA443)</f>
        <v>2193281</v>
      </c>
      <c r="AB430" s="35">
        <f>SUM(AB431,AB439,AB441,AB443)</f>
        <v>0</v>
      </c>
      <c r="AC430" s="35">
        <f>SUM(AC431,AC439,AC441,AC443)</f>
        <v>2193281</v>
      </c>
      <c r="AD430" s="130"/>
      <c r="AE430" s="130"/>
    </row>
    <row r="431" spans="1:31" s="22" customFormat="1" ht="21" customHeight="1">
      <c r="A431" s="56"/>
      <c r="B431" s="72" t="s">
        <v>169</v>
      </c>
      <c r="C431" s="76"/>
      <c r="D431" s="36" t="s">
        <v>181</v>
      </c>
      <c r="E431" s="70">
        <f aca="true" t="shared" si="256" ref="E431:Z431">SUM(E432:E438)</f>
        <v>682240</v>
      </c>
      <c r="F431" s="70">
        <f t="shared" si="256"/>
        <v>85000</v>
      </c>
      <c r="G431" s="70">
        <f t="shared" si="256"/>
        <v>767240</v>
      </c>
      <c r="H431" s="70">
        <f t="shared" si="256"/>
        <v>5500</v>
      </c>
      <c r="I431" s="70">
        <f t="shared" si="256"/>
        <v>772740</v>
      </c>
      <c r="J431" s="70">
        <f t="shared" si="256"/>
        <v>0</v>
      </c>
      <c r="K431" s="70">
        <f t="shared" si="256"/>
        <v>772740</v>
      </c>
      <c r="L431" s="70">
        <f t="shared" si="256"/>
        <v>0</v>
      </c>
      <c r="M431" s="70">
        <f t="shared" si="256"/>
        <v>772740</v>
      </c>
      <c r="N431" s="70">
        <f t="shared" si="256"/>
        <v>0</v>
      </c>
      <c r="O431" s="70">
        <f t="shared" si="256"/>
        <v>772740</v>
      </c>
      <c r="P431" s="70">
        <f t="shared" si="256"/>
        <v>0</v>
      </c>
      <c r="Q431" s="70">
        <f t="shared" si="256"/>
        <v>772740</v>
      </c>
      <c r="R431" s="70">
        <f t="shared" si="256"/>
        <v>0</v>
      </c>
      <c r="S431" s="70">
        <f t="shared" si="256"/>
        <v>772740</v>
      </c>
      <c r="T431" s="70">
        <f t="shared" si="256"/>
        <v>3258</v>
      </c>
      <c r="U431" s="70">
        <f t="shared" si="256"/>
        <v>775998</v>
      </c>
      <c r="V431" s="70">
        <f t="shared" si="256"/>
        <v>0</v>
      </c>
      <c r="W431" s="70">
        <f t="shared" si="256"/>
        <v>775998</v>
      </c>
      <c r="X431" s="70">
        <f t="shared" si="256"/>
        <v>-2622</v>
      </c>
      <c r="Y431" s="70">
        <f t="shared" si="256"/>
        <v>773376</v>
      </c>
      <c r="Z431" s="70">
        <f t="shared" si="256"/>
        <v>-6485</v>
      </c>
      <c r="AA431" s="70">
        <f aca="true" t="shared" si="257" ref="AA431:AA461">SUM(Y431:Z431)</f>
        <v>766891</v>
      </c>
      <c r="AB431" s="70">
        <f>SUM(AB432:AB438)</f>
        <v>0</v>
      </c>
      <c r="AC431" s="70">
        <f aca="true" t="shared" si="258" ref="AC431:AC461">SUM(AA431:AB431)</f>
        <v>766891</v>
      </c>
      <c r="AD431" s="105"/>
      <c r="AE431" s="105"/>
    </row>
    <row r="432" spans="1:31" s="22" customFormat="1" ht="30.75" customHeight="1">
      <c r="A432" s="56"/>
      <c r="B432" s="72"/>
      <c r="C432" s="76">
        <v>2480</v>
      </c>
      <c r="D432" s="36" t="s">
        <v>224</v>
      </c>
      <c r="E432" s="70">
        <f>425200+5000+63000+121000</f>
        <v>614200</v>
      </c>
      <c r="F432" s="70">
        <f>15000+60000</f>
        <v>75000</v>
      </c>
      <c r="G432" s="70">
        <f aca="true" t="shared" si="259" ref="G432:G438">SUM(E432:F432)</f>
        <v>689200</v>
      </c>
      <c r="H432" s="70">
        <f>1500+500+3500</f>
        <v>5500</v>
      </c>
      <c r="I432" s="70">
        <f aca="true" t="shared" si="260" ref="I432:I438">SUM(G432:H432)</f>
        <v>694700</v>
      </c>
      <c r="J432" s="70"/>
      <c r="K432" s="70">
        <f aca="true" t="shared" si="261" ref="K432:K438">SUM(I432:J432)</f>
        <v>694700</v>
      </c>
      <c r="L432" s="70"/>
      <c r="M432" s="70">
        <f aca="true" t="shared" si="262" ref="M432:M438">SUM(K432:L432)</f>
        <v>694700</v>
      </c>
      <c r="N432" s="70"/>
      <c r="O432" s="70">
        <f aca="true" t="shared" si="263" ref="O432:O438">SUM(M432:N432)</f>
        <v>694700</v>
      </c>
      <c r="P432" s="70"/>
      <c r="Q432" s="70">
        <f aca="true" t="shared" si="264" ref="Q432:Q438">SUM(O432:P432)</f>
        <v>694700</v>
      </c>
      <c r="R432" s="70"/>
      <c r="S432" s="70">
        <f aca="true" t="shared" si="265" ref="S432:S438">SUM(Q432:R432)</f>
        <v>694700</v>
      </c>
      <c r="T432" s="70"/>
      <c r="U432" s="70">
        <f aca="true" t="shared" si="266" ref="U432:U438">SUM(S432:T432)</f>
        <v>694700</v>
      </c>
      <c r="V432" s="70"/>
      <c r="W432" s="70">
        <f aca="true" t="shared" si="267" ref="W432:W438">SUM(U432:V432)</f>
        <v>694700</v>
      </c>
      <c r="X432" s="70"/>
      <c r="Y432" s="70">
        <f aca="true" t="shared" si="268" ref="Y432:Y438">SUM(W432:X432)</f>
        <v>694700</v>
      </c>
      <c r="Z432" s="70"/>
      <c r="AA432" s="70">
        <f t="shared" si="257"/>
        <v>694700</v>
      </c>
      <c r="AB432" s="70"/>
      <c r="AC432" s="70">
        <f t="shared" si="258"/>
        <v>694700</v>
      </c>
      <c r="AD432" s="105"/>
      <c r="AE432" s="105"/>
    </row>
    <row r="433" spans="1:31" s="22" customFormat="1" ht="21" customHeight="1">
      <c r="A433" s="56"/>
      <c r="B433" s="72"/>
      <c r="C433" s="56">
        <v>4210</v>
      </c>
      <c r="D433" s="36" t="s">
        <v>116</v>
      </c>
      <c r="E433" s="70">
        <v>23830</v>
      </c>
      <c r="F433" s="70"/>
      <c r="G433" s="70">
        <f t="shared" si="259"/>
        <v>23830</v>
      </c>
      <c r="H433" s="70"/>
      <c r="I433" s="70">
        <f t="shared" si="260"/>
        <v>23830</v>
      </c>
      <c r="J433" s="70"/>
      <c r="K433" s="70">
        <f t="shared" si="261"/>
        <v>23830</v>
      </c>
      <c r="L433" s="70"/>
      <c r="M433" s="70">
        <f t="shared" si="262"/>
        <v>23830</v>
      </c>
      <c r="N433" s="70"/>
      <c r="O433" s="70">
        <f t="shared" si="263"/>
        <v>23830</v>
      </c>
      <c r="P433" s="70"/>
      <c r="Q433" s="70">
        <f t="shared" si="264"/>
        <v>23830</v>
      </c>
      <c r="R433" s="70"/>
      <c r="S433" s="70">
        <f t="shared" si="265"/>
        <v>23830</v>
      </c>
      <c r="T433" s="70">
        <f>1000-260</f>
        <v>740</v>
      </c>
      <c r="U433" s="70">
        <f t="shared" si="266"/>
        <v>24570</v>
      </c>
      <c r="V433" s="70">
        <v>-170</v>
      </c>
      <c r="W433" s="70">
        <f t="shared" si="267"/>
        <v>24400</v>
      </c>
      <c r="X433" s="70">
        <v>-1880</v>
      </c>
      <c r="Y433" s="70">
        <f t="shared" si="268"/>
        <v>22520</v>
      </c>
      <c r="Z433" s="70">
        <f>-5040-1000</f>
        <v>-6040</v>
      </c>
      <c r="AA433" s="70">
        <f t="shared" si="257"/>
        <v>16480</v>
      </c>
      <c r="AB433" s="70">
        <v>-250</v>
      </c>
      <c r="AC433" s="70">
        <f t="shared" si="258"/>
        <v>16230</v>
      </c>
      <c r="AD433" s="105"/>
      <c r="AE433" s="105"/>
    </row>
    <row r="434" spans="1:31" s="22" customFormat="1" ht="24" customHeight="1">
      <c r="A434" s="56"/>
      <c r="B434" s="72"/>
      <c r="C434" s="56">
        <v>4260</v>
      </c>
      <c r="D434" s="36" t="s">
        <v>119</v>
      </c>
      <c r="E434" s="70">
        <v>12000</v>
      </c>
      <c r="F434" s="70"/>
      <c r="G434" s="70">
        <f t="shared" si="259"/>
        <v>12000</v>
      </c>
      <c r="H434" s="70"/>
      <c r="I434" s="70">
        <f t="shared" si="260"/>
        <v>12000</v>
      </c>
      <c r="J434" s="70"/>
      <c r="K434" s="70">
        <f t="shared" si="261"/>
        <v>12000</v>
      </c>
      <c r="L434" s="70"/>
      <c r="M434" s="70">
        <f t="shared" si="262"/>
        <v>12000</v>
      </c>
      <c r="N434" s="70"/>
      <c r="O434" s="70">
        <f t="shared" si="263"/>
        <v>12000</v>
      </c>
      <c r="P434" s="70"/>
      <c r="Q434" s="70">
        <f t="shared" si="264"/>
        <v>12000</v>
      </c>
      <c r="R434" s="70"/>
      <c r="S434" s="70">
        <f t="shared" si="265"/>
        <v>12000</v>
      </c>
      <c r="T434" s="70"/>
      <c r="U434" s="70">
        <f t="shared" si="266"/>
        <v>12000</v>
      </c>
      <c r="V434" s="70"/>
      <c r="W434" s="70">
        <f t="shared" si="267"/>
        <v>12000</v>
      </c>
      <c r="X434" s="70">
        <v>-232</v>
      </c>
      <c r="Y434" s="70">
        <f t="shared" si="268"/>
        <v>11768</v>
      </c>
      <c r="Z434" s="70">
        <v>690</v>
      </c>
      <c r="AA434" s="70">
        <f t="shared" si="257"/>
        <v>12458</v>
      </c>
      <c r="AB434" s="70">
        <v>250</v>
      </c>
      <c r="AC434" s="70">
        <f t="shared" si="258"/>
        <v>12708</v>
      </c>
      <c r="AD434" s="105"/>
      <c r="AE434" s="105"/>
    </row>
    <row r="435" spans="1:31" s="22" customFormat="1" ht="26.25" customHeight="1">
      <c r="A435" s="56"/>
      <c r="B435" s="72"/>
      <c r="C435" s="56">
        <v>4270</v>
      </c>
      <c r="D435" s="36" t="s">
        <v>102</v>
      </c>
      <c r="E435" s="70">
        <f>19230+2000-350</f>
        <v>20880</v>
      </c>
      <c r="F435" s="70">
        <v>5000</v>
      </c>
      <c r="G435" s="70">
        <f t="shared" si="259"/>
        <v>25880</v>
      </c>
      <c r="H435" s="70"/>
      <c r="I435" s="70">
        <f t="shared" si="260"/>
        <v>25880</v>
      </c>
      <c r="J435" s="70"/>
      <c r="K435" s="70">
        <f t="shared" si="261"/>
        <v>25880</v>
      </c>
      <c r="L435" s="70"/>
      <c r="M435" s="70">
        <f t="shared" si="262"/>
        <v>25880</v>
      </c>
      <c r="N435" s="70"/>
      <c r="O435" s="70">
        <f t="shared" si="263"/>
        <v>25880</v>
      </c>
      <c r="P435" s="70"/>
      <c r="Q435" s="70">
        <f t="shared" si="264"/>
        <v>25880</v>
      </c>
      <c r="R435" s="70">
        <v>-2000</v>
      </c>
      <c r="S435" s="70">
        <f t="shared" si="265"/>
        <v>23880</v>
      </c>
      <c r="T435" s="70">
        <v>2000</v>
      </c>
      <c r="U435" s="70">
        <f t="shared" si="266"/>
        <v>25880</v>
      </c>
      <c r="V435" s="70"/>
      <c r="W435" s="70">
        <f t="shared" si="267"/>
        <v>25880</v>
      </c>
      <c r="X435" s="70">
        <v>-1500</v>
      </c>
      <c r="Y435" s="70">
        <f t="shared" si="268"/>
        <v>24380</v>
      </c>
      <c r="Z435" s="70">
        <f>6940+1000</f>
        <v>7940</v>
      </c>
      <c r="AA435" s="70">
        <f t="shared" si="257"/>
        <v>32320</v>
      </c>
      <c r="AB435" s="70"/>
      <c r="AC435" s="70">
        <f t="shared" si="258"/>
        <v>32320</v>
      </c>
      <c r="AD435" s="105"/>
      <c r="AE435" s="105"/>
    </row>
    <row r="436" spans="1:31" s="22" customFormat="1" ht="21" customHeight="1">
      <c r="A436" s="56"/>
      <c r="B436" s="72"/>
      <c r="C436" s="76">
        <v>4300</v>
      </c>
      <c r="D436" s="80" t="s">
        <v>103</v>
      </c>
      <c r="E436" s="70">
        <f>9495+350</f>
        <v>9845</v>
      </c>
      <c r="F436" s="70"/>
      <c r="G436" s="70">
        <f t="shared" si="259"/>
        <v>9845</v>
      </c>
      <c r="H436" s="70"/>
      <c r="I436" s="70">
        <f t="shared" si="260"/>
        <v>9845</v>
      </c>
      <c r="J436" s="70"/>
      <c r="K436" s="70">
        <f t="shared" si="261"/>
        <v>9845</v>
      </c>
      <c r="L436" s="70"/>
      <c r="M436" s="70">
        <f t="shared" si="262"/>
        <v>9845</v>
      </c>
      <c r="N436" s="70"/>
      <c r="O436" s="70">
        <f t="shared" si="263"/>
        <v>9845</v>
      </c>
      <c r="P436" s="70"/>
      <c r="Q436" s="70">
        <f t="shared" si="264"/>
        <v>9845</v>
      </c>
      <c r="R436" s="70"/>
      <c r="S436" s="70">
        <f t="shared" si="265"/>
        <v>9845</v>
      </c>
      <c r="T436" s="70">
        <f>258+260</f>
        <v>518</v>
      </c>
      <c r="U436" s="70">
        <f t="shared" si="266"/>
        <v>10363</v>
      </c>
      <c r="V436" s="70">
        <v>170</v>
      </c>
      <c r="W436" s="70">
        <f t="shared" si="267"/>
        <v>10533</v>
      </c>
      <c r="X436" s="70">
        <v>-510</v>
      </c>
      <c r="Y436" s="70">
        <f t="shared" si="268"/>
        <v>10023</v>
      </c>
      <c r="Z436" s="70">
        <v>-9075</v>
      </c>
      <c r="AA436" s="70">
        <f t="shared" si="257"/>
        <v>948</v>
      </c>
      <c r="AB436" s="70"/>
      <c r="AC436" s="70">
        <f t="shared" si="258"/>
        <v>948</v>
      </c>
      <c r="AD436" s="105"/>
      <c r="AE436" s="105"/>
    </row>
    <row r="437" spans="1:31" s="22" customFormat="1" ht="26.25" customHeight="1">
      <c r="A437" s="56"/>
      <c r="B437" s="72"/>
      <c r="C437" s="76">
        <v>4430</v>
      </c>
      <c r="D437" s="80" t="s">
        <v>118</v>
      </c>
      <c r="E437" s="70">
        <v>1485</v>
      </c>
      <c r="F437" s="70"/>
      <c r="G437" s="70">
        <f t="shared" si="259"/>
        <v>1485</v>
      </c>
      <c r="H437" s="70"/>
      <c r="I437" s="70">
        <f t="shared" si="260"/>
        <v>1485</v>
      </c>
      <c r="J437" s="70"/>
      <c r="K437" s="70">
        <f t="shared" si="261"/>
        <v>1485</v>
      </c>
      <c r="L437" s="70"/>
      <c r="M437" s="70">
        <f t="shared" si="262"/>
        <v>1485</v>
      </c>
      <c r="N437" s="70"/>
      <c r="O437" s="70">
        <f t="shared" si="263"/>
        <v>1485</v>
      </c>
      <c r="P437" s="70"/>
      <c r="Q437" s="70">
        <f t="shared" si="264"/>
        <v>1485</v>
      </c>
      <c r="R437" s="70"/>
      <c r="S437" s="70">
        <f t="shared" si="265"/>
        <v>1485</v>
      </c>
      <c r="T437" s="70"/>
      <c r="U437" s="70">
        <f t="shared" si="266"/>
        <v>1485</v>
      </c>
      <c r="V437" s="70"/>
      <c r="W437" s="70">
        <f t="shared" si="267"/>
        <v>1485</v>
      </c>
      <c r="X437" s="70"/>
      <c r="Y437" s="70">
        <f t="shared" si="268"/>
        <v>1485</v>
      </c>
      <c r="Z437" s="70"/>
      <c r="AA437" s="70">
        <f t="shared" si="257"/>
        <v>1485</v>
      </c>
      <c r="AB437" s="70"/>
      <c r="AC437" s="70">
        <f t="shared" si="258"/>
        <v>1485</v>
      </c>
      <c r="AD437" s="105"/>
      <c r="AE437" s="105"/>
    </row>
    <row r="438" spans="1:33" s="22" customFormat="1" ht="21" customHeight="1">
      <c r="A438" s="56"/>
      <c r="B438" s="72"/>
      <c r="C438" s="76">
        <v>6050</v>
      </c>
      <c r="D438" s="36" t="s">
        <v>97</v>
      </c>
      <c r="E438" s="70">
        <v>0</v>
      </c>
      <c r="F438" s="70">
        <v>5000</v>
      </c>
      <c r="G438" s="70">
        <f t="shared" si="259"/>
        <v>5000</v>
      </c>
      <c r="H438" s="70"/>
      <c r="I438" s="70">
        <f t="shared" si="260"/>
        <v>5000</v>
      </c>
      <c r="J438" s="70"/>
      <c r="K438" s="70">
        <f t="shared" si="261"/>
        <v>5000</v>
      </c>
      <c r="L438" s="70"/>
      <c r="M438" s="70">
        <f t="shared" si="262"/>
        <v>5000</v>
      </c>
      <c r="N438" s="70"/>
      <c r="O438" s="70">
        <f t="shared" si="263"/>
        <v>5000</v>
      </c>
      <c r="P438" s="70"/>
      <c r="Q438" s="70">
        <f t="shared" si="264"/>
        <v>5000</v>
      </c>
      <c r="R438" s="70">
        <v>2000</v>
      </c>
      <c r="S438" s="70">
        <f t="shared" si="265"/>
        <v>7000</v>
      </c>
      <c r="T438" s="70"/>
      <c r="U438" s="70">
        <f t="shared" si="266"/>
        <v>7000</v>
      </c>
      <c r="V438" s="70"/>
      <c r="W438" s="70">
        <f t="shared" si="267"/>
        <v>7000</v>
      </c>
      <c r="X438" s="70">
        <v>1500</v>
      </c>
      <c r="Y438" s="70">
        <f t="shared" si="268"/>
        <v>8500</v>
      </c>
      <c r="Z438" s="70"/>
      <c r="AA438" s="70">
        <f t="shared" si="257"/>
        <v>8500</v>
      </c>
      <c r="AB438" s="70"/>
      <c r="AC438" s="70">
        <f t="shared" si="258"/>
        <v>8500</v>
      </c>
      <c r="AD438" s="105"/>
      <c r="AE438" s="105"/>
      <c r="AF438" s="105"/>
      <c r="AG438" s="105"/>
    </row>
    <row r="439" spans="1:31" s="22" customFormat="1" ht="18.75" customHeight="1">
      <c r="A439" s="56"/>
      <c r="B439" s="72" t="s">
        <v>87</v>
      </c>
      <c r="C439" s="76"/>
      <c r="D439" s="36" t="s">
        <v>88</v>
      </c>
      <c r="E439" s="70">
        <f aca="true" t="shared" si="269" ref="E439:AB439">E440</f>
        <v>961740</v>
      </c>
      <c r="F439" s="70">
        <f t="shared" si="269"/>
        <v>0</v>
      </c>
      <c r="G439" s="70">
        <f t="shared" si="269"/>
        <v>961740</v>
      </c>
      <c r="H439" s="70">
        <f t="shared" si="269"/>
        <v>500</v>
      </c>
      <c r="I439" s="70">
        <f t="shared" si="269"/>
        <v>962240</v>
      </c>
      <c r="J439" s="70">
        <f t="shared" si="269"/>
        <v>0</v>
      </c>
      <c r="K439" s="70">
        <f t="shared" si="269"/>
        <v>962240</v>
      </c>
      <c r="L439" s="70">
        <f t="shared" si="269"/>
        <v>0</v>
      </c>
      <c r="M439" s="70">
        <f t="shared" si="269"/>
        <v>962240</v>
      </c>
      <c r="N439" s="70">
        <f t="shared" si="269"/>
        <v>0</v>
      </c>
      <c r="O439" s="70">
        <f t="shared" si="269"/>
        <v>962240</v>
      </c>
      <c r="P439" s="70">
        <f t="shared" si="269"/>
        <v>0</v>
      </c>
      <c r="Q439" s="70">
        <f t="shared" si="269"/>
        <v>962240</v>
      </c>
      <c r="R439" s="70">
        <f t="shared" si="269"/>
        <v>0</v>
      </c>
      <c r="S439" s="70">
        <f t="shared" si="269"/>
        <v>962240</v>
      </c>
      <c r="T439" s="70">
        <f t="shared" si="269"/>
        <v>0</v>
      </c>
      <c r="U439" s="70">
        <f t="shared" si="269"/>
        <v>962240</v>
      </c>
      <c r="V439" s="70">
        <f t="shared" si="269"/>
        <v>0</v>
      </c>
      <c r="W439" s="70">
        <f t="shared" si="269"/>
        <v>962240</v>
      </c>
      <c r="X439" s="70">
        <f t="shared" si="269"/>
        <v>0</v>
      </c>
      <c r="Y439" s="70">
        <f t="shared" si="269"/>
        <v>962240</v>
      </c>
      <c r="Z439" s="70">
        <f t="shared" si="269"/>
        <v>0</v>
      </c>
      <c r="AA439" s="70">
        <f t="shared" si="257"/>
        <v>962240</v>
      </c>
      <c r="AB439" s="70">
        <f t="shared" si="269"/>
        <v>0</v>
      </c>
      <c r="AC439" s="70">
        <f t="shared" si="258"/>
        <v>962240</v>
      </c>
      <c r="AD439" s="105"/>
      <c r="AE439" s="105"/>
    </row>
    <row r="440" spans="1:31" s="22" customFormat="1" ht="26.25" customHeight="1">
      <c r="A440" s="56"/>
      <c r="B440" s="72"/>
      <c r="C440" s="76">
        <v>2480</v>
      </c>
      <c r="D440" s="36" t="s">
        <v>224</v>
      </c>
      <c r="E440" s="70">
        <f>45900+915840</f>
        <v>961740</v>
      </c>
      <c r="F440" s="70"/>
      <c r="G440" s="70">
        <f>SUM(E440:F440)</f>
        <v>961740</v>
      </c>
      <c r="H440" s="70">
        <v>500</v>
      </c>
      <c r="I440" s="70">
        <f>SUM(G440:H440)</f>
        <v>962240</v>
      </c>
      <c r="J440" s="70"/>
      <c r="K440" s="70">
        <f>SUM(I440:J440)</f>
        <v>962240</v>
      </c>
      <c r="L440" s="70"/>
      <c r="M440" s="70">
        <f>SUM(K440:L440)</f>
        <v>962240</v>
      </c>
      <c r="N440" s="70"/>
      <c r="O440" s="70">
        <f>SUM(M440:N440)</f>
        <v>962240</v>
      </c>
      <c r="P440" s="70"/>
      <c r="Q440" s="70">
        <f>SUM(O440:P440)</f>
        <v>962240</v>
      </c>
      <c r="R440" s="70"/>
      <c r="S440" s="70">
        <f>SUM(Q440:R440)</f>
        <v>962240</v>
      </c>
      <c r="T440" s="70"/>
      <c r="U440" s="70">
        <f>SUM(S440:T440)</f>
        <v>962240</v>
      </c>
      <c r="V440" s="70"/>
      <c r="W440" s="70">
        <f>SUM(U440:V440)</f>
        <v>962240</v>
      </c>
      <c r="X440" s="70"/>
      <c r="Y440" s="70">
        <f>SUM(W440:X440)</f>
        <v>962240</v>
      </c>
      <c r="Z440" s="70"/>
      <c r="AA440" s="70">
        <f t="shared" si="257"/>
        <v>962240</v>
      </c>
      <c r="AB440" s="70"/>
      <c r="AC440" s="70">
        <f t="shared" si="258"/>
        <v>962240</v>
      </c>
      <c r="AD440" s="105"/>
      <c r="AE440" s="105"/>
    </row>
    <row r="441" spans="1:31" s="22" customFormat="1" ht="20.25" customHeight="1">
      <c r="A441" s="56"/>
      <c r="B441" s="72" t="s">
        <v>170</v>
      </c>
      <c r="C441" s="76"/>
      <c r="D441" s="36" t="s">
        <v>171</v>
      </c>
      <c r="E441" s="70">
        <f aca="true" t="shared" si="270" ref="E441:AB441">E442</f>
        <v>441000</v>
      </c>
      <c r="F441" s="70">
        <f t="shared" si="270"/>
        <v>0</v>
      </c>
      <c r="G441" s="70">
        <f t="shared" si="270"/>
        <v>441000</v>
      </c>
      <c r="H441" s="70">
        <f t="shared" si="270"/>
        <v>2000</v>
      </c>
      <c r="I441" s="70">
        <f t="shared" si="270"/>
        <v>443000</v>
      </c>
      <c r="J441" s="70">
        <f t="shared" si="270"/>
        <v>0</v>
      </c>
      <c r="K441" s="70">
        <f t="shared" si="270"/>
        <v>443000</v>
      </c>
      <c r="L441" s="70">
        <f t="shared" si="270"/>
        <v>0</v>
      </c>
      <c r="M441" s="70">
        <f t="shared" si="270"/>
        <v>443000</v>
      </c>
      <c r="N441" s="70">
        <f t="shared" si="270"/>
        <v>0</v>
      </c>
      <c r="O441" s="70">
        <f t="shared" si="270"/>
        <v>443000</v>
      </c>
      <c r="P441" s="70">
        <f t="shared" si="270"/>
        <v>0</v>
      </c>
      <c r="Q441" s="70">
        <f t="shared" si="270"/>
        <v>443000</v>
      </c>
      <c r="R441" s="70">
        <f t="shared" si="270"/>
        <v>0</v>
      </c>
      <c r="S441" s="70">
        <f t="shared" si="270"/>
        <v>443000</v>
      </c>
      <c r="T441" s="70">
        <f t="shared" si="270"/>
        <v>0</v>
      </c>
      <c r="U441" s="70">
        <f t="shared" si="270"/>
        <v>443000</v>
      </c>
      <c r="V441" s="70">
        <f t="shared" si="270"/>
        <v>0</v>
      </c>
      <c r="W441" s="70">
        <f t="shared" si="270"/>
        <v>443000</v>
      </c>
      <c r="X441" s="70">
        <f t="shared" si="270"/>
        <v>0</v>
      </c>
      <c r="Y441" s="70">
        <f t="shared" si="270"/>
        <v>443000</v>
      </c>
      <c r="Z441" s="70">
        <f t="shared" si="270"/>
        <v>0</v>
      </c>
      <c r="AA441" s="70">
        <f t="shared" si="257"/>
        <v>443000</v>
      </c>
      <c r="AB441" s="70">
        <f t="shared" si="270"/>
        <v>0</v>
      </c>
      <c r="AC441" s="70">
        <f t="shared" si="258"/>
        <v>443000</v>
      </c>
      <c r="AD441" s="105"/>
      <c r="AE441" s="105"/>
    </row>
    <row r="442" spans="1:31" s="22" customFormat="1" ht="27" customHeight="1">
      <c r="A442" s="56"/>
      <c r="B442" s="72"/>
      <c r="C442" s="76">
        <v>2480</v>
      </c>
      <c r="D442" s="36" t="s">
        <v>224</v>
      </c>
      <c r="E442" s="70">
        <v>441000</v>
      </c>
      <c r="F442" s="70"/>
      <c r="G442" s="70">
        <f>SUM(E442:F442)</f>
        <v>441000</v>
      </c>
      <c r="H442" s="70">
        <f>500+1000+500</f>
        <v>2000</v>
      </c>
      <c r="I442" s="70">
        <f>SUM(G442:H442)</f>
        <v>443000</v>
      </c>
      <c r="J442" s="70"/>
      <c r="K442" s="70">
        <f>SUM(I442:J442)</f>
        <v>443000</v>
      </c>
      <c r="L442" s="70"/>
      <c r="M442" s="70">
        <f>SUM(K442:L442)</f>
        <v>443000</v>
      </c>
      <c r="N442" s="70"/>
      <c r="O442" s="70">
        <f>SUM(M442:N442)</f>
        <v>443000</v>
      </c>
      <c r="P442" s="70"/>
      <c r="Q442" s="70">
        <f>SUM(O442:P442)</f>
        <v>443000</v>
      </c>
      <c r="R442" s="70"/>
      <c r="S442" s="70">
        <f>SUM(Q442:R442)</f>
        <v>443000</v>
      </c>
      <c r="T442" s="70"/>
      <c r="U442" s="70">
        <f>SUM(S442:T442)</f>
        <v>443000</v>
      </c>
      <c r="V442" s="70"/>
      <c r="W442" s="70">
        <f>SUM(U442:V442)</f>
        <v>443000</v>
      </c>
      <c r="X442" s="70"/>
      <c r="Y442" s="70">
        <f>SUM(W442:X442)</f>
        <v>443000</v>
      </c>
      <c r="Z442" s="70"/>
      <c r="AA442" s="70">
        <f t="shared" si="257"/>
        <v>443000</v>
      </c>
      <c r="AB442" s="70"/>
      <c r="AC442" s="70">
        <f t="shared" si="258"/>
        <v>443000</v>
      </c>
      <c r="AD442" s="105"/>
      <c r="AE442" s="105"/>
    </row>
    <row r="443" spans="1:31" s="22" customFormat="1" ht="21.75" customHeight="1">
      <c r="A443" s="56"/>
      <c r="B443" s="72">
        <v>92120</v>
      </c>
      <c r="C443" s="76"/>
      <c r="D443" s="36" t="s">
        <v>350</v>
      </c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>
        <f>SUM(Y444)</f>
        <v>0</v>
      </c>
      <c r="Z443" s="70">
        <f>SUM(Z444)</f>
        <v>21150</v>
      </c>
      <c r="AA443" s="70">
        <f t="shared" si="257"/>
        <v>21150</v>
      </c>
      <c r="AB443" s="70">
        <f>SUM(AB444)</f>
        <v>0</v>
      </c>
      <c r="AC443" s="70">
        <f t="shared" si="258"/>
        <v>21150</v>
      </c>
      <c r="AD443" s="105"/>
      <c r="AE443" s="105"/>
    </row>
    <row r="444" spans="1:31" s="22" customFormat="1" ht="60">
      <c r="A444" s="56"/>
      <c r="B444" s="72"/>
      <c r="C444" s="76">
        <v>2720</v>
      </c>
      <c r="D444" s="36" t="s">
        <v>351</v>
      </c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>
        <v>0</v>
      </c>
      <c r="Z444" s="70">
        <v>21150</v>
      </c>
      <c r="AA444" s="70">
        <f t="shared" si="257"/>
        <v>21150</v>
      </c>
      <c r="AB444" s="70"/>
      <c r="AC444" s="70">
        <f t="shared" si="258"/>
        <v>21150</v>
      </c>
      <c r="AD444" s="105"/>
      <c r="AE444" s="105"/>
    </row>
    <row r="445" spans="1:31" s="5" customFormat="1" ht="24.75" customHeight="1">
      <c r="A445" s="31" t="s">
        <v>172</v>
      </c>
      <c r="B445" s="32"/>
      <c r="C445" s="33"/>
      <c r="D445" s="34" t="s">
        <v>89</v>
      </c>
      <c r="E445" s="35">
        <f aca="true" t="shared" si="271" ref="E445:Z445">SUM(E451,E448,E446)</f>
        <v>1318390</v>
      </c>
      <c r="F445" s="35">
        <f t="shared" si="271"/>
        <v>400000</v>
      </c>
      <c r="G445" s="35">
        <f t="shared" si="271"/>
        <v>1718390</v>
      </c>
      <c r="H445" s="35">
        <f t="shared" si="271"/>
        <v>2900</v>
      </c>
      <c r="I445" s="35">
        <f t="shared" si="271"/>
        <v>1721290</v>
      </c>
      <c r="J445" s="35">
        <f t="shared" si="271"/>
        <v>0</v>
      </c>
      <c r="K445" s="35">
        <f t="shared" si="271"/>
        <v>1721290</v>
      </c>
      <c r="L445" s="35">
        <f t="shared" si="271"/>
        <v>0</v>
      </c>
      <c r="M445" s="35">
        <f t="shared" si="271"/>
        <v>1721290</v>
      </c>
      <c r="N445" s="35">
        <f t="shared" si="271"/>
        <v>0</v>
      </c>
      <c r="O445" s="35">
        <f t="shared" si="271"/>
        <v>1721290</v>
      </c>
      <c r="P445" s="35">
        <f t="shared" si="271"/>
        <v>187000</v>
      </c>
      <c r="Q445" s="35">
        <f t="shared" si="271"/>
        <v>1908290</v>
      </c>
      <c r="R445" s="35">
        <f t="shared" si="271"/>
        <v>0</v>
      </c>
      <c r="S445" s="35">
        <f t="shared" si="271"/>
        <v>1908290</v>
      </c>
      <c r="T445" s="35">
        <f t="shared" si="271"/>
        <v>-2000</v>
      </c>
      <c r="U445" s="35">
        <f t="shared" si="271"/>
        <v>1906290</v>
      </c>
      <c r="V445" s="35">
        <f t="shared" si="271"/>
        <v>0</v>
      </c>
      <c r="W445" s="35">
        <f t="shared" si="271"/>
        <v>1906290</v>
      </c>
      <c r="X445" s="35">
        <f t="shared" si="271"/>
        <v>-1650</v>
      </c>
      <c r="Y445" s="35">
        <f t="shared" si="271"/>
        <v>1904640</v>
      </c>
      <c r="Z445" s="35">
        <f t="shared" si="271"/>
        <v>-517702</v>
      </c>
      <c r="AA445" s="35">
        <f t="shared" si="257"/>
        <v>1386938</v>
      </c>
      <c r="AB445" s="35">
        <f>SUM(AB451,AB448,AB446)</f>
        <v>0</v>
      </c>
      <c r="AC445" s="35">
        <f t="shared" si="258"/>
        <v>1386938</v>
      </c>
      <c r="AD445" s="130"/>
      <c r="AE445" s="130"/>
    </row>
    <row r="446" spans="1:31" s="22" customFormat="1" ht="23.25" customHeight="1">
      <c r="A446" s="56"/>
      <c r="B446" s="77">
        <v>92601</v>
      </c>
      <c r="C446" s="76"/>
      <c r="D446" s="36" t="s">
        <v>320</v>
      </c>
      <c r="E446" s="70">
        <f aca="true" t="shared" si="272" ref="E446:AB446">SUM(E447)</f>
        <v>880000</v>
      </c>
      <c r="F446" s="70">
        <f t="shared" si="272"/>
        <v>240000</v>
      </c>
      <c r="G446" s="70">
        <f t="shared" si="272"/>
        <v>1120000</v>
      </c>
      <c r="H446" s="70">
        <f t="shared" si="272"/>
        <v>0</v>
      </c>
      <c r="I446" s="70">
        <f t="shared" si="272"/>
        <v>1120000</v>
      </c>
      <c r="J446" s="70">
        <f t="shared" si="272"/>
        <v>0</v>
      </c>
      <c r="K446" s="70">
        <f t="shared" si="272"/>
        <v>1120000</v>
      </c>
      <c r="L446" s="70">
        <f t="shared" si="272"/>
        <v>0</v>
      </c>
      <c r="M446" s="70">
        <f t="shared" si="272"/>
        <v>1120000</v>
      </c>
      <c r="N446" s="70">
        <f t="shared" si="272"/>
        <v>0</v>
      </c>
      <c r="O446" s="70">
        <f t="shared" si="272"/>
        <v>1120000</v>
      </c>
      <c r="P446" s="70">
        <f t="shared" si="272"/>
        <v>187000</v>
      </c>
      <c r="Q446" s="70">
        <f t="shared" si="272"/>
        <v>1307000</v>
      </c>
      <c r="R446" s="70">
        <f t="shared" si="272"/>
        <v>0</v>
      </c>
      <c r="S446" s="70">
        <f t="shared" si="272"/>
        <v>1307000</v>
      </c>
      <c r="T446" s="70">
        <f t="shared" si="272"/>
        <v>0</v>
      </c>
      <c r="U446" s="70">
        <f t="shared" si="272"/>
        <v>1307000</v>
      </c>
      <c r="V446" s="70">
        <f t="shared" si="272"/>
        <v>0</v>
      </c>
      <c r="W446" s="70">
        <f t="shared" si="272"/>
        <v>1307000</v>
      </c>
      <c r="X446" s="70">
        <f t="shared" si="272"/>
        <v>0</v>
      </c>
      <c r="Y446" s="70">
        <f t="shared" si="272"/>
        <v>1307000</v>
      </c>
      <c r="Z446" s="70">
        <f t="shared" si="272"/>
        <v>-537000</v>
      </c>
      <c r="AA446" s="70">
        <f t="shared" si="257"/>
        <v>770000</v>
      </c>
      <c r="AB446" s="70">
        <f t="shared" si="272"/>
        <v>0</v>
      </c>
      <c r="AC446" s="70">
        <f t="shared" si="258"/>
        <v>770000</v>
      </c>
      <c r="AD446" s="105"/>
      <c r="AE446" s="105"/>
    </row>
    <row r="447" spans="1:33" s="22" customFormat="1" ht="24.75" customHeight="1">
      <c r="A447" s="56"/>
      <c r="B447" s="77"/>
      <c r="C447" s="76">
        <v>6050</v>
      </c>
      <c r="D447" s="36" t="s">
        <v>97</v>
      </c>
      <c r="E447" s="70">
        <f>530000+350000</f>
        <v>880000</v>
      </c>
      <c r="F447" s="70">
        <f>-180000+70000+350000</f>
        <v>240000</v>
      </c>
      <c r="G447" s="70">
        <f>SUM(E447:F447)</f>
        <v>1120000</v>
      </c>
      <c r="H447" s="70"/>
      <c r="I447" s="70">
        <f>SUM(G447:H447)</f>
        <v>1120000</v>
      </c>
      <c r="J447" s="70"/>
      <c r="K447" s="70">
        <f>SUM(I447:J447)</f>
        <v>1120000</v>
      </c>
      <c r="L447" s="70"/>
      <c r="M447" s="70">
        <f>SUM(K447:L447)</f>
        <v>1120000</v>
      </c>
      <c r="N447" s="70"/>
      <c r="O447" s="70">
        <f>SUM(M447:N447)</f>
        <v>1120000</v>
      </c>
      <c r="P447" s="70">
        <f>187000</f>
        <v>187000</v>
      </c>
      <c r="Q447" s="70">
        <f>SUM(O447:P447)</f>
        <v>1307000</v>
      </c>
      <c r="R447" s="70"/>
      <c r="S447" s="70">
        <f>SUM(Q447:R447)</f>
        <v>1307000</v>
      </c>
      <c r="T447" s="70"/>
      <c r="U447" s="70">
        <f>SUM(S447:T447)</f>
        <v>1307000</v>
      </c>
      <c r="V447" s="70"/>
      <c r="W447" s="70">
        <f>SUM(U447:V447)</f>
        <v>1307000</v>
      </c>
      <c r="X447" s="70"/>
      <c r="Y447" s="70">
        <f>SUM(W447:X447)</f>
        <v>1307000</v>
      </c>
      <c r="Z447" s="70">
        <v>-537000</v>
      </c>
      <c r="AA447" s="70">
        <f t="shared" si="257"/>
        <v>770000</v>
      </c>
      <c r="AB447" s="70"/>
      <c r="AC447" s="70">
        <f t="shared" si="258"/>
        <v>770000</v>
      </c>
      <c r="AD447" s="105"/>
      <c r="AE447" s="105"/>
      <c r="AF447" s="105"/>
      <c r="AG447" s="105"/>
    </row>
    <row r="448" spans="1:31" s="22" customFormat="1" ht="19.5" customHeight="1">
      <c r="A448" s="56"/>
      <c r="B448" s="77">
        <v>92604</v>
      </c>
      <c r="C448" s="76"/>
      <c r="D448" s="36" t="s">
        <v>231</v>
      </c>
      <c r="E448" s="70">
        <f aca="true" t="shared" si="273" ref="E448:Z448">SUM(E449:E450)</f>
        <v>90000</v>
      </c>
      <c r="F448" s="70">
        <f t="shared" si="273"/>
        <v>30000</v>
      </c>
      <c r="G448" s="70">
        <f t="shared" si="273"/>
        <v>120000</v>
      </c>
      <c r="H448" s="70">
        <f t="shared" si="273"/>
        <v>0</v>
      </c>
      <c r="I448" s="70">
        <f t="shared" si="273"/>
        <v>120000</v>
      </c>
      <c r="J448" s="70">
        <f t="shared" si="273"/>
        <v>0</v>
      </c>
      <c r="K448" s="70">
        <f t="shared" si="273"/>
        <v>120000</v>
      </c>
      <c r="L448" s="70">
        <f t="shared" si="273"/>
        <v>0</v>
      </c>
      <c r="M448" s="70">
        <f t="shared" si="273"/>
        <v>120000</v>
      </c>
      <c r="N448" s="70">
        <f t="shared" si="273"/>
        <v>0</v>
      </c>
      <c r="O448" s="70">
        <f t="shared" si="273"/>
        <v>120000</v>
      </c>
      <c r="P448" s="70">
        <f t="shared" si="273"/>
        <v>0</v>
      </c>
      <c r="Q448" s="70">
        <f t="shared" si="273"/>
        <v>120000</v>
      </c>
      <c r="R448" s="70">
        <f t="shared" si="273"/>
        <v>0</v>
      </c>
      <c r="S448" s="70">
        <f t="shared" si="273"/>
        <v>120000</v>
      </c>
      <c r="T448" s="70">
        <f t="shared" si="273"/>
        <v>0</v>
      </c>
      <c r="U448" s="70">
        <f t="shared" si="273"/>
        <v>120000</v>
      </c>
      <c r="V448" s="70">
        <f t="shared" si="273"/>
        <v>0</v>
      </c>
      <c r="W448" s="70">
        <f t="shared" si="273"/>
        <v>120000</v>
      </c>
      <c r="X448" s="70">
        <f t="shared" si="273"/>
        <v>0</v>
      </c>
      <c r="Y448" s="70">
        <f t="shared" si="273"/>
        <v>120000</v>
      </c>
      <c r="Z448" s="70">
        <f t="shared" si="273"/>
        <v>0</v>
      </c>
      <c r="AA448" s="70">
        <f t="shared" si="257"/>
        <v>120000</v>
      </c>
      <c r="AB448" s="70">
        <f>SUM(AB449:AB450)</f>
        <v>0</v>
      </c>
      <c r="AC448" s="70">
        <f t="shared" si="258"/>
        <v>120000</v>
      </c>
      <c r="AD448" s="105"/>
      <c r="AE448" s="105"/>
    </row>
    <row r="449" spans="1:31" s="22" customFormat="1" ht="21.75" customHeight="1">
      <c r="A449" s="56"/>
      <c r="B449" s="77"/>
      <c r="C449" s="76">
        <v>4270</v>
      </c>
      <c r="D449" s="36" t="s">
        <v>102</v>
      </c>
      <c r="E449" s="70">
        <v>10000</v>
      </c>
      <c r="F449" s="70"/>
      <c r="G449" s="70">
        <f>SUM(E449:F449)</f>
        <v>10000</v>
      </c>
      <c r="H449" s="70"/>
      <c r="I449" s="70">
        <f>SUM(G449:H449)</f>
        <v>10000</v>
      </c>
      <c r="J449" s="70"/>
      <c r="K449" s="70">
        <f>SUM(I449:J449)</f>
        <v>10000</v>
      </c>
      <c r="L449" s="70"/>
      <c r="M449" s="70">
        <f>SUM(K449:L449)</f>
        <v>10000</v>
      </c>
      <c r="N449" s="70"/>
      <c r="O449" s="70">
        <f>SUM(M449:N449)</f>
        <v>10000</v>
      </c>
      <c r="P449" s="70"/>
      <c r="Q449" s="70">
        <f>SUM(O449:P449)</f>
        <v>10000</v>
      </c>
      <c r="R449" s="70"/>
      <c r="S449" s="70">
        <f>SUM(Q449:R449)</f>
        <v>10000</v>
      </c>
      <c r="T449" s="70"/>
      <c r="U449" s="70">
        <f>SUM(S449:T449)</f>
        <v>10000</v>
      </c>
      <c r="V449" s="70"/>
      <c r="W449" s="70">
        <f>SUM(U449:V449)</f>
        <v>10000</v>
      </c>
      <c r="X449" s="70"/>
      <c r="Y449" s="70">
        <f>SUM(W449:X449)</f>
        <v>10000</v>
      </c>
      <c r="Z449" s="70"/>
      <c r="AA449" s="70">
        <f t="shared" si="257"/>
        <v>10000</v>
      </c>
      <c r="AB449" s="70"/>
      <c r="AC449" s="70">
        <f t="shared" si="258"/>
        <v>10000</v>
      </c>
      <c r="AD449" s="105"/>
      <c r="AE449" s="105"/>
    </row>
    <row r="450" spans="1:31" s="22" customFormat="1" ht="21" customHeight="1">
      <c r="A450" s="56"/>
      <c r="B450" s="77"/>
      <c r="C450" s="76">
        <v>4300</v>
      </c>
      <c r="D450" s="80" t="s">
        <v>103</v>
      </c>
      <c r="E450" s="70">
        <f>60000+20000</f>
        <v>80000</v>
      </c>
      <c r="F450" s="70">
        <v>30000</v>
      </c>
      <c r="G450" s="70">
        <f>SUM(E450:F450)</f>
        <v>110000</v>
      </c>
      <c r="H450" s="70"/>
      <c r="I450" s="70">
        <f>SUM(G450:H450)</f>
        <v>110000</v>
      </c>
      <c r="J450" s="70"/>
      <c r="K450" s="70">
        <f>SUM(I450:J450)</f>
        <v>110000</v>
      </c>
      <c r="L450" s="70"/>
      <c r="M450" s="70">
        <f>SUM(K450:L450)</f>
        <v>110000</v>
      </c>
      <c r="N450" s="70"/>
      <c r="O450" s="70">
        <f>SUM(M450:N450)</f>
        <v>110000</v>
      </c>
      <c r="P450" s="70"/>
      <c r="Q450" s="70">
        <f>SUM(O450:P450)</f>
        <v>110000</v>
      </c>
      <c r="R450" s="70"/>
      <c r="S450" s="70">
        <f>SUM(Q450:R450)</f>
        <v>110000</v>
      </c>
      <c r="T450" s="70"/>
      <c r="U450" s="70">
        <f>SUM(S450:T450)</f>
        <v>110000</v>
      </c>
      <c r="V450" s="70"/>
      <c r="W450" s="70">
        <f>SUM(U450:V450)</f>
        <v>110000</v>
      </c>
      <c r="X450" s="70"/>
      <c r="Y450" s="70">
        <f>SUM(W450:X450)</f>
        <v>110000</v>
      </c>
      <c r="Z450" s="70"/>
      <c r="AA450" s="70">
        <f t="shared" si="257"/>
        <v>110000</v>
      </c>
      <c r="AB450" s="70"/>
      <c r="AC450" s="70">
        <f t="shared" si="258"/>
        <v>110000</v>
      </c>
      <c r="AD450" s="105"/>
      <c r="AE450" s="105"/>
    </row>
    <row r="451" spans="1:31" s="22" customFormat="1" ht="18.75" customHeight="1">
      <c r="A451" s="76"/>
      <c r="B451" s="79">
        <v>92605</v>
      </c>
      <c r="C451" s="76"/>
      <c r="D451" s="36" t="s">
        <v>90</v>
      </c>
      <c r="E451" s="70">
        <f aca="true" t="shared" si="274" ref="E451:R451">SUM(E452:E459)</f>
        <v>348390</v>
      </c>
      <c r="F451" s="70">
        <f t="shared" si="274"/>
        <v>130000</v>
      </c>
      <c r="G451" s="70">
        <f t="shared" si="274"/>
        <v>478390</v>
      </c>
      <c r="H451" s="70">
        <f t="shared" si="274"/>
        <v>2900</v>
      </c>
      <c r="I451" s="70">
        <f t="shared" si="274"/>
        <v>481290</v>
      </c>
      <c r="J451" s="70">
        <f t="shared" si="274"/>
        <v>0</v>
      </c>
      <c r="K451" s="70">
        <f t="shared" si="274"/>
        <v>481290</v>
      </c>
      <c r="L451" s="70">
        <f t="shared" si="274"/>
        <v>0</v>
      </c>
      <c r="M451" s="70">
        <f t="shared" si="274"/>
        <v>481290</v>
      </c>
      <c r="N451" s="70">
        <f t="shared" si="274"/>
        <v>0</v>
      </c>
      <c r="O451" s="70">
        <f t="shared" si="274"/>
        <v>481290</v>
      </c>
      <c r="P451" s="70">
        <f t="shared" si="274"/>
        <v>0</v>
      </c>
      <c r="Q451" s="70">
        <f t="shared" si="274"/>
        <v>481290</v>
      </c>
      <c r="R451" s="70">
        <f t="shared" si="274"/>
        <v>0</v>
      </c>
      <c r="S451" s="70">
        <f aca="true" t="shared" si="275" ref="S451:Z451">SUM(S452:S460)</f>
        <v>481290</v>
      </c>
      <c r="T451" s="70">
        <f t="shared" si="275"/>
        <v>-2000</v>
      </c>
      <c r="U451" s="70">
        <f t="shared" si="275"/>
        <v>479290</v>
      </c>
      <c r="V451" s="70">
        <f t="shared" si="275"/>
        <v>0</v>
      </c>
      <c r="W451" s="70">
        <f t="shared" si="275"/>
        <v>479290</v>
      </c>
      <c r="X451" s="70">
        <f t="shared" si="275"/>
        <v>-1650</v>
      </c>
      <c r="Y451" s="70">
        <f t="shared" si="275"/>
        <v>477640</v>
      </c>
      <c r="Z451" s="70">
        <f t="shared" si="275"/>
        <v>19298</v>
      </c>
      <c r="AA451" s="70">
        <f t="shared" si="257"/>
        <v>496938</v>
      </c>
      <c r="AB451" s="70">
        <f>SUM(AB452:AB460)</f>
        <v>0</v>
      </c>
      <c r="AC451" s="70">
        <f t="shared" si="258"/>
        <v>496938</v>
      </c>
      <c r="AD451" s="105"/>
      <c r="AE451" s="105"/>
    </row>
    <row r="452" spans="1:31" s="22" customFormat="1" ht="24">
      <c r="A452" s="76"/>
      <c r="B452" s="79"/>
      <c r="C452" s="76">
        <v>2630</v>
      </c>
      <c r="D452" s="36" t="s">
        <v>263</v>
      </c>
      <c r="E452" s="70">
        <f>250000+3100+1300+2000</f>
        <v>256400</v>
      </c>
      <c r="F452" s="70">
        <f>80000+30000</f>
        <v>110000</v>
      </c>
      <c r="G452" s="70">
        <f>SUM(E452:F452)</f>
        <v>366400</v>
      </c>
      <c r="H452" s="70"/>
      <c r="I452" s="70">
        <f>SUM(G452:H452)</f>
        <v>366400</v>
      </c>
      <c r="J452" s="70"/>
      <c r="K452" s="70">
        <f>SUM(I452:J452)</f>
        <v>366400</v>
      </c>
      <c r="L452" s="70">
        <v>-256400</v>
      </c>
      <c r="M452" s="70">
        <f aca="true" t="shared" si="276" ref="M452:M459">SUM(K452:L452)</f>
        <v>110000</v>
      </c>
      <c r="N452" s="70"/>
      <c r="O452" s="70">
        <f aca="true" t="shared" si="277" ref="O452:O459">SUM(M452:N452)</f>
        <v>110000</v>
      </c>
      <c r="P452" s="70"/>
      <c r="Q452" s="70">
        <f aca="true" t="shared" si="278" ref="Q452:Q459">SUM(O452:P452)</f>
        <v>110000</v>
      </c>
      <c r="R452" s="70"/>
      <c r="S452" s="70">
        <f aca="true" t="shared" si="279" ref="S452:S459">SUM(Q452:R452)</f>
        <v>110000</v>
      </c>
      <c r="T452" s="70"/>
      <c r="U452" s="70">
        <f aca="true" t="shared" si="280" ref="U452:U460">SUM(S452:T452)</f>
        <v>110000</v>
      </c>
      <c r="V452" s="70">
        <v>-110000</v>
      </c>
      <c r="W452" s="70">
        <f aca="true" t="shared" si="281" ref="W452:W460">SUM(U452:V452)</f>
        <v>0</v>
      </c>
      <c r="X452" s="70"/>
      <c r="Y452" s="70">
        <f aca="true" t="shared" si="282" ref="Y452:Y460">SUM(W452:X452)</f>
        <v>0</v>
      </c>
      <c r="Z452" s="70">
        <v>15000</v>
      </c>
      <c r="AA452" s="70">
        <f t="shared" si="257"/>
        <v>15000</v>
      </c>
      <c r="AB452" s="70"/>
      <c r="AC452" s="70">
        <f t="shared" si="258"/>
        <v>15000</v>
      </c>
      <c r="AD452" s="105"/>
      <c r="AE452" s="105"/>
    </row>
    <row r="453" spans="1:31" s="22" customFormat="1" ht="36">
      <c r="A453" s="76"/>
      <c r="B453" s="79"/>
      <c r="C453" s="76">
        <v>2820</v>
      </c>
      <c r="D453" s="36" t="s">
        <v>355</v>
      </c>
      <c r="E453" s="70"/>
      <c r="F453" s="70"/>
      <c r="G453" s="70"/>
      <c r="H453" s="70"/>
      <c r="I453" s="70"/>
      <c r="J453" s="70"/>
      <c r="K453" s="70">
        <v>0</v>
      </c>
      <c r="L453" s="70">
        <f>109500+67500+5400+9000+4700+4000+6000+8000+15000+6500+5000+13000+800+1100+900</f>
        <v>256400</v>
      </c>
      <c r="M453" s="70">
        <f t="shared" si="276"/>
        <v>256400</v>
      </c>
      <c r="N453" s="70"/>
      <c r="O453" s="70">
        <f t="shared" si="277"/>
        <v>256400</v>
      </c>
      <c r="P453" s="70"/>
      <c r="Q453" s="70">
        <f t="shared" si="278"/>
        <v>256400</v>
      </c>
      <c r="R453" s="70"/>
      <c r="S453" s="70">
        <f t="shared" si="279"/>
        <v>256400</v>
      </c>
      <c r="T453" s="70"/>
      <c r="U453" s="70">
        <f t="shared" si="280"/>
        <v>256400</v>
      </c>
      <c r="V453" s="70">
        <v>110000</v>
      </c>
      <c r="W453" s="70">
        <f t="shared" si="281"/>
        <v>366400</v>
      </c>
      <c r="X453" s="70"/>
      <c r="Y453" s="70">
        <f t="shared" si="282"/>
        <v>366400</v>
      </c>
      <c r="Z453" s="70"/>
      <c r="AA453" s="70">
        <f t="shared" si="257"/>
        <v>366400</v>
      </c>
      <c r="AB453" s="70"/>
      <c r="AC453" s="70">
        <f t="shared" si="258"/>
        <v>366400</v>
      </c>
      <c r="AD453" s="105"/>
      <c r="AE453" s="105"/>
    </row>
    <row r="454" spans="1:31" s="22" customFormat="1" ht="24" customHeight="1">
      <c r="A454" s="76"/>
      <c r="B454" s="79"/>
      <c r="C454" s="76">
        <v>4110</v>
      </c>
      <c r="D454" s="36" t="s">
        <v>110</v>
      </c>
      <c r="E454" s="70">
        <v>1000</v>
      </c>
      <c r="F454" s="70"/>
      <c r="G454" s="70">
        <f aca="true" t="shared" si="283" ref="G454:G459">SUM(E454:F454)</f>
        <v>1000</v>
      </c>
      <c r="H454" s="70"/>
      <c r="I454" s="70">
        <f aca="true" t="shared" si="284" ref="I454:I459">SUM(G454:H454)</f>
        <v>1000</v>
      </c>
      <c r="J454" s="70"/>
      <c r="K454" s="70">
        <f aca="true" t="shared" si="285" ref="K454:K459">SUM(I454:J454)</f>
        <v>1000</v>
      </c>
      <c r="L454" s="70"/>
      <c r="M454" s="70">
        <f t="shared" si="276"/>
        <v>1000</v>
      </c>
      <c r="N454" s="70"/>
      <c r="O454" s="70">
        <f t="shared" si="277"/>
        <v>1000</v>
      </c>
      <c r="P454" s="70"/>
      <c r="Q454" s="70">
        <f t="shared" si="278"/>
        <v>1000</v>
      </c>
      <c r="R454" s="70"/>
      <c r="S454" s="70">
        <f t="shared" si="279"/>
        <v>1000</v>
      </c>
      <c r="T454" s="70"/>
      <c r="U454" s="70">
        <f t="shared" si="280"/>
        <v>1000</v>
      </c>
      <c r="V454" s="70"/>
      <c r="W454" s="70">
        <f t="shared" si="281"/>
        <v>1000</v>
      </c>
      <c r="X454" s="70"/>
      <c r="Y454" s="70">
        <f t="shared" si="282"/>
        <v>1000</v>
      </c>
      <c r="Z454" s="70"/>
      <c r="AA454" s="70">
        <f t="shared" si="257"/>
        <v>1000</v>
      </c>
      <c r="AB454" s="70"/>
      <c r="AC454" s="70">
        <f t="shared" si="258"/>
        <v>1000</v>
      </c>
      <c r="AD454" s="105"/>
      <c r="AE454" s="105"/>
    </row>
    <row r="455" spans="1:31" s="22" customFormat="1" ht="23.25" customHeight="1">
      <c r="A455" s="76"/>
      <c r="B455" s="79"/>
      <c r="C455" s="76">
        <v>4120</v>
      </c>
      <c r="D455" s="36" t="s">
        <v>111</v>
      </c>
      <c r="E455" s="70">
        <v>100</v>
      </c>
      <c r="F455" s="70"/>
      <c r="G455" s="70">
        <f t="shared" si="283"/>
        <v>100</v>
      </c>
      <c r="H455" s="70"/>
      <c r="I455" s="70">
        <f t="shared" si="284"/>
        <v>100</v>
      </c>
      <c r="J455" s="70"/>
      <c r="K455" s="70">
        <f t="shared" si="285"/>
        <v>100</v>
      </c>
      <c r="L455" s="70"/>
      <c r="M455" s="70">
        <f t="shared" si="276"/>
        <v>100</v>
      </c>
      <c r="N455" s="70"/>
      <c r="O455" s="70">
        <f t="shared" si="277"/>
        <v>100</v>
      </c>
      <c r="P455" s="70"/>
      <c r="Q455" s="70">
        <f t="shared" si="278"/>
        <v>100</v>
      </c>
      <c r="R455" s="70"/>
      <c r="S455" s="70">
        <f t="shared" si="279"/>
        <v>100</v>
      </c>
      <c r="T455" s="70"/>
      <c r="U455" s="70">
        <f t="shared" si="280"/>
        <v>100</v>
      </c>
      <c r="V455" s="70"/>
      <c r="W455" s="70">
        <f t="shared" si="281"/>
        <v>100</v>
      </c>
      <c r="X455" s="70"/>
      <c r="Y455" s="70">
        <f t="shared" si="282"/>
        <v>100</v>
      </c>
      <c r="Z455" s="70"/>
      <c r="AA455" s="70">
        <f t="shared" si="257"/>
        <v>100</v>
      </c>
      <c r="AB455" s="70"/>
      <c r="AC455" s="70">
        <f t="shared" si="258"/>
        <v>100</v>
      </c>
      <c r="AD455" s="105"/>
      <c r="AE455" s="105"/>
    </row>
    <row r="456" spans="1:31" s="22" customFormat="1" ht="24" customHeight="1">
      <c r="A456" s="76"/>
      <c r="B456" s="79"/>
      <c r="C456" s="76">
        <v>4170</v>
      </c>
      <c r="D456" s="36" t="s">
        <v>230</v>
      </c>
      <c r="E456" s="70">
        <f>35000+5000-1000-100+15000</f>
        <v>53900</v>
      </c>
      <c r="F456" s="70">
        <v>8000</v>
      </c>
      <c r="G456" s="70">
        <f t="shared" si="283"/>
        <v>61900</v>
      </c>
      <c r="H456" s="70"/>
      <c r="I456" s="70">
        <f t="shared" si="284"/>
        <v>61900</v>
      </c>
      <c r="J456" s="70"/>
      <c r="K456" s="70">
        <f t="shared" si="285"/>
        <v>61900</v>
      </c>
      <c r="L456" s="70"/>
      <c r="M456" s="70">
        <f t="shared" si="276"/>
        <v>61900</v>
      </c>
      <c r="N456" s="70"/>
      <c r="O456" s="70">
        <f t="shared" si="277"/>
        <v>61900</v>
      </c>
      <c r="P456" s="70"/>
      <c r="Q456" s="70">
        <f t="shared" si="278"/>
        <v>61900</v>
      </c>
      <c r="R456" s="70"/>
      <c r="S456" s="70">
        <f t="shared" si="279"/>
        <v>61900</v>
      </c>
      <c r="T456" s="70"/>
      <c r="U456" s="70">
        <f t="shared" si="280"/>
        <v>61900</v>
      </c>
      <c r="V456" s="70"/>
      <c r="W456" s="70">
        <f t="shared" si="281"/>
        <v>61900</v>
      </c>
      <c r="X456" s="70"/>
      <c r="Y456" s="70">
        <f t="shared" si="282"/>
        <v>61900</v>
      </c>
      <c r="Z456" s="70"/>
      <c r="AA456" s="70">
        <f t="shared" si="257"/>
        <v>61900</v>
      </c>
      <c r="AB456" s="70"/>
      <c r="AC456" s="70">
        <f t="shared" si="258"/>
        <v>61900</v>
      </c>
      <c r="AD456" s="105"/>
      <c r="AE456" s="105"/>
    </row>
    <row r="457" spans="1:31" s="22" customFormat="1" ht="23.25" customHeight="1">
      <c r="A457" s="76"/>
      <c r="B457" s="72"/>
      <c r="C457" s="56">
        <v>4210</v>
      </c>
      <c r="D457" s="36" t="s">
        <v>116</v>
      </c>
      <c r="E457" s="70">
        <f>1300+2000+3150+500+1000+500+1000+900+7000</f>
        <v>17350</v>
      </c>
      <c r="F457" s="70">
        <v>4000</v>
      </c>
      <c r="G457" s="70">
        <f t="shared" si="283"/>
        <v>21350</v>
      </c>
      <c r="H457" s="70">
        <f>400+500+2000</f>
        <v>2900</v>
      </c>
      <c r="I457" s="70">
        <f t="shared" si="284"/>
        <v>24250</v>
      </c>
      <c r="J457" s="70"/>
      <c r="K457" s="70">
        <f t="shared" si="285"/>
        <v>24250</v>
      </c>
      <c r="L457" s="70"/>
      <c r="M457" s="70">
        <f t="shared" si="276"/>
        <v>24250</v>
      </c>
      <c r="N457" s="70"/>
      <c r="O457" s="70">
        <f t="shared" si="277"/>
        <v>24250</v>
      </c>
      <c r="P457" s="70">
        <v>-560</v>
      </c>
      <c r="Q457" s="70">
        <f t="shared" si="278"/>
        <v>23690</v>
      </c>
      <c r="R457" s="70"/>
      <c r="S457" s="70">
        <f t="shared" si="279"/>
        <v>23690</v>
      </c>
      <c r="T457" s="70">
        <v>-3200</v>
      </c>
      <c r="U457" s="70">
        <f t="shared" si="280"/>
        <v>20490</v>
      </c>
      <c r="V457" s="70">
        <v>2500</v>
      </c>
      <c r="W457" s="70">
        <f t="shared" si="281"/>
        <v>22990</v>
      </c>
      <c r="X457" s="70">
        <v>-1500</v>
      </c>
      <c r="Y457" s="70">
        <f t="shared" si="282"/>
        <v>21490</v>
      </c>
      <c r="Z457" s="70">
        <v>4896</v>
      </c>
      <c r="AA457" s="70">
        <f t="shared" si="257"/>
        <v>26386</v>
      </c>
      <c r="AB457" s="70">
        <f>-600-250</f>
        <v>-850</v>
      </c>
      <c r="AC457" s="70">
        <f t="shared" si="258"/>
        <v>25536</v>
      </c>
      <c r="AD457" s="105"/>
      <c r="AE457" s="105"/>
    </row>
    <row r="458" spans="1:31" s="22" customFormat="1" ht="24" customHeight="1">
      <c r="A458" s="76"/>
      <c r="B458" s="72"/>
      <c r="C458" s="56">
        <v>4260</v>
      </c>
      <c r="D458" s="36" t="s">
        <v>119</v>
      </c>
      <c r="E458" s="70">
        <v>500</v>
      </c>
      <c r="F458" s="70"/>
      <c r="G458" s="70">
        <f t="shared" si="283"/>
        <v>500</v>
      </c>
      <c r="H458" s="70"/>
      <c r="I458" s="70">
        <f t="shared" si="284"/>
        <v>500</v>
      </c>
      <c r="J458" s="70"/>
      <c r="K458" s="70">
        <f t="shared" si="285"/>
        <v>500</v>
      </c>
      <c r="L458" s="70"/>
      <c r="M458" s="70">
        <f t="shared" si="276"/>
        <v>500</v>
      </c>
      <c r="N458" s="70"/>
      <c r="O458" s="70">
        <f t="shared" si="277"/>
        <v>500</v>
      </c>
      <c r="P458" s="70"/>
      <c r="Q458" s="70">
        <f t="shared" si="278"/>
        <v>500</v>
      </c>
      <c r="R458" s="70"/>
      <c r="S458" s="70">
        <f t="shared" si="279"/>
        <v>500</v>
      </c>
      <c r="T458" s="70"/>
      <c r="U458" s="70">
        <f t="shared" si="280"/>
        <v>500</v>
      </c>
      <c r="V458" s="70"/>
      <c r="W458" s="70">
        <f t="shared" si="281"/>
        <v>500</v>
      </c>
      <c r="X458" s="70">
        <v>-150</v>
      </c>
      <c r="Y458" s="70">
        <f t="shared" si="282"/>
        <v>350</v>
      </c>
      <c r="Z458" s="70"/>
      <c r="AA458" s="70">
        <f t="shared" si="257"/>
        <v>350</v>
      </c>
      <c r="AB458" s="70"/>
      <c r="AC458" s="70">
        <f t="shared" si="258"/>
        <v>350</v>
      </c>
      <c r="AD458" s="105"/>
      <c r="AE458" s="105"/>
    </row>
    <row r="459" spans="1:31" s="22" customFormat="1" ht="23.25" customHeight="1">
      <c r="A459" s="76"/>
      <c r="B459" s="72"/>
      <c r="C459" s="76">
        <v>4300</v>
      </c>
      <c r="D459" s="80" t="s">
        <v>103</v>
      </c>
      <c r="E459" s="70">
        <f>2000+5000+12140</f>
        <v>19140</v>
      </c>
      <c r="F459" s="70">
        <v>8000</v>
      </c>
      <c r="G459" s="70">
        <f t="shared" si="283"/>
        <v>27140</v>
      </c>
      <c r="H459" s="70"/>
      <c r="I459" s="70">
        <f t="shared" si="284"/>
        <v>27140</v>
      </c>
      <c r="J459" s="70"/>
      <c r="K459" s="70">
        <f t="shared" si="285"/>
        <v>27140</v>
      </c>
      <c r="L459" s="70"/>
      <c r="M459" s="70">
        <f t="shared" si="276"/>
        <v>27140</v>
      </c>
      <c r="N459" s="70"/>
      <c r="O459" s="70">
        <f t="shared" si="277"/>
        <v>27140</v>
      </c>
      <c r="P459" s="70">
        <v>560</v>
      </c>
      <c r="Q459" s="70">
        <f t="shared" si="278"/>
        <v>27700</v>
      </c>
      <c r="R459" s="70"/>
      <c r="S459" s="70">
        <f t="shared" si="279"/>
        <v>27700</v>
      </c>
      <c r="T459" s="70">
        <v>-3200</v>
      </c>
      <c r="U459" s="70">
        <f t="shared" si="280"/>
        <v>24500</v>
      </c>
      <c r="V459" s="70">
        <v>-2500</v>
      </c>
      <c r="W459" s="70">
        <f t="shared" si="281"/>
        <v>22000</v>
      </c>
      <c r="X459" s="70"/>
      <c r="Y459" s="70">
        <f t="shared" si="282"/>
        <v>22000</v>
      </c>
      <c r="Z459" s="70">
        <v>-598</v>
      </c>
      <c r="AA459" s="70">
        <f t="shared" si="257"/>
        <v>21402</v>
      </c>
      <c r="AB459" s="70">
        <f>600+250</f>
        <v>850</v>
      </c>
      <c r="AC459" s="70">
        <f t="shared" si="258"/>
        <v>22252</v>
      </c>
      <c r="AD459" s="105"/>
      <c r="AE459" s="105"/>
    </row>
    <row r="460" spans="1:33" s="22" customFormat="1" ht="24" customHeight="1">
      <c r="A460" s="76"/>
      <c r="B460" s="56"/>
      <c r="C460" s="76">
        <v>6060</v>
      </c>
      <c r="D460" s="36" t="s">
        <v>120</v>
      </c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>
        <v>0</v>
      </c>
      <c r="T460" s="70">
        <v>4400</v>
      </c>
      <c r="U460" s="70">
        <f t="shared" si="280"/>
        <v>4400</v>
      </c>
      <c r="V460" s="70"/>
      <c r="W460" s="70">
        <f t="shared" si="281"/>
        <v>4400</v>
      </c>
      <c r="X460" s="70"/>
      <c r="Y460" s="70">
        <f t="shared" si="282"/>
        <v>4400</v>
      </c>
      <c r="Z460" s="70"/>
      <c r="AA460" s="70">
        <f t="shared" si="257"/>
        <v>4400</v>
      </c>
      <c r="AB460" s="70"/>
      <c r="AC460" s="70">
        <f t="shared" si="258"/>
        <v>4400</v>
      </c>
      <c r="AD460" s="105"/>
      <c r="AE460" s="105"/>
      <c r="AF460" s="105"/>
      <c r="AG460" s="105"/>
    </row>
    <row r="461" spans="1:31" s="6" customFormat="1" ht="24.75" customHeight="1">
      <c r="A461" s="114"/>
      <c r="B461" s="140"/>
      <c r="C461" s="2"/>
      <c r="D461" s="33" t="s">
        <v>91</v>
      </c>
      <c r="E461" s="35">
        <f aca="true" t="shared" si="286" ref="E461:P461">SUM(E445,E430,E401,E371,E317,E300,E198,E194,E191,E181,E134,E128,E67,E58,E34,E23,E7,E20)</f>
        <v>56119940</v>
      </c>
      <c r="F461" s="35">
        <f t="shared" si="286"/>
        <v>983000</v>
      </c>
      <c r="G461" s="35">
        <f t="shared" si="286"/>
        <v>57102940</v>
      </c>
      <c r="H461" s="35">
        <f t="shared" si="286"/>
        <v>11500</v>
      </c>
      <c r="I461" s="35">
        <f t="shared" si="286"/>
        <v>57114440</v>
      </c>
      <c r="J461" s="35">
        <f t="shared" si="286"/>
        <v>0</v>
      </c>
      <c r="K461" s="35">
        <f t="shared" si="286"/>
        <v>57114440</v>
      </c>
      <c r="L461" s="35">
        <f t="shared" si="286"/>
        <v>165286</v>
      </c>
      <c r="M461" s="35">
        <f t="shared" si="286"/>
        <v>57279726</v>
      </c>
      <c r="N461" s="35">
        <f t="shared" si="286"/>
        <v>0</v>
      </c>
      <c r="O461" s="35">
        <f t="shared" si="286"/>
        <v>57279726</v>
      </c>
      <c r="P461" s="35">
        <f t="shared" si="286"/>
        <v>2671236</v>
      </c>
      <c r="Q461" s="35">
        <f aca="true" t="shared" si="287" ref="Q461:Z461">SUM(Q445,Q430,Q401,Q371,Q317,Q300,Q198,Q194,Q191,Q181,Q134,Q128,Q67,Q58,Q34,Q23,Q7,Q20,Q368)</f>
        <v>59950962</v>
      </c>
      <c r="R461" s="35">
        <f t="shared" si="287"/>
        <v>371319</v>
      </c>
      <c r="S461" s="35">
        <f t="shared" si="287"/>
        <v>60322281</v>
      </c>
      <c r="T461" s="35">
        <f t="shared" si="287"/>
        <v>2483742</v>
      </c>
      <c r="U461" s="35">
        <f t="shared" si="287"/>
        <v>62806023</v>
      </c>
      <c r="V461" s="35">
        <f t="shared" si="287"/>
        <v>78907</v>
      </c>
      <c r="W461" s="35">
        <f t="shared" si="287"/>
        <v>62884930</v>
      </c>
      <c r="X461" s="35">
        <f t="shared" si="287"/>
        <v>2510282</v>
      </c>
      <c r="Y461" s="35">
        <f t="shared" si="287"/>
        <v>65395212</v>
      </c>
      <c r="Z461" s="35">
        <f t="shared" si="287"/>
        <v>-158528</v>
      </c>
      <c r="AA461" s="35">
        <f t="shared" si="257"/>
        <v>65236684</v>
      </c>
      <c r="AB461" s="35">
        <f>SUM(AB445,AB430,AB401,AB371,AB317,AB300,AB198,AB194,AB191,AB181,AB134,AB128,AB67,AB58,AB34,AB23,AB7,AB20,AB368)</f>
        <v>838678</v>
      </c>
      <c r="AC461" s="35">
        <f t="shared" si="258"/>
        <v>66075362</v>
      </c>
      <c r="AD461" s="23"/>
      <c r="AE461" s="23"/>
    </row>
    <row r="462" spans="1:33" ht="12.75">
      <c r="A462" s="44"/>
      <c r="B462" s="44"/>
      <c r="C462" s="44"/>
      <c r="D462" s="4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  <c r="AA462" s="104"/>
      <c r="AB462" s="104"/>
      <c r="AC462" s="104"/>
      <c r="AF462" s="41"/>
      <c r="AG462" s="41"/>
    </row>
    <row r="463" spans="1:31" s="19" customFormat="1" ht="12.75">
      <c r="A463" s="21"/>
      <c r="B463" s="21"/>
      <c r="C463" s="21"/>
      <c r="D463" s="97"/>
      <c r="E463" s="123"/>
      <c r="F463" s="123"/>
      <c r="G463" s="123"/>
      <c r="H463" s="123"/>
      <c r="I463" s="123"/>
      <c r="J463" s="123"/>
      <c r="K463" s="123"/>
      <c r="L463" s="90"/>
      <c r="M463" s="123"/>
      <c r="N463" s="90"/>
      <c r="O463" s="123"/>
      <c r="P463" s="90"/>
      <c r="Q463" s="123"/>
      <c r="R463" s="90"/>
      <c r="S463" s="123"/>
      <c r="T463" s="90"/>
      <c r="U463" s="123"/>
      <c r="V463" s="90"/>
      <c r="W463" s="123"/>
      <c r="X463" s="90"/>
      <c r="Y463" s="123"/>
      <c r="Z463" s="90"/>
      <c r="AA463" s="123"/>
      <c r="AB463" s="90"/>
      <c r="AC463" s="123"/>
      <c r="AD463" s="113"/>
      <c r="AE463" s="113"/>
    </row>
    <row r="464" spans="1:31" s="19" customFormat="1" ht="17.25" customHeight="1">
      <c r="A464" s="21"/>
      <c r="B464" s="21"/>
      <c r="C464" s="21"/>
      <c r="D464" s="97"/>
      <c r="E464" s="123"/>
      <c r="F464" s="123"/>
      <c r="G464" s="123"/>
      <c r="H464" s="123"/>
      <c r="I464" s="123"/>
      <c r="J464" s="123"/>
      <c r="K464" s="123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  <c r="AA464" s="90"/>
      <c r="AB464" s="90"/>
      <c r="AC464" s="90"/>
      <c r="AD464" s="113"/>
      <c r="AE464" s="113"/>
    </row>
    <row r="465" spans="1:31" s="19" customFormat="1" ht="17.25" customHeight="1">
      <c r="A465" s="21"/>
      <c r="B465" s="21"/>
      <c r="C465" s="21"/>
      <c r="D465" s="97"/>
      <c r="E465" s="123"/>
      <c r="F465" s="123"/>
      <c r="G465" s="123"/>
      <c r="H465" s="123"/>
      <c r="I465" s="123"/>
      <c r="J465" s="123"/>
      <c r="K465" s="123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  <c r="AA465" s="90"/>
      <c r="AB465" s="90"/>
      <c r="AC465" s="90"/>
      <c r="AD465" s="113"/>
      <c r="AE465" s="113"/>
    </row>
    <row r="466" spans="4:31" s="125" customFormat="1" ht="17.25" customHeight="1">
      <c r="D466" s="126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133"/>
      <c r="U466" s="92"/>
      <c r="V466" s="133"/>
      <c r="W466" s="92"/>
      <c r="X466" s="144"/>
      <c r="Y466" s="92"/>
      <c r="Z466" s="144"/>
      <c r="AA466" s="92"/>
      <c r="AB466" s="92"/>
      <c r="AC466" s="92"/>
      <c r="AD466" s="131"/>
      <c r="AE466" s="131"/>
    </row>
    <row r="467" spans="4:31" s="125" customFormat="1" ht="17.25" customHeight="1">
      <c r="D467" s="126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133"/>
      <c r="U467" s="92"/>
      <c r="V467" s="133"/>
      <c r="W467" s="92"/>
      <c r="X467" s="143"/>
      <c r="Y467" s="92"/>
      <c r="Z467" s="143"/>
      <c r="AA467" s="92"/>
      <c r="AB467" s="92"/>
      <c r="AC467" s="92"/>
      <c r="AD467" s="131"/>
      <c r="AE467" s="131"/>
    </row>
    <row r="468" spans="4:31" s="125" customFormat="1" ht="17.25" customHeight="1">
      <c r="D468" s="126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143"/>
      <c r="Y468" s="92"/>
      <c r="Z468" s="143"/>
      <c r="AA468" s="92"/>
      <c r="AB468" s="92"/>
      <c r="AC468" s="92"/>
      <c r="AD468" s="131"/>
      <c r="AE468" s="131"/>
    </row>
    <row r="469" spans="4:31" s="125" customFormat="1" ht="17.25" customHeight="1">
      <c r="D469" s="126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143"/>
      <c r="Y469" s="92"/>
      <c r="Z469" s="143"/>
      <c r="AA469" s="92"/>
      <c r="AB469" s="92"/>
      <c r="AC469" s="92"/>
      <c r="AD469" s="131"/>
      <c r="AE469" s="131"/>
    </row>
    <row r="470" spans="4:31" s="125" customFormat="1" ht="17.25" customHeight="1">
      <c r="D470" s="126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143"/>
      <c r="Y470" s="92"/>
      <c r="Z470" s="143"/>
      <c r="AA470" s="92"/>
      <c r="AB470" s="92"/>
      <c r="AC470" s="92"/>
      <c r="AD470" s="131"/>
      <c r="AE470" s="131"/>
    </row>
    <row r="471" spans="4:31" s="125" customFormat="1" ht="17.25" customHeight="1">
      <c r="D471" s="126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143"/>
      <c r="Y471" s="92"/>
      <c r="Z471" s="143"/>
      <c r="AA471" s="92"/>
      <c r="AB471" s="92"/>
      <c r="AC471" s="92"/>
      <c r="AD471" s="131"/>
      <c r="AE471" s="131"/>
    </row>
    <row r="472" spans="4:31" s="125" customFormat="1" ht="17.25" customHeight="1">
      <c r="D472" s="126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143"/>
      <c r="Y472" s="92"/>
      <c r="Z472" s="143"/>
      <c r="AA472" s="92"/>
      <c r="AB472" s="92"/>
      <c r="AC472" s="92"/>
      <c r="AD472" s="131"/>
      <c r="AE472" s="131"/>
    </row>
    <row r="473" spans="4:31" s="125" customFormat="1" ht="17.25" customHeight="1">
      <c r="D473" s="126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143"/>
      <c r="Y473" s="92"/>
      <c r="Z473" s="143"/>
      <c r="AA473" s="92"/>
      <c r="AB473" s="92"/>
      <c r="AC473" s="92"/>
      <c r="AD473" s="131"/>
      <c r="AE473" s="131"/>
    </row>
    <row r="474" spans="4:31" s="125" customFormat="1" ht="17.25" customHeight="1">
      <c r="D474" s="126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144"/>
      <c r="X474" s="144"/>
      <c r="Y474" s="92"/>
      <c r="Z474" s="144"/>
      <c r="AA474" s="92"/>
      <c r="AB474" s="185"/>
      <c r="AC474" s="92"/>
      <c r="AD474" s="131"/>
      <c r="AE474" s="131"/>
    </row>
    <row r="475" spans="4:31" s="125" customFormat="1" ht="17.25" customHeight="1">
      <c r="D475" s="126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144"/>
      <c r="X475" s="144"/>
      <c r="Y475" s="92"/>
      <c r="Z475" s="144"/>
      <c r="AA475" s="92"/>
      <c r="AB475" s="144"/>
      <c r="AC475" s="92"/>
      <c r="AD475" s="131"/>
      <c r="AE475" s="131"/>
    </row>
    <row r="476" spans="4:31" s="125" customFormat="1" ht="17.25" customHeight="1">
      <c r="D476" s="126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143"/>
      <c r="X476" s="92"/>
      <c r="Y476" s="92"/>
      <c r="Z476" s="92"/>
      <c r="AA476" s="92"/>
      <c r="AB476" s="92"/>
      <c r="AC476" s="92"/>
      <c r="AD476" s="131"/>
      <c r="AE476" s="131"/>
    </row>
    <row r="477" spans="4:31" s="125" customFormat="1" ht="17.25" customHeight="1">
      <c r="D477" s="126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144"/>
      <c r="Y477" s="92"/>
      <c r="Z477" s="144"/>
      <c r="AA477" s="92"/>
      <c r="AB477" s="144"/>
      <c r="AC477" s="92"/>
      <c r="AD477" s="131"/>
      <c r="AE477" s="131"/>
    </row>
    <row r="478" spans="4:31" s="125" customFormat="1" ht="17.25" customHeight="1">
      <c r="D478" s="126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143"/>
      <c r="Y478" s="92"/>
      <c r="Z478" s="143"/>
      <c r="AA478" s="92"/>
      <c r="AB478" s="143"/>
      <c r="AC478" s="92"/>
      <c r="AD478" s="131"/>
      <c r="AE478" s="131"/>
    </row>
    <row r="479" spans="4:31" s="125" customFormat="1" ht="17.25" customHeight="1">
      <c r="D479" s="126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143"/>
      <c r="Y479" s="92"/>
      <c r="Z479" s="143"/>
      <c r="AA479" s="92"/>
      <c r="AB479" s="143"/>
      <c r="AC479" s="92"/>
      <c r="AD479" s="131"/>
      <c r="AE479" s="145"/>
    </row>
    <row r="480" spans="4:31" s="125" customFormat="1" ht="17.25" customHeight="1">
      <c r="D480" s="126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144"/>
      <c r="X480" s="92"/>
      <c r="Y480" s="92"/>
      <c r="Z480" s="92"/>
      <c r="AA480" s="92"/>
      <c r="AB480" s="92"/>
      <c r="AC480" s="92"/>
      <c r="AD480" s="131"/>
      <c r="AE480" s="145"/>
    </row>
    <row r="481" spans="4:31" s="125" customFormat="1" ht="17.25" customHeight="1">
      <c r="D481" s="126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144"/>
      <c r="X481" s="92"/>
      <c r="Y481" s="92"/>
      <c r="Z481" s="92"/>
      <c r="AA481" s="92"/>
      <c r="AB481" s="92"/>
      <c r="AC481" s="92"/>
      <c r="AD481" s="131"/>
      <c r="AE481" s="131"/>
    </row>
    <row r="482" spans="4:31" s="125" customFormat="1" ht="17.25" customHeight="1">
      <c r="D482" s="126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143"/>
      <c r="X482" s="92"/>
      <c r="Y482" s="92"/>
      <c r="Z482" s="92"/>
      <c r="AA482" s="92"/>
      <c r="AB482" s="92"/>
      <c r="AC482" s="92"/>
      <c r="AD482" s="131"/>
      <c r="AE482" s="131"/>
    </row>
    <row r="483" spans="4:31" s="125" customFormat="1" ht="17.25" customHeight="1">
      <c r="D483" s="126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  <c r="Z483" s="92"/>
      <c r="AA483" s="92"/>
      <c r="AB483" s="92"/>
      <c r="AC483" s="92"/>
      <c r="AD483" s="131"/>
      <c r="AE483" s="131"/>
    </row>
    <row r="484" spans="4:31" s="125" customFormat="1" ht="17.25" customHeight="1">
      <c r="D484" s="126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143"/>
      <c r="Y484" s="92"/>
      <c r="Z484" s="143"/>
      <c r="AA484" s="92"/>
      <c r="AB484" s="143"/>
      <c r="AC484" s="92"/>
      <c r="AD484" s="131"/>
      <c r="AE484" s="131"/>
    </row>
    <row r="485" spans="4:31" s="125" customFormat="1" ht="17.25" customHeight="1">
      <c r="D485" s="126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143"/>
      <c r="Y485" s="92"/>
      <c r="Z485" s="143"/>
      <c r="AA485" s="92"/>
      <c r="AB485" s="143"/>
      <c r="AC485" s="92"/>
      <c r="AD485" s="131"/>
      <c r="AE485" s="131"/>
    </row>
    <row r="486" spans="4:31" s="125" customFormat="1" ht="17.25" customHeight="1">
      <c r="D486" s="126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143"/>
      <c r="Y486" s="92"/>
      <c r="Z486" s="143"/>
      <c r="AA486" s="92"/>
      <c r="AB486" s="143"/>
      <c r="AC486" s="92"/>
      <c r="AD486" s="131"/>
      <c r="AE486" s="131"/>
    </row>
    <row r="487" spans="4:31" s="125" customFormat="1" ht="17.25" customHeight="1">
      <c r="D487" s="126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143"/>
      <c r="Y487" s="92"/>
      <c r="Z487" s="143"/>
      <c r="AA487" s="92"/>
      <c r="AB487" s="143"/>
      <c r="AC487" s="92"/>
      <c r="AD487" s="131"/>
      <c r="AE487" s="131"/>
    </row>
    <row r="488" spans="4:31" s="125" customFormat="1" ht="17.25" customHeight="1">
      <c r="D488" s="126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143"/>
      <c r="Y488" s="92"/>
      <c r="Z488" s="143"/>
      <c r="AA488" s="92"/>
      <c r="AB488" s="143"/>
      <c r="AC488" s="92"/>
      <c r="AD488" s="131"/>
      <c r="AE488" s="131"/>
    </row>
    <row r="489" spans="4:31" s="125" customFormat="1" ht="17.25" customHeight="1">
      <c r="D489" s="126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143"/>
      <c r="Y489" s="92"/>
      <c r="Z489" s="143"/>
      <c r="AA489" s="92"/>
      <c r="AB489" s="143"/>
      <c r="AC489" s="92"/>
      <c r="AD489" s="131"/>
      <c r="AE489" s="131"/>
    </row>
    <row r="490" spans="4:31" s="125" customFormat="1" ht="17.25" customHeight="1">
      <c r="D490" s="126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143"/>
      <c r="Y490" s="92"/>
      <c r="Z490" s="143"/>
      <c r="AA490" s="92"/>
      <c r="AB490" s="143"/>
      <c r="AC490" s="92"/>
      <c r="AD490" s="131"/>
      <c r="AE490" s="131"/>
    </row>
    <row r="491" spans="4:31" s="125" customFormat="1" ht="17.25" customHeight="1">
      <c r="D491" s="126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143"/>
      <c r="Y491" s="92"/>
      <c r="Z491" s="143"/>
      <c r="AA491" s="92"/>
      <c r="AB491" s="143"/>
      <c r="AC491" s="92"/>
      <c r="AD491" s="131"/>
      <c r="AE491" s="131"/>
    </row>
    <row r="492" spans="4:31" s="125" customFormat="1" ht="17.25" customHeight="1">
      <c r="D492" s="126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144"/>
      <c r="X492" s="92"/>
      <c r="Y492" s="92"/>
      <c r="Z492" s="92"/>
      <c r="AA492" s="92"/>
      <c r="AB492" s="92"/>
      <c r="AC492" s="92"/>
      <c r="AD492" s="131"/>
      <c r="AE492" s="131"/>
    </row>
    <row r="493" spans="4:31" s="125" customFormat="1" ht="17.25" customHeight="1">
      <c r="D493" s="126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143"/>
      <c r="Y493" s="92"/>
      <c r="Z493" s="143"/>
      <c r="AA493" s="92"/>
      <c r="AB493" s="143"/>
      <c r="AC493" s="92"/>
      <c r="AD493" s="131"/>
      <c r="AE493" s="131"/>
    </row>
    <row r="494" spans="4:31" s="125" customFormat="1" ht="17.25" customHeight="1">
      <c r="D494" s="126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143"/>
      <c r="Y494" s="92"/>
      <c r="Z494" s="143"/>
      <c r="AA494" s="92"/>
      <c r="AB494" s="143"/>
      <c r="AC494" s="92"/>
      <c r="AD494" s="131"/>
      <c r="AE494" s="131"/>
    </row>
    <row r="495" spans="4:31" s="125" customFormat="1" ht="17.25" customHeight="1">
      <c r="D495" s="126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144"/>
      <c r="Y495" s="92"/>
      <c r="Z495" s="144"/>
      <c r="AA495" s="92"/>
      <c r="AB495" s="144"/>
      <c r="AC495" s="92"/>
      <c r="AD495" s="131"/>
      <c r="AE495" s="131"/>
    </row>
    <row r="496" spans="4:31" s="125" customFormat="1" ht="17.25" customHeight="1">
      <c r="D496" s="126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143"/>
      <c r="X496" s="143"/>
      <c r="Y496" s="92"/>
      <c r="Z496" s="143"/>
      <c r="AA496" s="92"/>
      <c r="AB496" s="143"/>
      <c r="AC496" s="92"/>
      <c r="AD496" s="131"/>
      <c r="AE496" s="131"/>
    </row>
    <row r="497" spans="4:31" s="125" customFormat="1" ht="17.25" customHeight="1">
      <c r="D497" s="126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143"/>
      <c r="X497" s="143">
        <v>20376</v>
      </c>
      <c r="Y497" s="92" t="s">
        <v>398</v>
      </c>
      <c r="Z497" s="143"/>
      <c r="AA497" s="92"/>
      <c r="AB497" s="143"/>
      <c r="AC497" s="92"/>
      <c r="AD497" s="131"/>
      <c r="AE497" s="131"/>
    </row>
    <row r="498" spans="4:31" s="125" customFormat="1" ht="17.25" customHeight="1">
      <c r="D498" s="126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143">
        <v>1500</v>
      </c>
      <c r="Y498" s="92" t="s">
        <v>399</v>
      </c>
      <c r="Z498" s="143"/>
      <c r="AA498" s="92"/>
      <c r="AB498" s="143"/>
      <c r="AC498" s="92"/>
      <c r="AD498" s="131"/>
      <c r="AE498" s="131"/>
    </row>
    <row r="499" spans="4:31" s="125" customFormat="1" ht="17.25" customHeight="1">
      <c r="D499" s="126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143">
        <v>1909</v>
      </c>
      <c r="Y499" s="92" t="s">
        <v>400</v>
      </c>
      <c r="Z499" s="143"/>
      <c r="AA499" s="92"/>
      <c r="AB499" s="143"/>
      <c r="AC499" s="92"/>
      <c r="AD499" s="131"/>
      <c r="AE499" s="131"/>
    </row>
    <row r="500" spans="4:31" s="125" customFormat="1" ht="17.25" customHeight="1">
      <c r="D500" s="126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144">
        <v>2967195</v>
      </c>
      <c r="Y500" s="92" t="s">
        <v>371</v>
      </c>
      <c r="Z500" s="144"/>
      <c r="AA500" s="92"/>
      <c r="AB500" s="144"/>
      <c r="AC500" s="92"/>
      <c r="AD500" s="131"/>
      <c r="AE500" s="131"/>
    </row>
    <row r="501" spans="4:31" s="125" customFormat="1" ht="17.25" customHeight="1">
      <c r="D501" s="126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144">
        <v>167246</v>
      </c>
      <c r="Y501" s="92" t="s">
        <v>396</v>
      </c>
      <c r="Z501" s="144"/>
      <c r="AA501" s="92"/>
      <c r="AB501" s="144"/>
      <c r="AC501" s="92"/>
      <c r="AD501" s="131"/>
      <c r="AE501" s="131"/>
    </row>
    <row r="502" spans="4:31" s="125" customFormat="1" ht="17.25" customHeight="1">
      <c r="D502" s="126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143">
        <v>58000</v>
      </c>
      <c r="Y502" s="92" t="s">
        <v>372</v>
      </c>
      <c r="Z502" s="143"/>
      <c r="AA502" s="92"/>
      <c r="AB502" s="143"/>
      <c r="AC502" s="92"/>
      <c r="AD502" s="131"/>
      <c r="AE502" s="131"/>
    </row>
    <row r="503" spans="4:31" s="125" customFormat="1" ht="17.25" customHeight="1">
      <c r="D503" s="126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143">
        <v>-279000</v>
      </c>
      <c r="X503" s="92"/>
      <c r="Y503" s="92" t="s">
        <v>297</v>
      </c>
      <c r="Z503" s="92"/>
      <c r="AA503" s="92"/>
      <c r="AB503" s="92"/>
      <c r="AC503" s="92"/>
      <c r="AD503" s="131"/>
      <c r="AE503" s="131"/>
    </row>
    <row r="504" spans="4:31" s="125" customFormat="1" ht="17.25" customHeight="1">
      <c r="D504" s="126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  <c r="X504" s="92"/>
      <c r="Y504" s="92"/>
      <c r="Z504" s="92"/>
      <c r="AA504" s="92"/>
      <c r="AB504" s="92"/>
      <c r="AC504" s="92"/>
      <c r="AD504" s="131"/>
      <c r="AE504" s="131"/>
    </row>
    <row r="505" spans="4:31" s="125" customFormat="1" ht="17.25" customHeight="1">
      <c r="D505" s="126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  <c r="V505" s="92"/>
      <c r="W505" s="144">
        <v>-20000</v>
      </c>
      <c r="X505" s="92"/>
      <c r="Y505" s="92" t="s">
        <v>299</v>
      </c>
      <c r="Z505" s="92"/>
      <c r="AA505" s="92"/>
      <c r="AB505" s="92"/>
      <c r="AC505" s="92"/>
      <c r="AD505" s="131"/>
      <c r="AE505" s="131"/>
    </row>
    <row r="506" spans="4:31" s="125" customFormat="1" ht="17.25" customHeight="1">
      <c r="D506" s="126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144">
        <v>-661</v>
      </c>
      <c r="X506" s="92"/>
      <c r="Y506" s="92" t="s">
        <v>298</v>
      </c>
      <c r="Z506" s="92"/>
      <c r="AA506" s="92"/>
      <c r="AB506" s="92"/>
      <c r="AC506" s="92"/>
      <c r="AD506" s="131"/>
      <c r="AE506" s="131"/>
    </row>
    <row r="507" spans="4:31" s="125" customFormat="1" ht="17.25" customHeight="1">
      <c r="D507" s="126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  <c r="X507" s="143">
        <v>100000</v>
      </c>
      <c r="Y507" s="92" t="s">
        <v>397</v>
      </c>
      <c r="Z507" s="143"/>
      <c r="AA507" s="92"/>
      <c r="AB507" s="143"/>
      <c r="AC507" s="92"/>
      <c r="AD507" s="131"/>
      <c r="AE507" s="131"/>
    </row>
    <row r="508" spans="4:31" s="125" customFormat="1" ht="17.25" customHeight="1">
      <c r="D508" s="126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  <c r="V508" s="92"/>
      <c r="W508" s="143">
        <v>-20000</v>
      </c>
      <c r="X508" s="92"/>
      <c r="Y508" s="92" t="s">
        <v>300</v>
      </c>
      <c r="Z508" s="92"/>
      <c r="AA508" s="92"/>
      <c r="AB508" s="92"/>
      <c r="AC508" s="92"/>
      <c r="AD508" s="131"/>
      <c r="AE508" s="131"/>
    </row>
    <row r="509" spans="4:31" s="125" customFormat="1" ht="17.25" customHeight="1">
      <c r="D509" s="126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  <c r="V509" s="92"/>
      <c r="W509" s="144">
        <v>-500</v>
      </c>
      <c r="X509" s="92"/>
      <c r="Y509" s="92" t="s">
        <v>302</v>
      </c>
      <c r="Z509" s="92"/>
      <c r="AA509" s="92"/>
      <c r="AB509" s="92"/>
      <c r="AC509" s="92"/>
      <c r="AD509" s="131"/>
      <c r="AE509" s="131"/>
    </row>
    <row r="510" spans="4:31" s="125" customFormat="1" ht="17.25" customHeight="1">
      <c r="D510" s="126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143">
        <v>-200000</v>
      </c>
      <c r="X510" s="92"/>
      <c r="Y510" s="92" t="s">
        <v>301</v>
      </c>
      <c r="Z510" s="92"/>
      <c r="AA510" s="92"/>
      <c r="AB510" s="92"/>
      <c r="AC510" s="92"/>
      <c r="AD510" s="131"/>
      <c r="AE510" s="131"/>
    </row>
    <row r="511" spans="4:31" s="125" customFormat="1" ht="17.25" customHeight="1">
      <c r="D511" s="126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144">
        <v>-20000</v>
      </c>
      <c r="X511" s="92"/>
      <c r="Y511" s="92" t="s">
        <v>303</v>
      </c>
      <c r="Z511" s="92"/>
      <c r="AA511" s="92"/>
      <c r="AB511" s="92"/>
      <c r="AC511" s="92"/>
      <c r="AD511" s="131"/>
      <c r="AE511" s="131"/>
    </row>
    <row r="512" spans="4:31" s="125" customFormat="1" ht="17.25" customHeight="1">
      <c r="D512" s="126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>
        <v>32762</v>
      </c>
      <c r="S512" s="92"/>
      <c r="T512" s="92">
        <v>500000</v>
      </c>
      <c r="U512" s="92" t="s">
        <v>47</v>
      </c>
      <c r="V512" s="92"/>
      <c r="W512" s="133">
        <f>SUM(W464:W511)</f>
        <v>-540161</v>
      </c>
      <c r="X512" s="133">
        <f>SUM(X464:X511)</f>
        <v>3316226</v>
      </c>
      <c r="Y512" s="92"/>
      <c r="Z512" s="133"/>
      <c r="AA512" s="92"/>
      <c r="AB512" s="133"/>
      <c r="AC512" s="92"/>
      <c r="AD512" s="131"/>
      <c r="AE512" s="131"/>
    </row>
    <row r="513" spans="4:31" s="125" customFormat="1" ht="17.25" customHeight="1">
      <c r="D513" s="126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>
        <v>3621</v>
      </c>
      <c r="S513" s="92"/>
      <c r="T513" s="92">
        <v>600000</v>
      </c>
      <c r="U513" s="92" t="s">
        <v>48</v>
      </c>
      <c r="V513" s="92"/>
      <c r="W513" s="92"/>
      <c r="X513" s="92">
        <f>SUM(W512:X512)</f>
        <v>2776065</v>
      </c>
      <c r="Y513" s="92"/>
      <c r="Z513" s="92"/>
      <c r="AA513" s="92"/>
      <c r="AB513" s="92"/>
      <c r="AC513" s="92"/>
      <c r="AD513" s="131"/>
      <c r="AE513" s="131"/>
    </row>
    <row r="514" spans="4:31" s="125" customFormat="1" ht="17.25" customHeight="1">
      <c r="D514" s="126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>
        <v>5000</v>
      </c>
      <c r="U514" s="92" t="s">
        <v>402</v>
      </c>
      <c r="V514" s="92"/>
      <c r="W514" s="92"/>
      <c r="X514" s="92"/>
      <c r="Y514" s="92"/>
      <c r="Z514" s="92"/>
      <c r="AA514" s="92"/>
      <c r="AB514" s="92"/>
      <c r="AC514" s="92"/>
      <c r="AD514" s="131"/>
      <c r="AE514" s="131"/>
    </row>
    <row r="515" spans="4:31" s="125" customFormat="1" ht="17.25" customHeight="1">
      <c r="D515" s="126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>
        <v>25000</v>
      </c>
      <c r="U515" s="92" t="s">
        <v>403</v>
      </c>
      <c r="V515" s="92"/>
      <c r="W515" s="92"/>
      <c r="X515" s="92"/>
      <c r="Y515" s="92"/>
      <c r="Z515" s="92"/>
      <c r="AA515" s="92"/>
      <c r="AB515" s="92"/>
      <c r="AC515" s="92"/>
      <c r="AD515" s="131"/>
      <c r="AE515" s="131"/>
    </row>
    <row r="516" spans="4:31" s="125" customFormat="1" ht="17.25" customHeight="1">
      <c r="D516" s="126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 t="s">
        <v>291</v>
      </c>
      <c r="V516" s="92"/>
      <c r="W516" s="92"/>
      <c r="X516" s="92"/>
      <c r="Y516" s="92"/>
      <c r="Z516" s="92"/>
      <c r="AA516" s="92"/>
      <c r="AB516" s="92"/>
      <c r="AC516" s="92"/>
      <c r="AD516" s="131"/>
      <c r="AE516" s="131"/>
    </row>
    <row r="517" spans="4:31" s="125" customFormat="1" ht="17.25" customHeight="1">
      <c r="D517" s="126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 t="s">
        <v>292</v>
      </c>
      <c r="V517" s="92"/>
      <c r="W517" s="92"/>
      <c r="X517" s="92"/>
      <c r="Y517" s="92"/>
      <c r="Z517" s="92"/>
      <c r="AA517" s="92"/>
      <c r="AB517" s="92"/>
      <c r="AC517" s="92"/>
      <c r="AD517" s="131"/>
      <c r="AE517" s="131"/>
    </row>
    <row r="518" spans="4:31" s="125" customFormat="1" ht="17.25" customHeight="1">
      <c r="D518" s="126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 t="s">
        <v>293</v>
      </c>
      <c r="V518" s="92"/>
      <c r="W518" s="92"/>
      <c r="X518" s="92"/>
      <c r="Y518" s="92"/>
      <c r="Z518" s="92"/>
      <c r="AA518" s="92"/>
      <c r="AB518" s="92"/>
      <c r="AC518" s="92"/>
      <c r="AD518" s="131"/>
      <c r="AE518" s="131"/>
    </row>
    <row r="519" spans="4:31" s="125" customFormat="1" ht="17.25" customHeight="1">
      <c r="D519" s="126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 t="s">
        <v>294</v>
      </c>
      <c r="V519" s="92"/>
      <c r="W519" s="92"/>
      <c r="X519" s="92"/>
      <c r="Y519" s="92"/>
      <c r="Z519" s="92"/>
      <c r="AA519" s="92"/>
      <c r="AB519" s="92"/>
      <c r="AC519" s="92"/>
      <c r="AD519" s="131"/>
      <c r="AE519" s="131"/>
    </row>
    <row r="520" spans="4:31" s="125" customFormat="1" ht="17.25" customHeight="1">
      <c r="D520" s="126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 t="s">
        <v>295</v>
      </c>
      <c r="V520" s="92"/>
      <c r="W520" s="92"/>
      <c r="X520" s="92"/>
      <c r="Y520" s="92"/>
      <c r="Z520" s="92"/>
      <c r="AA520" s="92"/>
      <c r="AB520" s="92"/>
      <c r="AC520" s="92"/>
      <c r="AD520" s="131"/>
      <c r="AE520" s="131"/>
    </row>
    <row r="521" spans="4:31" s="125" customFormat="1" ht="17.25" customHeight="1">
      <c r="D521" s="126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 t="s">
        <v>296</v>
      </c>
      <c r="V521" s="92"/>
      <c r="W521" s="92"/>
      <c r="X521" s="92"/>
      <c r="Y521" s="92"/>
      <c r="Z521" s="92"/>
      <c r="AA521" s="92"/>
      <c r="AB521" s="92"/>
      <c r="AC521" s="92"/>
      <c r="AD521" s="131"/>
      <c r="AE521" s="131"/>
    </row>
    <row r="522" spans="4:31" s="125" customFormat="1" ht="17.25" customHeight="1">
      <c r="D522" s="126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>
        <v>447</v>
      </c>
      <c r="U522" s="92" t="s">
        <v>10</v>
      </c>
      <c r="V522" s="92"/>
      <c r="W522" s="92"/>
      <c r="X522" s="92"/>
      <c r="Y522" s="92"/>
      <c r="Z522" s="92"/>
      <c r="AA522" s="92"/>
      <c r="AB522" s="92"/>
      <c r="AC522" s="92"/>
      <c r="AD522" s="131"/>
      <c r="AE522" s="131"/>
    </row>
    <row r="523" spans="4:31" s="125" customFormat="1" ht="17.25" customHeight="1">
      <c r="D523" s="126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133">
        <v>192361</v>
      </c>
      <c r="U523" s="92" t="s">
        <v>11</v>
      </c>
      <c r="V523" s="133"/>
      <c r="W523" s="92"/>
      <c r="X523" s="133"/>
      <c r="Y523" s="92"/>
      <c r="Z523" s="133"/>
      <c r="AA523" s="92"/>
      <c r="AB523" s="133"/>
      <c r="AC523" s="92"/>
      <c r="AD523" s="131"/>
      <c r="AE523" s="131"/>
    </row>
    <row r="524" spans="4:31" s="125" customFormat="1" ht="17.25" customHeight="1">
      <c r="D524" s="126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>
        <v>1064</v>
      </c>
      <c r="U524" s="92" t="s">
        <v>353</v>
      </c>
      <c r="V524" s="92"/>
      <c r="W524" s="92"/>
      <c r="X524" s="92"/>
      <c r="Y524" s="92"/>
      <c r="Z524" s="92"/>
      <c r="AA524" s="92"/>
      <c r="AB524" s="92"/>
      <c r="AC524" s="92"/>
      <c r="AD524" s="131"/>
      <c r="AE524" s="131"/>
    </row>
    <row r="525" spans="4:31" s="125" customFormat="1" ht="17.25" customHeight="1">
      <c r="D525" s="126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>
        <v>62000</v>
      </c>
      <c r="S525" s="92"/>
      <c r="T525" s="133">
        <f>SUM(T466:T524)</f>
        <v>1323872</v>
      </c>
      <c r="U525" s="92"/>
      <c r="V525" s="133"/>
      <c r="W525" s="92"/>
      <c r="X525" s="133"/>
      <c r="Y525" s="92"/>
      <c r="Z525" s="133"/>
      <c r="AA525" s="92"/>
      <c r="AB525" s="133"/>
      <c r="AC525" s="92"/>
      <c r="AD525" s="131"/>
      <c r="AE525" s="131"/>
    </row>
    <row r="526" spans="4:31" s="125" customFormat="1" ht="17.25" customHeight="1">
      <c r="D526" s="126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133">
        <f>SUM(Q466:Q468)</f>
        <v>0</v>
      </c>
      <c r="R526" s="133">
        <f>SUM(R466:R525)</f>
        <v>98383</v>
      </c>
      <c r="S526" s="92"/>
      <c r="T526" s="133"/>
      <c r="U526" s="92"/>
      <c r="V526" s="133"/>
      <c r="W526" s="92"/>
      <c r="X526" s="133"/>
      <c r="Y526" s="92"/>
      <c r="Z526" s="133"/>
      <c r="AA526" s="92"/>
      <c r="AB526" s="133"/>
      <c r="AC526" s="92"/>
      <c r="AD526" s="131"/>
      <c r="AE526" s="131"/>
    </row>
    <row r="527" spans="4:31" s="125" customFormat="1" ht="17.25" customHeight="1">
      <c r="D527" s="126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  <c r="X527" s="92"/>
      <c r="Y527" s="92"/>
      <c r="Z527" s="92"/>
      <c r="AA527" s="92"/>
      <c r="AB527" s="92"/>
      <c r="AC527" s="92"/>
      <c r="AD527" s="131"/>
      <c r="AE527" s="131"/>
    </row>
    <row r="528" spans="4:31" s="125" customFormat="1" ht="11.25">
      <c r="D528" s="126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>
        <f>SUM(Q526-R526)</f>
        <v>-98383</v>
      </c>
      <c r="S528" s="92">
        <v>10704</v>
      </c>
      <c r="T528" s="92"/>
      <c r="U528" s="92"/>
      <c r="V528" s="92"/>
      <c r="W528" s="92"/>
      <c r="X528" s="92"/>
      <c r="Y528" s="92"/>
      <c r="Z528" s="92"/>
      <c r="AA528" s="92"/>
      <c r="AB528" s="92"/>
      <c r="AC528" s="92"/>
      <c r="AD528" s="131"/>
      <c r="AE528" s="131"/>
    </row>
    <row r="529" spans="4:31" s="125" customFormat="1" ht="11.25">
      <c r="D529" s="126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>
        <v>9158</v>
      </c>
      <c r="T529" s="92"/>
      <c r="U529" s="92"/>
      <c r="V529" s="92"/>
      <c r="W529" s="92"/>
      <c r="X529" s="92"/>
      <c r="Y529" s="92"/>
      <c r="Z529" s="92"/>
      <c r="AA529" s="92"/>
      <c r="AB529" s="92"/>
      <c r="AC529" s="92"/>
      <c r="AD529" s="131"/>
      <c r="AE529" s="131"/>
    </row>
    <row r="530" spans="4:31" s="125" customFormat="1" ht="11.25">
      <c r="D530" s="126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>
        <v>62000</v>
      </c>
      <c r="T530" s="92"/>
      <c r="U530" s="92"/>
      <c r="V530" s="92"/>
      <c r="W530" s="92"/>
      <c r="X530" s="92"/>
      <c r="Y530" s="92"/>
      <c r="Z530" s="92"/>
      <c r="AA530" s="92"/>
      <c r="AB530" s="92"/>
      <c r="AC530" s="92"/>
      <c r="AD530" s="131"/>
      <c r="AE530" s="131"/>
    </row>
    <row r="531" spans="4:31" s="125" customFormat="1" ht="11.25">
      <c r="D531" s="126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>
        <v>3621</v>
      </c>
      <c r="T531" s="92"/>
      <c r="U531" s="92"/>
      <c r="V531" s="92"/>
      <c r="W531" s="92"/>
      <c r="X531" s="92"/>
      <c r="Y531" s="92"/>
      <c r="Z531" s="92"/>
      <c r="AA531" s="92"/>
      <c r="AB531" s="92"/>
      <c r="AC531" s="92"/>
      <c r="AD531" s="131"/>
      <c r="AE531" s="131"/>
    </row>
    <row r="532" spans="4:31" s="125" customFormat="1" ht="11.25">
      <c r="D532" s="126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>
        <v>32762</v>
      </c>
      <c r="T532" s="92"/>
      <c r="U532" s="92"/>
      <c r="V532" s="92"/>
      <c r="W532" s="92"/>
      <c r="X532" s="92"/>
      <c r="Y532" s="92"/>
      <c r="Z532" s="92"/>
      <c r="AA532" s="92"/>
      <c r="AB532" s="92"/>
      <c r="AC532" s="92"/>
      <c r="AD532" s="131"/>
      <c r="AE532" s="131"/>
    </row>
    <row r="533" spans="4:31" s="125" customFormat="1" ht="11.25">
      <c r="D533" s="126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133">
        <f>SUM(S528:S532)</f>
        <v>118245</v>
      </c>
      <c r="T533" s="92"/>
      <c r="U533" s="133"/>
      <c r="V533" s="92"/>
      <c r="W533" s="133"/>
      <c r="X533" s="92"/>
      <c r="Y533" s="133"/>
      <c r="Z533" s="92"/>
      <c r="AA533" s="133"/>
      <c r="AB533" s="92"/>
      <c r="AC533" s="133"/>
      <c r="AD533" s="131"/>
      <c r="AE533" s="131"/>
    </row>
    <row r="534" spans="4:31" s="125" customFormat="1" ht="11.25">
      <c r="D534" s="126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  <c r="V534" s="92"/>
      <c r="W534" s="92"/>
      <c r="X534" s="92"/>
      <c r="Y534" s="92"/>
      <c r="Z534" s="92"/>
      <c r="AA534" s="92"/>
      <c r="AB534" s="92"/>
      <c r="AC534" s="92"/>
      <c r="AD534" s="131"/>
      <c r="AE534" s="131"/>
    </row>
    <row r="535" spans="4:31" s="125" customFormat="1" ht="11.25">
      <c r="D535" s="126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  <c r="V535" s="92"/>
      <c r="W535" s="92"/>
      <c r="X535" s="92"/>
      <c r="Y535" s="92"/>
      <c r="Z535" s="92"/>
      <c r="AA535" s="92"/>
      <c r="AB535" s="92"/>
      <c r="AC535" s="92"/>
      <c r="AD535" s="131"/>
      <c r="AE535" s="131"/>
    </row>
    <row r="536" spans="5:31" s="125" customFormat="1" ht="19.5" customHeight="1">
      <c r="E536" s="127"/>
      <c r="F536" s="127"/>
      <c r="G536" s="92"/>
      <c r="H536" s="127"/>
      <c r="I536" s="92"/>
      <c r="J536" s="127"/>
      <c r="K536" s="92"/>
      <c r="L536" s="127"/>
      <c r="M536" s="92"/>
      <c r="N536" s="127"/>
      <c r="O536" s="92"/>
      <c r="P536" s="127"/>
      <c r="Q536" s="92"/>
      <c r="R536" s="127"/>
      <c r="S536" s="92"/>
      <c r="T536" s="127"/>
      <c r="U536" s="92"/>
      <c r="V536" s="127"/>
      <c r="W536" s="92"/>
      <c r="X536" s="127"/>
      <c r="Y536" s="92"/>
      <c r="Z536" s="127"/>
      <c r="AA536" s="92"/>
      <c r="AB536" s="127"/>
      <c r="AC536" s="92"/>
      <c r="AD536" s="131"/>
      <c r="AE536" s="131"/>
    </row>
    <row r="537" spans="5:31" s="125" customFormat="1" ht="19.5" customHeight="1">
      <c r="E537" s="127"/>
      <c r="F537" s="127"/>
      <c r="G537" s="92"/>
      <c r="H537" s="127"/>
      <c r="I537" s="92"/>
      <c r="J537" s="127"/>
      <c r="K537" s="92"/>
      <c r="L537" s="127"/>
      <c r="M537" s="92"/>
      <c r="N537" s="127"/>
      <c r="O537" s="92"/>
      <c r="P537" s="127"/>
      <c r="Q537" s="92"/>
      <c r="R537" s="127"/>
      <c r="S537" s="92"/>
      <c r="T537" s="127"/>
      <c r="U537" s="92"/>
      <c r="V537" s="127"/>
      <c r="W537" s="92"/>
      <c r="X537" s="127"/>
      <c r="Y537" s="92"/>
      <c r="Z537" s="127"/>
      <c r="AA537" s="92"/>
      <c r="AB537" s="127"/>
      <c r="AC537" s="92"/>
      <c r="AD537" s="131"/>
      <c r="AE537" s="131"/>
    </row>
    <row r="538" spans="5:31" s="125" customFormat="1" ht="19.5" customHeight="1">
      <c r="E538" s="127"/>
      <c r="F538" s="127"/>
      <c r="G538" s="92"/>
      <c r="H538" s="127"/>
      <c r="I538" s="92"/>
      <c r="J538" s="127"/>
      <c r="K538" s="92"/>
      <c r="L538" s="127"/>
      <c r="M538" s="92"/>
      <c r="N538" s="127"/>
      <c r="O538" s="92"/>
      <c r="P538" s="127"/>
      <c r="Q538" s="92"/>
      <c r="R538" s="127"/>
      <c r="S538" s="92"/>
      <c r="T538" s="127"/>
      <c r="U538" s="92"/>
      <c r="V538" s="127"/>
      <c r="W538" s="92"/>
      <c r="X538" s="127"/>
      <c r="Y538" s="92"/>
      <c r="Z538" s="127"/>
      <c r="AA538" s="92"/>
      <c r="AB538" s="127"/>
      <c r="AC538" s="92"/>
      <c r="AD538" s="131"/>
      <c r="AE538" s="131"/>
    </row>
    <row r="539" spans="5:31" s="125" customFormat="1" ht="19.5" customHeight="1">
      <c r="E539" s="127"/>
      <c r="F539" s="127"/>
      <c r="G539" s="92"/>
      <c r="H539" s="127"/>
      <c r="I539" s="92"/>
      <c r="J539" s="127"/>
      <c r="K539" s="92"/>
      <c r="L539" s="127"/>
      <c r="M539" s="92"/>
      <c r="N539" s="127"/>
      <c r="O539" s="92"/>
      <c r="P539" s="127"/>
      <c r="Q539" s="92"/>
      <c r="R539" s="127"/>
      <c r="S539" s="92"/>
      <c r="T539" s="127"/>
      <c r="U539" s="92"/>
      <c r="V539" s="127"/>
      <c r="W539" s="92"/>
      <c r="X539" s="127"/>
      <c r="Y539" s="92"/>
      <c r="Z539" s="127"/>
      <c r="AA539" s="92"/>
      <c r="AB539" s="127"/>
      <c r="AC539" s="92"/>
      <c r="AD539" s="131"/>
      <c r="AE539" s="131"/>
    </row>
    <row r="540" spans="5:31" s="125" customFormat="1" ht="19.5" customHeight="1">
      <c r="E540" s="127"/>
      <c r="F540" s="127"/>
      <c r="G540" s="127"/>
      <c r="H540" s="127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  <c r="Z540" s="127"/>
      <c r="AA540" s="127"/>
      <c r="AB540" s="127"/>
      <c r="AC540" s="127"/>
      <c r="AD540" s="131"/>
      <c r="AE540" s="131"/>
    </row>
    <row r="541" spans="5:31" s="125" customFormat="1" ht="19.5" customHeight="1">
      <c r="E541" s="127"/>
      <c r="F541" s="127"/>
      <c r="G541" s="127"/>
      <c r="H541" s="127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  <c r="Z541" s="127"/>
      <c r="AA541" s="127"/>
      <c r="AB541" s="127"/>
      <c r="AC541" s="127"/>
      <c r="AD541" s="131"/>
      <c r="AE541" s="131"/>
    </row>
    <row r="542" spans="5:31" s="125" customFormat="1" ht="19.5" customHeight="1">
      <c r="E542" s="127"/>
      <c r="F542" s="127"/>
      <c r="G542" s="127"/>
      <c r="H542" s="127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  <c r="AA542" s="127"/>
      <c r="AB542" s="127"/>
      <c r="AC542" s="127"/>
      <c r="AD542" s="131"/>
      <c r="AE542" s="131"/>
    </row>
    <row r="543" spans="5:31" s="125" customFormat="1" ht="19.5" customHeight="1">
      <c r="E543" s="127"/>
      <c r="F543" s="127"/>
      <c r="G543" s="127"/>
      <c r="H543" s="127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  <c r="Z543" s="127"/>
      <c r="AA543" s="127"/>
      <c r="AB543" s="127"/>
      <c r="AC543" s="127"/>
      <c r="AD543" s="131"/>
      <c r="AE543" s="131"/>
    </row>
    <row r="544" spans="5:31" s="125" customFormat="1" ht="19.5" customHeight="1">
      <c r="E544" s="127"/>
      <c r="F544" s="127"/>
      <c r="G544" s="127"/>
      <c r="H544" s="127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  <c r="AA544" s="127"/>
      <c r="AB544" s="127"/>
      <c r="AC544" s="127"/>
      <c r="AD544" s="131"/>
      <c r="AE544" s="131"/>
    </row>
    <row r="545" spans="5:31" s="125" customFormat="1" ht="19.5" customHeight="1">
      <c r="E545" s="127"/>
      <c r="F545" s="127"/>
      <c r="G545" s="127"/>
      <c r="H545" s="127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  <c r="AA545" s="127"/>
      <c r="AB545" s="127"/>
      <c r="AC545" s="127"/>
      <c r="AD545" s="131"/>
      <c r="AE545" s="131"/>
    </row>
    <row r="546" spans="5:31" s="125" customFormat="1" ht="19.5" customHeight="1">
      <c r="E546" s="127"/>
      <c r="F546" s="127"/>
      <c r="G546" s="127"/>
      <c r="H546" s="127"/>
      <c r="I546" s="127"/>
      <c r="J546" s="127"/>
      <c r="K546" s="127"/>
      <c r="L546" s="127"/>
      <c r="M546" s="127"/>
      <c r="N546" s="127"/>
      <c r="O546" s="127"/>
      <c r="P546" s="128"/>
      <c r="Q546" s="128"/>
      <c r="R546" s="128"/>
      <c r="S546" s="128"/>
      <c r="T546" s="128"/>
      <c r="U546" s="128"/>
      <c r="V546" s="128"/>
      <c r="W546" s="128"/>
      <c r="X546" s="128"/>
      <c r="Y546" s="128"/>
      <c r="Z546" s="128"/>
      <c r="AA546" s="128"/>
      <c r="AB546" s="128"/>
      <c r="AC546" s="128"/>
      <c r="AD546" s="131"/>
      <c r="AE546" s="131"/>
    </row>
    <row r="547" spans="4:31" s="125" customFormat="1" ht="19.5" customHeight="1">
      <c r="D547" s="126"/>
      <c r="E547" s="92"/>
      <c r="F547" s="92"/>
      <c r="G547" s="127"/>
      <c r="H547" s="92"/>
      <c r="I547" s="127"/>
      <c r="J547" s="92"/>
      <c r="K547" s="127"/>
      <c r="L547" s="127"/>
      <c r="M547" s="127"/>
      <c r="N547" s="127"/>
      <c r="O547" s="127"/>
      <c r="P547" s="127"/>
      <c r="Q547" s="128"/>
      <c r="R547" s="127"/>
      <c r="S547" s="128"/>
      <c r="T547" s="127"/>
      <c r="U547" s="128"/>
      <c r="V547" s="127"/>
      <c r="W547" s="128"/>
      <c r="X547" s="127"/>
      <c r="Y547" s="128"/>
      <c r="Z547" s="127"/>
      <c r="AA547" s="128"/>
      <c r="AB547" s="127"/>
      <c r="AC547" s="128"/>
      <c r="AD547" s="131"/>
      <c r="AE547" s="131"/>
    </row>
    <row r="548" spans="1:31" s="19" customFormat="1" ht="19.5" customHeight="1">
      <c r="A548" s="21"/>
      <c r="B548" s="21"/>
      <c r="C548" s="21"/>
      <c r="D548" s="97"/>
      <c r="E548" s="90"/>
      <c r="F548" s="90"/>
      <c r="G548" s="20"/>
      <c r="H548" s="90"/>
      <c r="I548" s="20"/>
      <c r="J548" s="90"/>
      <c r="K548" s="20"/>
      <c r="L548" s="90"/>
      <c r="M548" s="20"/>
      <c r="N548" s="90"/>
      <c r="O548" s="20"/>
      <c r="P548" s="90"/>
      <c r="Q548" s="20"/>
      <c r="R548" s="90"/>
      <c r="S548" s="20"/>
      <c r="T548" s="90"/>
      <c r="U548" s="20"/>
      <c r="V548" s="90"/>
      <c r="W548" s="20"/>
      <c r="X548" s="90"/>
      <c r="Y548" s="20"/>
      <c r="Z548" s="90"/>
      <c r="AA548" s="20"/>
      <c r="AB548" s="90"/>
      <c r="AC548" s="20"/>
      <c r="AD548" s="113"/>
      <c r="AE548" s="113"/>
    </row>
    <row r="549" spans="1:31" s="19" customFormat="1" ht="19.5" customHeight="1">
      <c r="A549" s="21"/>
      <c r="B549" s="21"/>
      <c r="C549" s="21"/>
      <c r="D549" s="21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113"/>
      <c r="AE549" s="113"/>
    </row>
    <row r="550" spans="1:31" s="19" customFormat="1" ht="19.5" customHeight="1">
      <c r="A550" s="21"/>
      <c r="B550" s="21"/>
      <c r="C550" s="21"/>
      <c r="D550" s="21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103"/>
      <c r="Q550" s="20"/>
      <c r="R550" s="103"/>
      <c r="S550" s="20"/>
      <c r="T550" s="103"/>
      <c r="U550" s="20"/>
      <c r="V550" s="103"/>
      <c r="W550" s="20"/>
      <c r="X550" s="103"/>
      <c r="Y550" s="20"/>
      <c r="Z550" s="103"/>
      <c r="AA550" s="20"/>
      <c r="AB550" s="103"/>
      <c r="AC550" s="20"/>
      <c r="AD550" s="113"/>
      <c r="AE550" s="113"/>
    </row>
    <row r="551" spans="1:31" s="19" customFormat="1" ht="19.5" customHeight="1">
      <c r="A551" s="21"/>
      <c r="B551" s="21"/>
      <c r="C551" s="21"/>
      <c r="D551" s="21"/>
      <c r="E551" s="20"/>
      <c r="F551" s="20"/>
      <c r="G551" s="103"/>
      <c r="H551" s="20"/>
      <c r="I551" s="103"/>
      <c r="J551" s="20"/>
      <c r="K551" s="103"/>
      <c r="L551" s="20"/>
      <c r="M551" s="103"/>
      <c r="N551" s="20"/>
      <c r="O551" s="103"/>
      <c r="P551" s="20"/>
      <c r="Q551" s="103"/>
      <c r="R551" s="20"/>
      <c r="S551" s="103"/>
      <c r="T551" s="20"/>
      <c r="U551" s="103"/>
      <c r="V551" s="20"/>
      <c r="W551" s="103"/>
      <c r="X551" s="20"/>
      <c r="Y551" s="103"/>
      <c r="Z551" s="20"/>
      <c r="AA551" s="103"/>
      <c r="AB551" s="20"/>
      <c r="AC551" s="103"/>
      <c r="AD551" s="113"/>
      <c r="AE551" s="113"/>
    </row>
    <row r="552" spans="1:31" s="19" customFormat="1" ht="19.5" customHeight="1">
      <c r="A552" s="21"/>
      <c r="B552" s="21"/>
      <c r="C552" s="21"/>
      <c r="D552" s="21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113"/>
      <c r="AE552" s="113"/>
    </row>
    <row r="553" spans="1:31" s="19" customFormat="1" ht="19.5" customHeight="1">
      <c r="A553" s="21"/>
      <c r="B553" s="21"/>
      <c r="C553" s="21"/>
      <c r="D553" s="21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113"/>
      <c r="AE553" s="113"/>
    </row>
    <row r="554" spans="1:31" s="19" customFormat="1" ht="19.5" customHeight="1">
      <c r="A554" s="21"/>
      <c r="B554" s="21"/>
      <c r="C554" s="21"/>
      <c r="D554" s="21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113"/>
      <c r="AE554" s="113"/>
    </row>
    <row r="555" spans="1:31" s="19" customFormat="1" ht="19.5" customHeight="1">
      <c r="A555" s="21"/>
      <c r="B555" s="21"/>
      <c r="C555" s="21"/>
      <c r="D555" s="21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113"/>
      <c r="AE555" s="113"/>
    </row>
    <row r="556" spans="1:31" s="19" customFormat="1" ht="19.5" customHeight="1">
      <c r="A556" s="21"/>
      <c r="B556" s="21"/>
      <c r="C556" s="21"/>
      <c r="D556" s="21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113"/>
      <c r="AE556" s="113"/>
    </row>
    <row r="557" spans="1:31" s="19" customFormat="1" ht="19.5" customHeight="1">
      <c r="A557" s="21"/>
      <c r="B557" s="21"/>
      <c r="C557" s="21"/>
      <c r="D557" s="21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113"/>
      <c r="AE557" s="113"/>
    </row>
    <row r="558" spans="1:31" s="19" customFormat="1" ht="19.5" customHeight="1">
      <c r="A558" s="21"/>
      <c r="B558" s="21"/>
      <c r="C558" s="21"/>
      <c r="D558" s="21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113"/>
      <c r="AE558" s="113"/>
    </row>
    <row r="559" spans="1:31" s="19" customFormat="1" ht="19.5" customHeight="1">
      <c r="A559" s="21"/>
      <c r="B559" s="21"/>
      <c r="C559" s="21"/>
      <c r="D559" s="21"/>
      <c r="E559" s="20"/>
      <c r="F559" s="103"/>
      <c r="G559" s="20"/>
      <c r="H559" s="103"/>
      <c r="I559" s="20"/>
      <c r="J559" s="103"/>
      <c r="K559" s="20"/>
      <c r="L559" s="103"/>
      <c r="M559" s="20"/>
      <c r="N559" s="103"/>
      <c r="O559" s="20"/>
      <c r="P559" s="103"/>
      <c r="Q559" s="20"/>
      <c r="R559" s="103"/>
      <c r="S559" s="20"/>
      <c r="T559" s="103"/>
      <c r="U559" s="20"/>
      <c r="V559" s="103"/>
      <c r="W559" s="20"/>
      <c r="X559" s="103"/>
      <c r="Y559" s="20"/>
      <c r="Z559" s="103"/>
      <c r="AA559" s="20"/>
      <c r="AB559" s="103"/>
      <c r="AC559" s="20"/>
      <c r="AD559" s="113"/>
      <c r="AE559" s="113"/>
    </row>
    <row r="560" spans="1:31" s="19" customFormat="1" ht="12.75">
      <c r="A560" s="21"/>
      <c r="B560" s="21"/>
      <c r="C560" s="21"/>
      <c r="D560" s="21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113"/>
      <c r="AE560" s="113"/>
    </row>
    <row r="561" spans="1:31" s="19" customFormat="1" ht="12.75">
      <c r="A561" s="21"/>
      <c r="B561" s="21"/>
      <c r="C561" s="21"/>
      <c r="D561" s="21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113"/>
      <c r="AE561" s="113"/>
    </row>
    <row r="562" spans="1:31" s="19" customFormat="1" ht="12.75">
      <c r="A562" s="21"/>
      <c r="B562" s="21"/>
      <c r="C562" s="21"/>
      <c r="D562" s="21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113"/>
      <c r="AE562" s="113"/>
    </row>
    <row r="563" spans="1:31" s="19" customFormat="1" ht="12.75">
      <c r="A563" s="21"/>
      <c r="B563" s="21"/>
      <c r="C563" s="21"/>
      <c r="D563" s="21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113"/>
      <c r="AE563" s="113"/>
    </row>
    <row r="564" spans="1:31" s="19" customFormat="1" ht="12.75">
      <c r="A564" s="21"/>
      <c r="B564" s="21"/>
      <c r="C564" s="21"/>
      <c r="D564" s="21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113"/>
      <c r="AE564" s="113"/>
    </row>
    <row r="565" spans="1:31" s="19" customFormat="1" ht="12.75">
      <c r="A565" s="21"/>
      <c r="B565" s="21"/>
      <c r="C565" s="21"/>
      <c r="D565" s="21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113"/>
      <c r="AE565" s="113"/>
    </row>
    <row r="566" spans="1:31" s="19" customFormat="1" ht="12.75">
      <c r="A566" s="21"/>
      <c r="B566" s="21"/>
      <c r="C566" s="21"/>
      <c r="D566" s="21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113"/>
      <c r="AE566" s="113"/>
    </row>
    <row r="567" spans="1:31" s="19" customFormat="1" ht="12.75">
      <c r="A567" s="21"/>
      <c r="B567" s="21"/>
      <c r="C567" s="21"/>
      <c r="D567" s="21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113"/>
      <c r="AE567" s="113"/>
    </row>
    <row r="568" spans="1:31" s="19" customFormat="1" ht="12.75">
      <c r="A568" s="21"/>
      <c r="B568" s="21"/>
      <c r="C568" s="21"/>
      <c r="D568" s="21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113"/>
      <c r="AE568" s="113"/>
    </row>
    <row r="569" spans="1:31" s="19" customFormat="1" ht="12.75">
      <c r="A569" s="21"/>
      <c r="B569" s="21"/>
      <c r="C569" s="21"/>
      <c r="D569" s="21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113"/>
      <c r="AE569" s="113"/>
    </row>
    <row r="570" spans="1:31" s="19" customFormat="1" ht="12.75">
      <c r="A570" s="21"/>
      <c r="B570" s="21"/>
      <c r="C570" s="21"/>
      <c r="D570" s="21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113"/>
      <c r="AE570" s="113"/>
    </row>
    <row r="571" spans="1:31" s="19" customFormat="1" ht="12.75">
      <c r="A571" s="21"/>
      <c r="B571" s="21"/>
      <c r="C571" s="21"/>
      <c r="D571" s="21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113"/>
      <c r="AE571" s="113"/>
    </row>
    <row r="572" spans="1:31" s="19" customFormat="1" ht="12.75">
      <c r="A572" s="21"/>
      <c r="B572" s="21"/>
      <c r="C572" s="21"/>
      <c r="D572" s="21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113"/>
      <c r="AE572" s="113"/>
    </row>
    <row r="573" spans="1:31" s="19" customFormat="1" ht="12.75">
      <c r="A573" s="21"/>
      <c r="B573" s="21"/>
      <c r="C573" s="21"/>
      <c r="D573" s="21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113"/>
      <c r="AE573" s="113"/>
    </row>
    <row r="574" spans="1:31" s="19" customFormat="1" ht="12.75">
      <c r="A574" s="21"/>
      <c r="B574" s="21"/>
      <c r="C574" s="21"/>
      <c r="D574" s="21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113"/>
      <c r="AE574" s="113"/>
    </row>
    <row r="575" spans="1:31" s="19" customFormat="1" ht="12.75">
      <c r="A575" s="21"/>
      <c r="B575" s="21"/>
      <c r="C575" s="21"/>
      <c r="D575" s="21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113"/>
      <c r="AE575" s="113"/>
    </row>
    <row r="576" spans="1:31" s="19" customFormat="1" ht="12.75">
      <c r="A576" s="21"/>
      <c r="B576" s="21"/>
      <c r="C576" s="21"/>
      <c r="D576" s="21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113"/>
      <c r="AE576" s="113"/>
    </row>
    <row r="577" spans="1:31" s="19" customFormat="1" ht="12.75">
      <c r="A577" s="21"/>
      <c r="B577" s="21"/>
      <c r="C577" s="21"/>
      <c r="D577" s="21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113"/>
      <c r="AE577" s="113"/>
    </row>
    <row r="578" spans="1:31" s="19" customFormat="1" ht="12.75">
      <c r="A578" s="21"/>
      <c r="B578" s="21"/>
      <c r="C578" s="21"/>
      <c r="D578" s="21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113"/>
      <c r="AE578" s="113"/>
    </row>
    <row r="579" spans="1:31" s="19" customFormat="1" ht="12.75">
      <c r="A579" s="21"/>
      <c r="B579" s="21"/>
      <c r="C579" s="21"/>
      <c r="D579" s="21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113"/>
      <c r="AE579" s="113"/>
    </row>
    <row r="580" spans="1:31" s="19" customFormat="1" ht="12.75">
      <c r="A580" s="21"/>
      <c r="B580" s="21"/>
      <c r="C580" s="21"/>
      <c r="D580" s="21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113"/>
      <c r="AE580" s="113"/>
    </row>
    <row r="581" spans="1:31" s="19" customFormat="1" ht="12.75">
      <c r="A581" s="21"/>
      <c r="B581" s="21"/>
      <c r="C581" s="21"/>
      <c r="D581" s="21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113"/>
      <c r="AE581" s="113"/>
    </row>
    <row r="582" spans="1:31" s="19" customFormat="1" ht="12.75">
      <c r="A582" s="21"/>
      <c r="B582" s="21"/>
      <c r="C582" s="21"/>
      <c r="D582" s="21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113"/>
      <c r="AE582" s="113"/>
    </row>
    <row r="583" spans="1:31" s="19" customFormat="1" ht="12.75">
      <c r="A583" s="21"/>
      <c r="B583" s="21"/>
      <c r="C583" s="21"/>
      <c r="D583" s="21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113"/>
      <c r="AE583" s="113"/>
    </row>
    <row r="584" spans="1:31" s="19" customFormat="1" ht="12.75">
      <c r="A584" s="21"/>
      <c r="B584" s="21"/>
      <c r="C584" s="21"/>
      <c r="D584" s="21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113"/>
      <c r="AE584" s="113"/>
    </row>
    <row r="585" spans="1:31" s="19" customFormat="1" ht="12.75">
      <c r="A585" s="21"/>
      <c r="B585" s="21"/>
      <c r="C585" s="21"/>
      <c r="D585" s="21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113"/>
      <c r="AE585" s="113"/>
    </row>
    <row r="586" spans="1:31" s="19" customFormat="1" ht="12.75">
      <c r="A586" s="21"/>
      <c r="B586" s="21"/>
      <c r="C586" s="21"/>
      <c r="D586" s="21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113"/>
      <c r="AE586" s="113"/>
    </row>
    <row r="587" spans="1:31" s="19" customFormat="1" ht="12.75">
      <c r="A587" s="21"/>
      <c r="B587" s="21"/>
      <c r="C587" s="21"/>
      <c r="D587" s="21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113"/>
      <c r="AE587" s="113"/>
    </row>
    <row r="588" spans="1:31" s="19" customFormat="1" ht="12.75">
      <c r="A588" s="21"/>
      <c r="B588" s="21"/>
      <c r="C588" s="21"/>
      <c r="D588" s="21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113"/>
      <c r="AE588" s="113"/>
    </row>
    <row r="589" spans="1:31" s="19" customFormat="1" ht="12.75">
      <c r="A589" s="21"/>
      <c r="B589" s="21"/>
      <c r="C589" s="21"/>
      <c r="D589" s="21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113"/>
      <c r="AE589" s="113"/>
    </row>
    <row r="590" spans="1:31" s="19" customFormat="1" ht="12.75">
      <c r="A590" s="21"/>
      <c r="B590" s="21"/>
      <c r="C590" s="21"/>
      <c r="D590" s="21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113"/>
      <c r="AE590" s="113"/>
    </row>
    <row r="591" spans="1:31" s="19" customFormat="1" ht="12.75">
      <c r="A591" s="21"/>
      <c r="B591" s="21"/>
      <c r="C591" s="21"/>
      <c r="D591" s="21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113"/>
      <c r="AE591" s="113"/>
    </row>
    <row r="592" spans="1:31" s="19" customFormat="1" ht="12.75">
      <c r="A592" s="21"/>
      <c r="B592" s="21"/>
      <c r="C592" s="21"/>
      <c r="D592" s="21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113"/>
      <c r="AE592" s="113"/>
    </row>
    <row r="593" spans="1:31" s="19" customFormat="1" ht="12.75">
      <c r="A593" s="21"/>
      <c r="B593" s="21"/>
      <c r="C593" s="21"/>
      <c r="D593" s="21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113"/>
      <c r="AE593" s="113"/>
    </row>
    <row r="594" spans="1:31" s="19" customFormat="1" ht="12.75">
      <c r="A594" s="21"/>
      <c r="B594" s="21"/>
      <c r="C594" s="21"/>
      <c r="D594" s="21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113"/>
      <c r="AE594" s="113"/>
    </row>
    <row r="595" spans="1:31" s="19" customFormat="1" ht="12.75">
      <c r="A595" s="21"/>
      <c r="B595" s="21"/>
      <c r="C595" s="21"/>
      <c r="D595" s="21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113"/>
      <c r="AE595" s="113"/>
    </row>
    <row r="596" spans="1:31" s="19" customFormat="1" ht="12.75">
      <c r="A596" s="21"/>
      <c r="B596" s="21"/>
      <c r="C596" s="21"/>
      <c r="D596" s="21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113"/>
      <c r="AE596" s="113"/>
    </row>
    <row r="597" spans="1:31" s="19" customFormat="1" ht="12.75">
      <c r="A597" s="21"/>
      <c r="B597" s="21"/>
      <c r="C597" s="21"/>
      <c r="D597" s="21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113"/>
      <c r="AE597" s="113"/>
    </row>
    <row r="598" spans="1:31" s="19" customFormat="1" ht="12.75">
      <c r="A598" s="21"/>
      <c r="B598" s="21"/>
      <c r="C598" s="21"/>
      <c r="D598" s="21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113"/>
      <c r="AE598" s="113"/>
    </row>
    <row r="599" spans="1:31" s="19" customFormat="1" ht="12.75">
      <c r="A599" s="21"/>
      <c r="B599" s="21"/>
      <c r="C599" s="21"/>
      <c r="D599" s="21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113"/>
      <c r="AE599" s="113"/>
    </row>
    <row r="600" spans="1:31" s="19" customFormat="1" ht="12.75">
      <c r="A600" s="21"/>
      <c r="B600" s="21"/>
      <c r="C600" s="21"/>
      <c r="D600" s="21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113"/>
      <c r="AE600" s="113"/>
    </row>
    <row r="601" spans="1:31" s="19" customFormat="1" ht="12.75">
      <c r="A601" s="21"/>
      <c r="B601" s="21"/>
      <c r="C601" s="21"/>
      <c r="D601" s="21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113"/>
      <c r="AE601" s="113"/>
    </row>
    <row r="602" spans="1:31" s="19" customFormat="1" ht="12.75">
      <c r="A602" s="21"/>
      <c r="B602" s="21"/>
      <c r="C602" s="21"/>
      <c r="D602" s="21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113"/>
      <c r="AE602" s="113"/>
    </row>
    <row r="603" spans="1:31" s="19" customFormat="1" ht="12.75">
      <c r="A603" s="21"/>
      <c r="B603" s="21"/>
      <c r="C603" s="21"/>
      <c r="D603" s="21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113"/>
      <c r="AE603" s="113"/>
    </row>
    <row r="604" spans="1:31" s="19" customFormat="1" ht="12.75">
      <c r="A604" s="21"/>
      <c r="B604" s="21"/>
      <c r="C604" s="21"/>
      <c r="D604" s="21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113"/>
      <c r="AE604" s="113"/>
    </row>
    <row r="605" spans="1:31" s="19" customFormat="1" ht="12.75">
      <c r="A605" s="21"/>
      <c r="B605" s="21"/>
      <c r="C605" s="21"/>
      <c r="D605" s="21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113"/>
      <c r="AE605" s="113"/>
    </row>
    <row r="606" spans="1:31" s="19" customFormat="1" ht="12.75">
      <c r="A606" s="21"/>
      <c r="B606" s="21"/>
      <c r="C606" s="21"/>
      <c r="D606" s="21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113"/>
      <c r="AE606" s="113"/>
    </row>
    <row r="607" spans="1:31" s="19" customFormat="1" ht="12.75">
      <c r="A607" s="21"/>
      <c r="B607" s="21"/>
      <c r="C607" s="21"/>
      <c r="D607" s="21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113"/>
      <c r="AE607" s="113"/>
    </row>
    <row r="608" spans="1:31" s="19" customFormat="1" ht="12.75">
      <c r="A608" s="21"/>
      <c r="B608" s="21"/>
      <c r="C608" s="21"/>
      <c r="D608" s="21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113"/>
      <c r="AE608" s="113"/>
    </row>
    <row r="609" spans="1:31" s="19" customFormat="1" ht="12.75">
      <c r="A609" s="21"/>
      <c r="B609" s="21"/>
      <c r="C609" s="21"/>
      <c r="D609" s="21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113"/>
      <c r="AE609" s="113"/>
    </row>
    <row r="610" spans="1:31" s="19" customFormat="1" ht="12.75">
      <c r="A610" s="21"/>
      <c r="B610" s="21"/>
      <c r="C610" s="21"/>
      <c r="D610" s="21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113"/>
      <c r="AE610" s="113"/>
    </row>
    <row r="611" spans="1:31" s="19" customFormat="1" ht="12.75">
      <c r="A611" s="21"/>
      <c r="B611" s="21"/>
      <c r="C611" s="21"/>
      <c r="D611" s="21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113"/>
      <c r="AE611" s="113"/>
    </row>
    <row r="612" spans="1:31" s="19" customFormat="1" ht="12.75">
      <c r="A612" s="21"/>
      <c r="B612" s="21"/>
      <c r="C612" s="21"/>
      <c r="D612" s="21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113"/>
      <c r="AE612" s="113"/>
    </row>
    <row r="613" spans="1:31" s="19" customFormat="1" ht="12.75">
      <c r="A613" s="21"/>
      <c r="B613" s="21"/>
      <c r="C613" s="21"/>
      <c r="D613" s="21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113"/>
      <c r="AE613" s="113"/>
    </row>
    <row r="614" spans="1:31" s="19" customFormat="1" ht="12.75">
      <c r="A614" s="21"/>
      <c r="B614" s="21"/>
      <c r="C614" s="21"/>
      <c r="D614" s="21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113"/>
      <c r="AE614" s="113"/>
    </row>
    <row r="615" spans="1:31" s="19" customFormat="1" ht="12.75">
      <c r="A615" s="21"/>
      <c r="B615" s="21"/>
      <c r="C615" s="21"/>
      <c r="D615" s="21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113"/>
      <c r="AE615" s="113"/>
    </row>
    <row r="616" spans="1:31" s="19" customFormat="1" ht="12.75">
      <c r="A616" s="21"/>
      <c r="B616" s="21"/>
      <c r="C616" s="21"/>
      <c r="D616" s="21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113"/>
      <c r="AE616" s="113"/>
    </row>
    <row r="617" spans="1:31" s="19" customFormat="1" ht="12.75">
      <c r="A617" s="21"/>
      <c r="B617" s="21"/>
      <c r="C617" s="21"/>
      <c r="D617" s="21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113"/>
      <c r="AE617" s="113"/>
    </row>
    <row r="618" spans="1:31" s="19" customFormat="1" ht="12.75">
      <c r="A618" s="21"/>
      <c r="B618" s="21"/>
      <c r="C618" s="21"/>
      <c r="D618" s="21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113"/>
      <c r="AE618" s="113"/>
    </row>
    <row r="619" spans="1:31" s="19" customFormat="1" ht="12.75">
      <c r="A619" s="21"/>
      <c r="B619" s="21"/>
      <c r="C619" s="21"/>
      <c r="D619" s="21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113"/>
      <c r="AE619" s="113"/>
    </row>
    <row r="620" spans="1:31" s="19" customFormat="1" ht="12.75">
      <c r="A620" s="21"/>
      <c r="B620" s="21"/>
      <c r="C620" s="21"/>
      <c r="D620" s="21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113"/>
      <c r="AE620" s="113"/>
    </row>
    <row r="621" spans="1:31" s="19" customFormat="1" ht="12.75">
      <c r="A621" s="21"/>
      <c r="B621" s="21"/>
      <c r="C621" s="21"/>
      <c r="D621" s="21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113"/>
      <c r="AE621" s="113"/>
    </row>
    <row r="622" spans="1:31" s="19" customFormat="1" ht="12.75">
      <c r="A622" s="21"/>
      <c r="B622" s="21"/>
      <c r="C622" s="21"/>
      <c r="D622" s="21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113"/>
      <c r="AE622" s="113"/>
    </row>
    <row r="623" spans="1:31" s="19" customFormat="1" ht="12.75">
      <c r="A623" s="21"/>
      <c r="B623" s="21"/>
      <c r="C623" s="21"/>
      <c r="D623" s="21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113"/>
      <c r="AE623" s="113"/>
    </row>
    <row r="624" spans="1:31" s="19" customFormat="1" ht="12.75">
      <c r="A624" s="21"/>
      <c r="B624" s="21"/>
      <c r="C624" s="21"/>
      <c r="D624" s="21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113"/>
      <c r="AE624" s="113"/>
    </row>
    <row r="625" spans="1:31" s="19" customFormat="1" ht="12.75">
      <c r="A625" s="21"/>
      <c r="B625" s="21"/>
      <c r="C625" s="21"/>
      <c r="D625" s="21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113"/>
      <c r="AE625" s="113"/>
    </row>
    <row r="626" spans="1:31" s="19" customFormat="1" ht="12.75">
      <c r="A626" s="21"/>
      <c r="B626" s="21"/>
      <c r="C626" s="21"/>
      <c r="D626" s="21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113"/>
      <c r="AE626" s="113"/>
    </row>
    <row r="627" spans="1:31" s="19" customFormat="1" ht="12.75">
      <c r="A627" s="21"/>
      <c r="B627" s="21"/>
      <c r="C627" s="21"/>
      <c r="D627" s="21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113"/>
      <c r="AE627" s="113"/>
    </row>
    <row r="628" spans="1:31" s="19" customFormat="1" ht="12.75">
      <c r="A628" s="21"/>
      <c r="B628" s="21"/>
      <c r="C628" s="21"/>
      <c r="D628" s="21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113"/>
      <c r="AE628" s="113"/>
    </row>
    <row r="629" spans="1:31" s="19" customFormat="1" ht="12.75">
      <c r="A629" s="21"/>
      <c r="B629" s="21"/>
      <c r="C629" s="21"/>
      <c r="D629" s="21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113"/>
      <c r="AE629" s="113"/>
    </row>
    <row r="630" spans="1:31" s="19" customFormat="1" ht="12.75">
      <c r="A630" s="21"/>
      <c r="B630" s="21"/>
      <c r="C630" s="21"/>
      <c r="D630" s="21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113"/>
      <c r="AE630" s="113"/>
    </row>
    <row r="631" spans="1:31" s="19" customFormat="1" ht="12.75">
      <c r="A631" s="21"/>
      <c r="B631" s="21"/>
      <c r="C631" s="21"/>
      <c r="D631" s="21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113"/>
      <c r="AE631" s="113"/>
    </row>
    <row r="632" spans="1:31" s="19" customFormat="1" ht="12.75">
      <c r="A632" s="21"/>
      <c r="B632" s="21"/>
      <c r="C632" s="21"/>
      <c r="D632" s="21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113"/>
      <c r="AE632" s="113"/>
    </row>
    <row r="633" spans="1:31" s="19" customFormat="1" ht="12.75">
      <c r="A633" s="21"/>
      <c r="B633" s="21"/>
      <c r="C633" s="21"/>
      <c r="D633" s="21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113"/>
      <c r="AE633" s="113"/>
    </row>
    <row r="634" spans="1:31" s="19" customFormat="1" ht="12.75">
      <c r="A634" s="21"/>
      <c r="B634" s="21"/>
      <c r="C634" s="21"/>
      <c r="D634" s="21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113"/>
      <c r="AE634" s="113"/>
    </row>
    <row r="635" spans="1:31" s="19" customFormat="1" ht="12.75">
      <c r="A635" s="21"/>
      <c r="B635" s="21"/>
      <c r="C635" s="21"/>
      <c r="D635" s="21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113"/>
      <c r="AE635" s="113"/>
    </row>
    <row r="636" spans="1:31" s="19" customFormat="1" ht="12.75">
      <c r="A636" s="21"/>
      <c r="B636" s="21"/>
      <c r="C636" s="21"/>
      <c r="D636" s="21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113"/>
      <c r="AE636" s="113"/>
    </row>
    <row r="637" spans="1:31" s="19" customFormat="1" ht="12.75">
      <c r="A637" s="21"/>
      <c r="B637" s="21"/>
      <c r="C637" s="21"/>
      <c r="D637" s="21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113"/>
      <c r="AE637" s="113"/>
    </row>
    <row r="638" spans="1:31" s="19" customFormat="1" ht="12.75">
      <c r="A638" s="21"/>
      <c r="B638" s="21"/>
      <c r="C638" s="21"/>
      <c r="D638" s="21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113"/>
      <c r="AE638" s="113"/>
    </row>
    <row r="639" spans="1:31" s="19" customFormat="1" ht="12.75">
      <c r="A639" s="21"/>
      <c r="B639" s="21"/>
      <c r="C639" s="21"/>
      <c r="D639" s="21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113"/>
      <c r="AE639" s="113"/>
    </row>
    <row r="640" spans="1:31" s="19" customFormat="1" ht="12.75">
      <c r="A640" s="21"/>
      <c r="B640" s="21"/>
      <c r="C640" s="21"/>
      <c r="D640" s="21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113"/>
      <c r="AE640" s="113"/>
    </row>
    <row r="641" spans="1:31" s="19" customFormat="1" ht="12.75">
      <c r="A641" s="21"/>
      <c r="B641" s="21"/>
      <c r="C641" s="21"/>
      <c r="D641" s="21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113"/>
      <c r="AE641" s="113"/>
    </row>
    <row r="642" spans="1:31" s="19" customFormat="1" ht="12.75">
      <c r="A642" s="21"/>
      <c r="B642" s="21"/>
      <c r="C642" s="21"/>
      <c r="D642" s="21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113"/>
      <c r="AE642" s="113"/>
    </row>
    <row r="643" spans="1:31" s="19" customFormat="1" ht="12.75">
      <c r="A643" s="21"/>
      <c r="B643" s="21"/>
      <c r="C643" s="21"/>
      <c r="D643" s="21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113"/>
      <c r="AE643" s="113"/>
    </row>
    <row r="644" spans="1:31" s="19" customFormat="1" ht="12.75">
      <c r="A644" s="21"/>
      <c r="B644" s="21"/>
      <c r="C644" s="21"/>
      <c r="D644" s="21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113"/>
      <c r="AE644" s="113"/>
    </row>
    <row r="645" spans="1:31" s="19" customFormat="1" ht="12.75">
      <c r="A645" s="21"/>
      <c r="B645" s="21"/>
      <c r="C645" s="21"/>
      <c r="D645" s="21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113"/>
      <c r="AE645" s="113"/>
    </row>
    <row r="646" spans="1:31" s="19" customFormat="1" ht="12.75">
      <c r="A646" s="21"/>
      <c r="B646" s="21"/>
      <c r="C646" s="21"/>
      <c r="D646" s="21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113"/>
      <c r="AE646" s="113"/>
    </row>
    <row r="647" spans="1:31" s="19" customFormat="1" ht="12.75">
      <c r="A647" s="21"/>
      <c r="B647" s="21"/>
      <c r="C647" s="21"/>
      <c r="D647" s="21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113"/>
      <c r="AE647" s="113"/>
    </row>
    <row r="648" spans="1:31" s="19" customFormat="1" ht="12.75">
      <c r="A648" s="21"/>
      <c r="B648" s="21"/>
      <c r="C648" s="21"/>
      <c r="D648" s="21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113"/>
      <c r="AE648" s="113"/>
    </row>
    <row r="649" spans="1:31" s="19" customFormat="1" ht="12.75">
      <c r="A649" s="21"/>
      <c r="B649" s="21"/>
      <c r="C649" s="21"/>
      <c r="D649" s="21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113"/>
      <c r="AE649" s="113"/>
    </row>
    <row r="650" spans="1:31" s="19" customFormat="1" ht="12.75">
      <c r="A650" s="21"/>
      <c r="B650" s="21"/>
      <c r="C650" s="21"/>
      <c r="D650" s="21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113"/>
      <c r="AE650" s="113"/>
    </row>
    <row r="651" spans="1:31" s="19" customFormat="1" ht="12.75">
      <c r="A651" s="21"/>
      <c r="B651" s="21"/>
      <c r="C651" s="21"/>
      <c r="D651" s="21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113"/>
      <c r="AE651" s="113"/>
    </row>
    <row r="652" spans="1:31" s="19" customFormat="1" ht="12.75">
      <c r="A652" s="21"/>
      <c r="B652" s="21"/>
      <c r="C652" s="21"/>
      <c r="D652" s="21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113"/>
      <c r="AE652" s="113"/>
    </row>
    <row r="653" spans="1:31" s="19" customFormat="1" ht="12.75">
      <c r="A653" s="21"/>
      <c r="B653" s="21"/>
      <c r="C653" s="21"/>
      <c r="D653" s="21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113"/>
      <c r="AE653" s="113"/>
    </row>
    <row r="654" spans="1:31" s="19" customFormat="1" ht="12.75">
      <c r="A654" s="21"/>
      <c r="B654" s="21"/>
      <c r="C654" s="21"/>
      <c r="D654" s="21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113"/>
      <c r="AE654" s="113"/>
    </row>
    <row r="655" spans="1:31" s="19" customFormat="1" ht="12.75">
      <c r="A655" s="21"/>
      <c r="B655" s="21"/>
      <c r="C655" s="21"/>
      <c r="D655" s="21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113"/>
      <c r="AE655" s="113"/>
    </row>
    <row r="656" spans="1:31" s="19" customFormat="1" ht="12.75">
      <c r="A656" s="21"/>
      <c r="B656" s="21"/>
      <c r="C656" s="21"/>
      <c r="D656" s="21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113"/>
      <c r="AE656" s="113"/>
    </row>
    <row r="657" spans="1:31" s="19" customFormat="1" ht="12.75">
      <c r="A657" s="21"/>
      <c r="B657" s="21"/>
      <c r="C657" s="21"/>
      <c r="D657" s="21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113"/>
      <c r="AE657" s="113"/>
    </row>
    <row r="658" spans="1:31" s="19" customFormat="1" ht="12.75">
      <c r="A658" s="21"/>
      <c r="B658" s="21"/>
      <c r="C658" s="21"/>
      <c r="D658" s="21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113"/>
      <c r="AE658" s="113"/>
    </row>
    <row r="659" spans="1:31" s="19" customFormat="1" ht="12.75">
      <c r="A659" s="21"/>
      <c r="B659" s="21"/>
      <c r="C659" s="21"/>
      <c r="D659" s="21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113"/>
      <c r="AE659" s="113"/>
    </row>
    <row r="660" spans="1:31" s="19" customFormat="1" ht="12.75">
      <c r="A660" s="21"/>
      <c r="B660" s="21"/>
      <c r="C660" s="21"/>
      <c r="D660" s="21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113"/>
      <c r="AE660" s="113"/>
    </row>
    <row r="661" spans="1:31" s="19" customFormat="1" ht="12.75">
      <c r="A661" s="21"/>
      <c r="B661" s="21"/>
      <c r="C661" s="21"/>
      <c r="D661" s="21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113"/>
      <c r="AE661" s="113"/>
    </row>
    <row r="662" spans="1:31" s="19" customFormat="1" ht="12.75">
      <c r="A662" s="21"/>
      <c r="B662" s="21"/>
      <c r="C662" s="21"/>
      <c r="D662" s="21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113"/>
      <c r="AE662" s="113"/>
    </row>
    <row r="663" spans="1:31" s="19" customFormat="1" ht="12.75">
      <c r="A663" s="21"/>
      <c r="B663" s="21"/>
      <c r="C663" s="21"/>
      <c r="D663" s="21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113"/>
      <c r="AE663" s="113"/>
    </row>
    <row r="664" spans="1:31" s="19" customFormat="1" ht="12.75">
      <c r="A664" s="21"/>
      <c r="B664" s="21"/>
      <c r="C664" s="21"/>
      <c r="D664" s="21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113"/>
      <c r="AE664" s="113"/>
    </row>
    <row r="665" spans="1:31" s="19" customFormat="1" ht="12.75">
      <c r="A665" s="21"/>
      <c r="B665" s="21"/>
      <c r="C665" s="21"/>
      <c r="D665" s="21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113"/>
      <c r="AE665" s="113"/>
    </row>
    <row r="666" spans="1:31" s="19" customFormat="1" ht="12.75">
      <c r="A666" s="21"/>
      <c r="B666" s="21"/>
      <c r="C666" s="21"/>
      <c r="D666" s="21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113"/>
      <c r="AE666" s="113"/>
    </row>
    <row r="667" spans="1:31" s="19" customFormat="1" ht="12.75">
      <c r="A667" s="21"/>
      <c r="B667" s="21"/>
      <c r="C667" s="21"/>
      <c r="D667" s="21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113"/>
      <c r="AE667" s="113"/>
    </row>
    <row r="668" spans="1:31" s="19" customFormat="1" ht="12.75">
      <c r="A668" s="21"/>
      <c r="B668" s="21"/>
      <c r="C668" s="21"/>
      <c r="D668" s="21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113"/>
      <c r="AE668" s="113"/>
    </row>
    <row r="669" spans="1:31" s="19" customFormat="1" ht="12.75">
      <c r="A669" s="21"/>
      <c r="B669" s="21"/>
      <c r="C669" s="21"/>
      <c r="D669" s="21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113"/>
      <c r="AE669" s="113"/>
    </row>
    <row r="670" spans="1:31" s="19" customFormat="1" ht="12.75">
      <c r="A670" s="21"/>
      <c r="B670" s="21"/>
      <c r="C670" s="21"/>
      <c r="D670" s="21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113"/>
      <c r="AE670" s="113"/>
    </row>
    <row r="671" spans="1:31" s="19" customFormat="1" ht="12.75">
      <c r="A671" s="21"/>
      <c r="B671" s="21"/>
      <c r="C671" s="21"/>
      <c r="D671" s="21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113"/>
      <c r="AE671" s="113"/>
    </row>
    <row r="672" spans="1:31" s="19" customFormat="1" ht="12.75">
      <c r="A672" s="21"/>
      <c r="B672" s="21"/>
      <c r="C672" s="21"/>
      <c r="D672" s="21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113"/>
      <c r="AE672" s="113"/>
    </row>
    <row r="673" spans="1:31" s="19" customFormat="1" ht="12.75">
      <c r="A673" s="21"/>
      <c r="B673" s="21"/>
      <c r="C673" s="21"/>
      <c r="D673" s="21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113"/>
      <c r="AE673" s="113"/>
    </row>
    <row r="674" spans="1:31" s="19" customFormat="1" ht="12.75">
      <c r="A674" s="21"/>
      <c r="B674" s="21"/>
      <c r="C674" s="21"/>
      <c r="D674" s="21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113"/>
      <c r="AE674" s="113"/>
    </row>
    <row r="675" spans="1:31" s="19" customFormat="1" ht="12.75">
      <c r="A675" s="21"/>
      <c r="B675" s="21"/>
      <c r="C675" s="21"/>
      <c r="D675" s="21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113"/>
      <c r="AE675" s="113"/>
    </row>
    <row r="676" spans="1:31" s="19" customFormat="1" ht="12.75">
      <c r="A676" s="21"/>
      <c r="B676" s="21"/>
      <c r="C676" s="21"/>
      <c r="D676" s="21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113"/>
      <c r="AE676" s="113"/>
    </row>
    <row r="677" spans="1:31" s="19" customFormat="1" ht="12.75">
      <c r="A677" s="21"/>
      <c r="B677" s="21"/>
      <c r="C677" s="21"/>
      <c r="D677" s="21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113"/>
      <c r="AE677" s="113"/>
    </row>
    <row r="678" spans="1:31" s="19" customFormat="1" ht="12.75">
      <c r="A678" s="21"/>
      <c r="B678" s="21"/>
      <c r="C678" s="21"/>
      <c r="D678" s="21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113"/>
      <c r="AE678" s="113"/>
    </row>
    <row r="679" spans="1:31" s="19" customFormat="1" ht="12.75">
      <c r="A679" s="21"/>
      <c r="B679" s="21"/>
      <c r="C679" s="21"/>
      <c r="D679" s="21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113"/>
      <c r="AE679" s="113"/>
    </row>
    <row r="680" spans="1:31" s="19" customFormat="1" ht="12.75">
      <c r="A680" s="21"/>
      <c r="B680" s="21"/>
      <c r="C680" s="21"/>
      <c r="D680" s="21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113"/>
      <c r="AE680" s="113"/>
    </row>
    <row r="681" spans="1:31" s="19" customFormat="1" ht="12.75">
      <c r="A681" s="21"/>
      <c r="B681" s="21"/>
      <c r="C681" s="21"/>
      <c r="D681" s="21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113"/>
      <c r="AE681" s="113"/>
    </row>
    <row r="682" spans="1:31" s="19" customFormat="1" ht="12.75">
      <c r="A682" s="21"/>
      <c r="B682" s="21"/>
      <c r="C682" s="21"/>
      <c r="D682" s="21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113"/>
      <c r="AE682" s="113"/>
    </row>
    <row r="683" spans="1:31" s="19" customFormat="1" ht="12.75">
      <c r="A683" s="21"/>
      <c r="B683" s="21"/>
      <c r="C683" s="21"/>
      <c r="D683" s="21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113"/>
      <c r="AE683" s="113"/>
    </row>
    <row r="684" spans="1:31" s="19" customFormat="1" ht="12.75">
      <c r="A684" s="21"/>
      <c r="B684" s="21"/>
      <c r="C684" s="21"/>
      <c r="D684" s="21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113"/>
      <c r="AE684" s="113"/>
    </row>
    <row r="685" spans="1:31" s="19" customFormat="1" ht="12.75">
      <c r="A685" s="21"/>
      <c r="B685" s="21"/>
      <c r="C685" s="21"/>
      <c r="D685" s="21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113"/>
      <c r="AE685" s="113"/>
    </row>
    <row r="686" spans="1:31" s="19" customFormat="1" ht="12.75">
      <c r="A686" s="21"/>
      <c r="B686" s="21"/>
      <c r="C686" s="21"/>
      <c r="D686" s="21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113"/>
      <c r="AE686" s="113"/>
    </row>
    <row r="687" spans="1:31" s="19" customFormat="1" ht="12.75">
      <c r="A687" s="21"/>
      <c r="B687" s="21"/>
      <c r="C687" s="21"/>
      <c r="D687" s="21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113"/>
      <c r="AE687" s="113"/>
    </row>
    <row r="688" spans="1:31" s="19" customFormat="1" ht="12.75">
      <c r="A688" s="21"/>
      <c r="B688" s="21"/>
      <c r="C688" s="21"/>
      <c r="D688" s="21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113"/>
      <c r="AE688" s="113"/>
    </row>
    <row r="689" spans="1:31" s="19" customFormat="1" ht="12.75">
      <c r="A689" s="21"/>
      <c r="B689" s="21"/>
      <c r="C689" s="21"/>
      <c r="D689" s="21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113"/>
      <c r="AE689" s="113"/>
    </row>
    <row r="690" spans="1:31" s="19" customFormat="1" ht="12.75">
      <c r="A690" s="21"/>
      <c r="B690" s="21"/>
      <c r="C690" s="21"/>
      <c r="D690" s="21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113"/>
      <c r="AE690" s="113"/>
    </row>
    <row r="691" spans="1:31" s="19" customFormat="1" ht="12.75">
      <c r="A691" s="21"/>
      <c r="B691" s="21"/>
      <c r="C691" s="21"/>
      <c r="D691" s="21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113"/>
      <c r="AE691" s="113"/>
    </row>
    <row r="692" spans="1:31" s="19" customFormat="1" ht="12.75">
      <c r="A692" s="21"/>
      <c r="B692" s="21"/>
      <c r="C692" s="21"/>
      <c r="D692" s="21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113"/>
      <c r="AE692" s="113"/>
    </row>
    <row r="693" spans="1:31" s="19" customFormat="1" ht="12.75">
      <c r="A693" s="21"/>
      <c r="B693" s="21"/>
      <c r="C693" s="21"/>
      <c r="D693" s="21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113"/>
      <c r="AE693" s="113"/>
    </row>
    <row r="694" spans="1:31" s="19" customFormat="1" ht="12.75">
      <c r="A694" s="21"/>
      <c r="B694" s="21"/>
      <c r="C694" s="21"/>
      <c r="D694" s="21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113"/>
      <c r="AE694" s="113"/>
    </row>
    <row r="695" spans="1:31" s="19" customFormat="1" ht="12.75">
      <c r="A695" s="21"/>
      <c r="B695" s="21"/>
      <c r="C695" s="21"/>
      <c r="D695" s="21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113"/>
      <c r="AE695" s="113"/>
    </row>
    <row r="696" spans="1:31" s="19" customFormat="1" ht="12.75">
      <c r="A696" s="21"/>
      <c r="B696" s="21"/>
      <c r="C696" s="21"/>
      <c r="D696" s="21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113"/>
      <c r="AE696" s="113"/>
    </row>
    <row r="697" spans="1:31" s="19" customFormat="1" ht="12.75">
      <c r="A697" s="21"/>
      <c r="B697" s="21"/>
      <c r="C697" s="21"/>
      <c r="D697" s="21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113"/>
      <c r="AE697" s="113"/>
    </row>
    <row r="698" spans="1:31" s="19" customFormat="1" ht="12.75">
      <c r="A698" s="21"/>
      <c r="B698" s="21"/>
      <c r="C698" s="21"/>
      <c r="D698" s="21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113"/>
      <c r="AE698" s="113"/>
    </row>
    <row r="699" spans="1:31" s="19" customFormat="1" ht="12.75">
      <c r="A699" s="21"/>
      <c r="B699" s="21"/>
      <c r="C699" s="21"/>
      <c r="D699" s="21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113"/>
      <c r="AE699" s="113"/>
    </row>
    <row r="700" spans="1:31" s="19" customFormat="1" ht="12.75">
      <c r="A700" s="21"/>
      <c r="B700" s="21"/>
      <c r="C700" s="21"/>
      <c r="D700" s="21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113"/>
      <c r="AE700" s="113"/>
    </row>
    <row r="701" spans="1:31" s="19" customFormat="1" ht="12.75">
      <c r="A701" s="21"/>
      <c r="B701" s="21"/>
      <c r="C701" s="21"/>
      <c r="D701" s="21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113"/>
      <c r="AE701" s="113"/>
    </row>
    <row r="702" spans="1:31" s="19" customFormat="1" ht="12.75">
      <c r="A702" s="21"/>
      <c r="B702" s="21"/>
      <c r="C702" s="21"/>
      <c r="D702" s="21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113"/>
      <c r="AE702" s="113"/>
    </row>
    <row r="703" spans="1:31" s="19" customFormat="1" ht="12.75">
      <c r="A703" s="21"/>
      <c r="B703" s="21"/>
      <c r="C703" s="21"/>
      <c r="D703" s="21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113"/>
      <c r="AE703" s="113"/>
    </row>
    <row r="704" spans="1:31" s="19" customFormat="1" ht="12.75">
      <c r="A704" s="21"/>
      <c r="B704" s="21"/>
      <c r="C704" s="21"/>
      <c r="D704" s="21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113"/>
      <c r="AE704" s="113"/>
    </row>
    <row r="705" spans="1:31" s="19" customFormat="1" ht="12.75">
      <c r="A705" s="21"/>
      <c r="B705" s="21"/>
      <c r="C705" s="21"/>
      <c r="D705" s="21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113"/>
      <c r="AE705" s="113"/>
    </row>
    <row r="706" spans="1:31" s="19" customFormat="1" ht="12.75">
      <c r="A706" s="21"/>
      <c r="B706" s="21"/>
      <c r="C706" s="21"/>
      <c r="D706" s="21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113"/>
      <c r="AE706" s="113"/>
    </row>
    <row r="707" spans="1:31" s="19" customFormat="1" ht="12.75">
      <c r="A707" s="21"/>
      <c r="B707" s="21"/>
      <c r="C707" s="21"/>
      <c r="D707" s="21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113"/>
      <c r="AE707" s="113"/>
    </row>
    <row r="708" spans="1:31" s="19" customFormat="1" ht="12.75">
      <c r="A708" s="21"/>
      <c r="B708" s="21"/>
      <c r="C708" s="21"/>
      <c r="D708" s="21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113"/>
      <c r="AE708" s="113"/>
    </row>
    <row r="709" spans="1:31" s="19" customFormat="1" ht="12.75">
      <c r="A709" s="21"/>
      <c r="B709" s="21"/>
      <c r="C709" s="21"/>
      <c r="D709" s="21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113"/>
      <c r="AE709" s="113"/>
    </row>
    <row r="710" spans="1:31" s="19" customFormat="1" ht="12.75">
      <c r="A710" s="21"/>
      <c r="B710" s="21"/>
      <c r="C710" s="21"/>
      <c r="D710" s="21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113"/>
      <c r="AE710" s="113"/>
    </row>
    <row r="711" spans="1:31" s="19" customFormat="1" ht="12.75">
      <c r="A711" s="21"/>
      <c r="B711" s="21"/>
      <c r="C711" s="21"/>
      <c r="D711" s="21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113"/>
      <c r="AE711" s="113"/>
    </row>
    <row r="712" spans="1:31" s="19" customFormat="1" ht="12.75">
      <c r="A712" s="21"/>
      <c r="B712" s="21"/>
      <c r="C712" s="21"/>
      <c r="D712" s="21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113"/>
      <c r="AE712" s="113"/>
    </row>
    <row r="713" spans="1:31" s="19" customFormat="1" ht="12.75">
      <c r="A713" s="21"/>
      <c r="B713" s="21"/>
      <c r="C713" s="21"/>
      <c r="D713" s="21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113"/>
      <c r="AE713" s="113"/>
    </row>
    <row r="714" spans="1:31" s="19" customFormat="1" ht="12.75">
      <c r="A714" s="21"/>
      <c r="B714" s="21"/>
      <c r="C714" s="21"/>
      <c r="D714" s="21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113"/>
      <c r="AE714" s="113"/>
    </row>
    <row r="715" spans="1:31" s="19" customFormat="1" ht="12.75">
      <c r="A715" s="21"/>
      <c r="B715" s="21"/>
      <c r="C715" s="21"/>
      <c r="D715" s="21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113"/>
      <c r="AE715" s="113"/>
    </row>
    <row r="716" spans="1:31" s="19" customFormat="1" ht="12.75">
      <c r="A716" s="21"/>
      <c r="B716" s="21"/>
      <c r="C716" s="21"/>
      <c r="D716" s="21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113"/>
      <c r="AE716" s="113"/>
    </row>
    <row r="717" spans="1:31" s="19" customFormat="1" ht="12.75">
      <c r="A717" s="21"/>
      <c r="B717" s="21"/>
      <c r="C717" s="21"/>
      <c r="D717" s="21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113"/>
      <c r="AE717" s="113"/>
    </row>
    <row r="718" spans="1:31" s="19" customFormat="1" ht="12.75">
      <c r="A718" s="21"/>
      <c r="B718" s="21"/>
      <c r="C718" s="21"/>
      <c r="D718" s="21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113"/>
      <c r="AE718" s="113"/>
    </row>
    <row r="719" spans="1:31" s="19" customFormat="1" ht="12.75">
      <c r="A719" s="21"/>
      <c r="B719" s="21"/>
      <c r="C719" s="21"/>
      <c r="D719" s="21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113"/>
      <c r="AE719" s="113"/>
    </row>
    <row r="720" spans="1:31" s="19" customFormat="1" ht="12.75">
      <c r="A720" s="21"/>
      <c r="B720" s="21"/>
      <c r="C720" s="21"/>
      <c r="D720" s="21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113"/>
      <c r="AE720" s="113"/>
    </row>
    <row r="721" spans="1:31" s="19" customFormat="1" ht="12.75">
      <c r="A721" s="21"/>
      <c r="B721" s="21"/>
      <c r="C721" s="21"/>
      <c r="D721" s="21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113"/>
      <c r="AE721" s="113"/>
    </row>
    <row r="722" spans="1:31" s="19" customFormat="1" ht="12.75">
      <c r="A722" s="21"/>
      <c r="B722" s="21"/>
      <c r="C722" s="21"/>
      <c r="D722" s="21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113"/>
      <c r="AE722" s="113"/>
    </row>
    <row r="723" spans="1:31" s="19" customFormat="1" ht="12.75">
      <c r="A723" s="21"/>
      <c r="B723" s="21"/>
      <c r="C723" s="21"/>
      <c r="D723" s="21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113"/>
      <c r="AE723" s="113"/>
    </row>
    <row r="724" spans="1:31" s="19" customFormat="1" ht="12.75">
      <c r="A724" s="21"/>
      <c r="B724" s="21"/>
      <c r="C724" s="21"/>
      <c r="D724" s="21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113"/>
      <c r="AE724" s="113"/>
    </row>
    <row r="725" spans="1:31" s="19" customFormat="1" ht="12.75">
      <c r="A725" s="21"/>
      <c r="B725" s="21"/>
      <c r="C725" s="21"/>
      <c r="D725" s="21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113"/>
      <c r="AE725" s="113"/>
    </row>
    <row r="726" spans="1:31" s="19" customFormat="1" ht="12.75">
      <c r="A726" s="21"/>
      <c r="B726" s="21"/>
      <c r="C726" s="21"/>
      <c r="D726" s="21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113"/>
      <c r="AE726" s="113"/>
    </row>
    <row r="727" spans="1:31" s="19" customFormat="1" ht="12.75">
      <c r="A727" s="21"/>
      <c r="B727" s="21"/>
      <c r="C727" s="21"/>
      <c r="D727" s="21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113"/>
      <c r="AE727" s="113"/>
    </row>
    <row r="728" spans="1:31" s="19" customFormat="1" ht="12.75">
      <c r="A728" s="21"/>
      <c r="B728" s="21"/>
      <c r="C728" s="21"/>
      <c r="D728" s="21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113"/>
      <c r="AE728" s="113"/>
    </row>
    <row r="729" spans="1:31" s="19" customFormat="1" ht="12.75">
      <c r="A729" s="21"/>
      <c r="B729" s="21"/>
      <c r="C729" s="21"/>
      <c r="D729" s="21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113"/>
      <c r="AE729" s="113"/>
    </row>
    <row r="730" spans="1:31" s="19" customFormat="1" ht="12.75">
      <c r="A730" s="21"/>
      <c r="B730" s="21"/>
      <c r="C730" s="21"/>
      <c r="D730" s="21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113"/>
      <c r="AE730" s="113"/>
    </row>
    <row r="731" spans="1:31" s="19" customFormat="1" ht="12.75">
      <c r="A731" s="21"/>
      <c r="B731" s="21"/>
      <c r="C731" s="21"/>
      <c r="D731" s="21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113"/>
      <c r="AE731" s="113"/>
    </row>
    <row r="732" spans="1:31" s="19" customFormat="1" ht="12.75">
      <c r="A732" s="21"/>
      <c r="B732" s="21"/>
      <c r="C732" s="21"/>
      <c r="D732" s="21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113"/>
      <c r="AE732" s="113"/>
    </row>
    <row r="733" spans="1:31" s="19" customFormat="1" ht="12.75">
      <c r="A733" s="21"/>
      <c r="B733" s="21"/>
      <c r="C733" s="21"/>
      <c r="D733" s="21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113"/>
      <c r="AE733" s="113"/>
    </row>
    <row r="734" spans="1:31" s="19" customFormat="1" ht="12.75">
      <c r="A734" s="21"/>
      <c r="B734" s="21"/>
      <c r="C734" s="21"/>
      <c r="D734" s="21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113"/>
      <c r="AE734" s="113"/>
    </row>
    <row r="735" spans="1:31" s="19" customFormat="1" ht="12.75">
      <c r="A735" s="21"/>
      <c r="B735" s="21"/>
      <c r="C735" s="21"/>
      <c r="D735" s="21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113"/>
      <c r="AE735" s="113"/>
    </row>
    <row r="736" spans="1:31" s="19" customFormat="1" ht="12.75">
      <c r="A736" s="21"/>
      <c r="B736" s="21"/>
      <c r="C736" s="21"/>
      <c r="D736" s="21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113"/>
      <c r="AE736" s="113"/>
    </row>
    <row r="737" spans="1:31" s="19" customFormat="1" ht="12.75">
      <c r="A737" s="21"/>
      <c r="B737" s="21"/>
      <c r="C737" s="21"/>
      <c r="D737" s="21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113"/>
      <c r="AE737" s="113"/>
    </row>
    <row r="738" spans="1:31" s="19" customFormat="1" ht="12.75">
      <c r="A738" s="21"/>
      <c r="B738" s="21"/>
      <c r="C738" s="21"/>
      <c r="D738" s="21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113"/>
      <c r="AE738" s="113"/>
    </row>
    <row r="739" spans="1:31" s="19" customFormat="1" ht="12.75">
      <c r="A739" s="21"/>
      <c r="B739" s="21"/>
      <c r="C739" s="21"/>
      <c r="D739" s="21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113"/>
      <c r="AE739" s="113"/>
    </row>
    <row r="740" spans="1:31" s="19" customFormat="1" ht="12.75">
      <c r="A740" s="21"/>
      <c r="B740" s="21"/>
      <c r="C740" s="21"/>
      <c r="D740" s="21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113"/>
      <c r="AE740" s="113"/>
    </row>
    <row r="741" spans="1:31" s="19" customFormat="1" ht="12.75">
      <c r="A741" s="21"/>
      <c r="B741" s="21"/>
      <c r="C741" s="21"/>
      <c r="D741" s="21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113"/>
      <c r="AE741" s="113"/>
    </row>
    <row r="742" spans="1:31" s="19" customFormat="1" ht="12.75">
      <c r="A742" s="21"/>
      <c r="B742" s="21"/>
      <c r="C742" s="21"/>
      <c r="D742" s="21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113"/>
      <c r="AE742" s="113"/>
    </row>
    <row r="743" spans="1:31" s="19" customFormat="1" ht="12.75">
      <c r="A743" s="21"/>
      <c r="B743" s="21"/>
      <c r="C743" s="21"/>
      <c r="D743" s="21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113"/>
      <c r="AE743" s="113"/>
    </row>
    <row r="744" spans="1:31" s="19" customFormat="1" ht="12.75">
      <c r="A744" s="21"/>
      <c r="B744" s="21"/>
      <c r="C744" s="21"/>
      <c r="D744" s="21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113"/>
      <c r="AE744" s="113"/>
    </row>
    <row r="745" spans="1:31" s="19" customFormat="1" ht="12.75">
      <c r="A745" s="21"/>
      <c r="B745" s="21"/>
      <c r="C745" s="21"/>
      <c r="D745" s="21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113"/>
      <c r="AE745" s="113"/>
    </row>
    <row r="746" spans="1:31" s="19" customFormat="1" ht="12.75">
      <c r="A746" s="21"/>
      <c r="B746" s="21"/>
      <c r="C746" s="21"/>
      <c r="D746" s="21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113"/>
      <c r="AE746" s="113"/>
    </row>
    <row r="747" spans="1:31" s="19" customFormat="1" ht="12.75">
      <c r="A747" s="21"/>
      <c r="B747" s="21"/>
      <c r="C747" s="21"/>
      <c r="D747" s="21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113"/>
      <c r="AE747" s="113"/>
    </row>
    <row r="748" spans="1:31" s="19" customFormat="1" ht="12.75">
      <c r="A748" s="21"/>
      <c r="B748" s="21"/>
      <c r="C748" s="21"/>
      <c r="D748" s="21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113"/>
      <c r="AE748" s="113"/>
    </row>
    <row r="749" spans="1:31" s="19" customFormat="1" ht="12.75">
      <c r="A749" s="21"/>
      <c r="B749" s="21"/>
      <c r="C749" s="21"/>
      <c r="D749" s="21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113"/>
      <c r="AE749" s="113"/>
    </row>
    <row r="750" spans="1:31" s="19" customFormat="1" ht="12.75">
      <c r="A750" s="21"/>
      <c r="B750" s="21"/>
      <c r="C750" s="21"/>
      <c r="D750" s="21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113"/>
      <c r="AE750" s="113"/>
    </row>
    <row r="751" spans="1:31" s="19" customFormat="1" ht="12.75">
      <c r="A751" s="21"/>
      <c r="B751" s="21"/>
      <c r="C751" s="21"/>
      <c r="D751" s="21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113"/>
      <c r="AE751" s="113"/>
    </row>
    <row r="752" spans="1:31" s="19" customFormat="1" ht="12.75">
      <c r="A752" s="21"/>
      <c r="B752" s="21"/>
      <c r="C752" s="21"/>
      <c r="D752" s="21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113"/>
      <c r="AE752" s="113"/>
    </row>
    <row r="753" spans="1:31" s="19" customFormat="1" ht="12.75">
      <c r="A753" s="21"/>
      <c r="B753" s="21"/>
      <c r="C753" s="21"/>
      <c r="D753" s="21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113"/>
      <c r="AE753" s="113"/>
    </row>
    <row r="754" spans="1:31" s="19" customFormat="1" ht="12.75">
      <c r="A754" s="21"/>
      <c r="B754" s="21"/>
      <c r="C754" s="21"/>
      <c r="D754" s="21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113"/>
      <c r="AE754" s="113"/>
    </row>
    <row r="755" spans="1:31" s="19" customFormat="1" ht="12.75">
      <c r="A755" s="21"/>
      <c r="B755" s="21"/>
      <c r="C755" s="21"/>
      <c r="D755" s="21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113"/>
      <c r="AE755" s="113"/>
    </row>
    <row r="756" spans="1:31" s="19" customFormat="1" ht="12.75">
      <c r="A756" s="21"/>
      <c r="B756" s="21"/>
      <c r="C756" s="21"/>
      <c r="D756" s="21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113"/>
      <c r="AE756" s="113"/>
    </row>
    <row r="757" spans="1:31" s="19" customFormat="1" ht="12.75">
      <c r="A757" s="21"/>
      <c r="B757" s="21"/>
      <c r="C757" s="21"/>
      <c r="D757" s="21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113"/>
      <c r="AE757" s="113"/>
    </row>
    <row r="758" spans="1:31" s="19" customFormat="1" ht="12.75">
      <c r="A758" s="21"/>
      <c r="B758" s="21"/>
      <c r="C758" s="21"/>
      <c r="D758" s="21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113"/>
      <c r="AE758" s="113"/>
    </row>
    <row r="759" spans="1:31" s="19" customFormat="1" ht="12.75">
      <c r="A759" s="21"/>
      <c r="B759" s="21"/>
      <c r="C759" s="21"/>
      <c r="D759" s="21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113"/>
      <c r="AE759" s="113"/>
    </row>
  </sheetData>
  <sheetProtection/>
  <mergeCells count="1">
    <mergeCell ref="A5:AC5"/>
  </mergeCells>
  <printOptions horizontalCentered="1"/>
  <pageMargins left="0.31496062992125984" right="0.31496062992125984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5"/>
  <sheetViews>
    <sheetView zoomScalePageLayoutView="0" workbookViewId="0" topLeftCell="A1">
      <selection activeCell="S57" sqref="S57"/>
    </sheetView>
  </sheetViews>
  <sheetFormatPr defaultColWidth="9.00390625" defaultRowHeight="12.75"/>
  <cols>
    <col min="1" max="1" width="5.625" style="6" customWidth="1"/>
    <col min="2" max="2" width="7.25390625" style="6" bestFit="1" customWidth="1"/>
    <col min="3" max="3" width="4.375" style="6" bestFit="1" customWidth="1"/>
    <col min="4" max="4" width="33.125" style="6" customWidth="1"/>
    <col min="5" max="5" width="14.00390625" style="6" hidden="1" customWidth="1"/>
    <col min="6" max="6" width="12.125" style="6" hidden="1" customWidth="1"/>
    <col min="7" max="7" width="13.625" style="6" hidden="1" customWidth="1"/>
    <col min="8" max="8" width="12.125" style="6" hidden="1" customWidth="1"/>
    <col min="9" max="9" width="13.625" style="6" hidden="1" customWidth="1"/>
    <col min="10" max="10" width="12.125" style="6" hidden="1" customWidth="1"/>
    <col min="11" max="11" width="15.125" style="6" hidden="1" customWidth="1"/>
    <col min="12" max="12" width="12.125" style="6" hidden="1" customWidth="1"/>
    <col min="13" max="13" width="15.125" style="6" hidden="1" customWidth="1"/>
    <col min="14" max="14" width="12.125" style="6" hidden="1" customWidth="1"/>
    <col min="15" max="15" width="15.125" style="6" hidden="1" customWidth="1"/>
    <col min="16" max="16" width="12.125" style="6" hidden="1" customWidth="1"/>
    <col min="17" max="17" width="15.125" style="6" hidden="1" customWidth="1"/>
    <col min="18" max="18" width="12.125" style="6" hidden="1" customWidth="1"/>
    <col min="19" max="19" width="15.125" style="6" customWidth="1"/>
    <col min="20" max="20" width="12.125" style="6" customWidth="1"/>
    <col min="21" max="21" width="15.125" style="6" customWidth="1"/>
  </cols>
  <sheetData>
    <row r="1" spans="1:21" ht="12.75">
      <c r="A1" s="44"/>
      <c r="B1" s="44"/>
      <c r="C1" s="44"/>
      <c r="D1" s="44"/>
      <c r="E1" s="45" t="s">
        <v>360</v>
      </c>
      <c r="F1" s="45"/>
      <c r="G1" s="45" t="s">
        <v>388</v>
      </c>
      <c r="H1" s="45"/>
      <c r="I1" s="45" t="s">
        <v>347</v>
      </c>
      <c r="J1" s="45"/>
      <c r="K1" s="45" t="s">
        <v>274</v>
      </c>
      <c r="L1" s="45"/>
      <c r="M1" s="45" t="s">
        <v>4</v>
      </c>
      <c r="N1" s="45"/>
      <c r="O1" s="45" t="s">
        <v>314</v>
      </c>
      <c r="P1" s="45"/>
      <c r="Q1" s="45" t="s">
        <v>413</v>
      </c>
      <c r="R1" s="45"/>
      <c r="S1" s="45" t="s">
        <v>457</v>
      </c>
      <c r="T1" s="45"/>
      <c r="U1" s="45"/>
    </row>
    <row r="2" spans="1:21" ht="12.75">
      <c r="A2" s="44"/>
      <c r="B2" s="44"/>
      <c r="C2" s="44"/>
      <c r="D2" s="44"/>
      <c r="E2" s="45" t="s">
        <v>358</v>
      </c>
      <c r="F2" s="45"/>
      <c r="G2" s="45" t="s">
        <v>389</v>
      </c>
      <c r="H2" s="45"/>
      <c r="I2" s="45" t="s">
        <v>345</v>
      </c>
      <c r="J2" s="45"/>
      <c r="K2" s="45" t="s">
        <v>272</v>
      </c>
      <c r="L2" s="45"/>
      <c r="M2" s="45" t="s">
        <v>125</v>
      </c>
      <c r="N2" s="45"/>
      <c r="O2" s="45" t="s">
        <v>312</v>
      </c>
      <c r="P2" s="45"/>
      <c r="Q2" s="45" t="s">
        <v>411</v>
      </c>
      <c r="R2" s="45"/>
      <c r="S2" s="45" t="s">
        <v>458</v>
      </c>
      <c r="T2" s="45"/>
      <c r="U2" s="45"/>
    </row>
    <row r="3" spans="1:21" ht="12.75">
      <c r="A3" s="44"/>
      <c r="B3" s="44"/>
      <c r="C3" s="44"/>
      <c r="D3" s="44"/>
      <c r="E3" s="45" t="s">
        <v>343</v>
      </c>
      <c r="F3" s="45"/>
      <c r="G3" s="45" t="s">
        <v>360</v>
      </c>
      <c r="H3" s="45"/>
      <c r="I3" s="45" t="s">
        <v>388</v>
      </c>
      <c r="J3" s="45"/>
      <c r="K3" s="45" t="s">
        <v>347</v>
      </c>
      <c r="L3" s="45"/>
      <c r="M3" s="45" t="s">
        <v>274</v>
      </c>
      <c r="N3" s="45"/>
      <c r="O3" s="45" t="s">
        <v>4</v>
      </c>
      <c r="P3" s="45"/>
      <c r="Q3" s="45" t="s">
        <v>314</v>
      </c>
      <c r="R3" s="45"/>
      <c r="S3" s="45" t="s">
        <v>413</v>
      </c>
      <c r="T3" s="45"/>
      <c r="U3" s="45"/>
    </row>
    <row r="4" spans="1:21" ht="12.75">
      <c r="A4" s="44"/>
      <c r="B4" s="44"/>
      <c r="C4" s="44"/>
      <c r="D4" s="44"/>
      <c r="E4" s="45" t="s">
        <v>339</v>
      </c>
      <c r="F4" s="45"/>
      <c r="G4" s="45" t="s">
        <v>282</v>
      </c>
      <c r="H4" s="45"/>
      <c r="I4" s="45" t="s">
        <v>382</v>
      </c>
      <c r="J4" s="45"/>
      <c r="K4" s="45" t="s">
        <v>322</v>
      </c>
      <c r="L4" s="45"/>
      <c r="M4" s="45" t="s">
        <v>123</v>
      </c>
      <c r="N4" s="45"/>
      <c r="O4" s="45" t="s">
        <v>328</v>
      </c>
      <c r="P4" s="45"/>
      <c r="Q4" s="45" t="s">
        <v>309</v>
      </c>
      <c r="R4" s="45"/>
      <c r="S4" s="45" t="s">
        <v>415</v>
      </c>
      <c r="T4" s="45"/>
      <c r="U4" s="45"/>
    </row>
    <row r="5" spans="1:21" ht="30" customHeight="1">
      <c r="A5" s="193" t="s">
        <v>369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</row>
    <row r="6" spans="1:21" s="6" customFormat="1" ht="24" customHeight="1">
      <c r="A6" s="49" t="s">
        <v>9</v>
      </c>
      <c r="B6" s="49" t="s">
        <v>12</v>
      </c>
      <c r="C6" s="85" t="s">
        <v>13</v>
      </c>
      <c r="D6" s="49" t="s">
        <v>14</v>
      </c>
      <c r="E6" s="96" t="s">
        <v>173</v>
      </c>
      <c r="F6" s="96" t="s">
        <v>348</v>
      </c>
      <c r="G6" s="96" t="s">
        <v>174</v>
      </c>
      <c r="H6" s="96" t="s">
        <v>232</v>
      </c>
      <c r="I6" s="96" t="s">
        <v>174</v>
      </c>
      <c r="J6" s="96" t="s">
        <v>232</v>
      </c>
      <c r="K6" s="96" t="s">
        <v>174</v>
      </c>
      <c r="L6" s="96" t="s">
        <v>232</v>
      </c>
      <c r="M6" s="96" t="s">
        <v>174</v>
      </c>
      <c r="N6" s="96" t="s">
        <v>232</v>
      </c>
      <c r="O6" s="96" t="s">
        <v>174</v>
      </c>
      <c r="P6" s="96" t="s">
        <v>232</v>
      </c>
      <c r="Q6" s="96" t="s">
        <v>174</v>
      </c>
      <c r="R6" s="96" t="s">
        <v>232</v>
      </c>
      <c r="S6" s="96" t="s">
        <v>174</v>
      </c>
      <c r="T6" s="96" t="s">
        <v>232</v>
      </c>
      <c r="U6" s="96" t="s">
        <v>238</v>
      </c>
    </row>
    <row r="7" spans="1:21" s="6" customFormat="1" ht="24" customHeight="1">
      <c r="A7" s="31" t="s">
        <v>15</v>
      </c>
      <c r="B7" s="49"/>
      <c r="C7" s="85"/>
      <c r="D7" s="115" t="s">
        <v>16</v>
      </c>
      <c r="E7" s="96"/>
      <c r="F7" s="96"/>
      <c r="G7" s="96"/>
      <c r="H7" s="96"/>
      <c r="I7" s="96"/>
      <c r="J7" s="96"/>
      <c r="K7" s="52">
        <f aca="true" t="shared" si="0" ref="K7:U8">SUM(K8)</f>
        <v>0</v>
      </c>
      <c r="L7" s="52">
        <f t="shared" si="0"/>
        <v>192361</v>
      </c>
      <c r="M7" s="52">
        <f t="shared" si="0"/>
        <v>192361</v>
      </c>
      <c r="N7" s="52">
        <f t="shared" si="0"/>
        <v>0</v>
      </c>
      <c r="O7" s="52">
        <f t="shared" si="0"/>
        <v>192361</v>
      </c>
      <c r="P7" s="52">
        <f t="shared" si="0"/>
        <v>0</v>
      </c>
      <c r="Q7" s="52">
        <f t="shared" si="0"/>
        <v>192361</v>
      </c>
      <c r="R7" s="52">
        <f t="shared" si="0"/>
        <v>0</v>
      </c>
      <c r="S7" s="52">
        <f t="shared" si="0"/>
        <v>192361</v>
      </c>
      <c r="T7" s="52">
        <f t="shared" si="0"/>
        <v>224360</v>
      </c>
      <c r="U7" s="52">
        <f t="shared" si="0"/>
        <v>416721</v>
      </c>
    </row>
    <row r="8" spans="1:21" s="22" customFormat="1" ht="24" customHeight="1">
      <c r="A8" s="59"/>
      <c r="B8" s="56" t="s">
        <v>289</v>
      </c>
      <c r="C8" s="134"/>
      <c r="D8" s="116" t="s">
        <v>17</v>
      </c>
      <c r="E8" s="135"/>
      <c r="F8" s="135"/>
      <c r="G8" s="135"/>
      <c r="H8" s="135"/>
      <c r="I8" s="135"/>
      <c r="J8" s="135"/>
      <c r="K8" s="81">
        <f t="shared" si="0"/>
        <v>0</v>
      </c>
      <c r="L8" s="81">
        <f t="shared" si="0"/>
        <v>192361</v>
      </c>
      <c r="M8" s="81">
        <f t="shared" si="0"/>
        <v>192361</v>
      </c>
      <c r="N8" s="81">
        <f t="shared" si="0"/>
        <v>0</v>
      </c>
      <c r="O8" s="81">
        <f t="shared" si="0"/>
        <v>192361</v>
      </c>
      <c r="P8" s="81">
        <f t="shared" si="0"/>
        <v>0</v>
      </c>
      <c r="Q8" s="81">
        <f t="shared" si="0"/>
        <v>192361</v>
      </c>
      <c r="R8" s="81">
        <f t="shared" si="0"/>
        <v>0</v>
      </c>
      <c r="S8" s="81">
        <f t="shared" si="0"/>
        <v>192361</v>
      </c>
      <c r="T8" s="81">
        <f t="shared" si="0"/>
        <v>224360</v>
      </c>
      <c r="U8" s="81">
        <f t="shared" si="0"/>
        <v>416721</v>
      </c>
    </row>
    <row r="9" spans="1:21" s="22" customFormat="1" ht="63" customHeight="1">
      <c r="A9" s="59"/>
      <c r="B9" s="59"/>
      <c r="C9" s="134">
        <v>2010</v>
      </c>
      <c r="D9" s="36" t="s">
        <v>251</v>
      </c>
      <c r="E9" s="135"/>
      <c r="F9" s="135"/>
      <c r="G9" s="135"/>
      <c r="H9" s="135"/>
      <c r="I9" s="135"/>
      <c r="J9" s="135"/>
      <c r="K9" s="81">
        <v>0</v>
      </c>
      <c r="L9" s="81">
        <v>192361</v>
      </c>
      <c r="M9" s="81">
        <f>SUM(K9:L9)</f>
        <v>192361</v>
      </c>
      <c r="N9" s="81"/>
      <c r="O9" s="81">
        <f>SUM(M9:N9)</f>
        <v>192361</v>
      </c>
      <c r="P9" s="81"/>
      <c r="Q9" s="81">
        <f>SUM(O9:P9)</f>
        <v>192361</v>
      </c>
      <c r="R9" s="81"/>
      <c r="S9" s="81">
        <f>SUM(Q9:R9)</f>
        <v>192361</v>
      </c>
      <c r="T9" s="81">
        <v>224360</v>
      </c>
      <c r="U9" s="81">
        <f>SUM(S9:T9)</f>
        <v>416721</v>
      </c>
    </row>
    <row r="10" spans="1:21" s="6" customFormat="1" ht="20.25" customHeight="1">
      <c r="A10" s="31" t="s">
        <v>26</v>
      </c>
      <c r="B10" s="25"/>
      <c r="C10" s="43"/>
      <c r="D10" s="34" t="s">
        <v>27</v>
      </c>
      <c r="E10" s="52">
        <f>SUM(E11)</f>
        <v>153500</v>
      </c>
      <c r="F10" s="52">
        <f>SUM(F11)</f>
        <v>0</v>
      </c>
      <c r="G10" s="52">
        <f>SUM(E10:F10)</f>
        <v>153500</v>
      </c>
      <c r="H10" s="52">
        <f>SUM(H11)</f>
        <v>0</v>
      </c>
      <c r="I10" s="52">
        <f>SUM(G10:H10)</f>
        <v>153500</v>
      </c>
      <c r="J10" s="52">
        <f>SUM(J11)</f>
        <v>0</v>
      </c>
      <c r="K10" s="52">
        <f>SUM(I10:J10)</f>
        <v>153500</v>
      </c>
      <c r="L10" s="52">
        <f>SUM(L11)</f>
        <v>0</v>
      </c>
      <c r="M10" s="52">
        <f>SUM(K10:L10)</f>
        <v>153500</v>
      </c>
      <c r="N10" s="52">
        <f>SUM(N11)</f>
        <v>0</v>
      </c>
      <c r="O10" s="52">
        <f>SUM(M10:N10)</f>
        <v>153500</v>
      </c>
      <c r="P10" s="52">
        <f>SUM(P11)</f>
        <v>2211</v>
      </c>
      <c r="Q10" s="52">
        <f>SUM(O10:P10)</f>
        <v>155711</v>
      </c>
      <c r="R10" s="52">
        <f>SUM(R11)</f>
        <v>0</v>
      </c>
      <c r="S10" s="52">
        <f>SUM(Q10:R10)</f>
        <v>155711</v>
      </c>
      <c r="T10" s="52">
        <f>SUM(T11)</f>
        <v>0</v>
      </c>
      <c r="U10" s="52">
        <f>SUM(S10:T10)</f>
        <v>155711</v>
      </c>
    </row>
    <row r="11" spans="1:21" s="22" customFormat="1" ht="17.25" customHeight="1">
      <c r="A11" s="56"/>
      <c r="B11" s="56">
        <v>75011</v>
      </c>
      <c r="C11" s="57"/>
      <c r="D11" s="36" t="s">
        <v>28</v>
      </c>
      <c r="E11" s="83">
        <f aca="true" t="shared" si="1" ref="E11:U11">E12</f>
        <v>153500</v>
      </c>
      <c r="F11" s="83">
        <f t="shared" si="1"/>
        <v>0</v>
      </c>
      <c r="G11" s="83">
        <f t="shared" si="1"/>
        <v>153500</v>
      </c>
      <c r="H11" s="83">
        <f t="shared" si="1"/>
        <v>0</v>
      </c>
      <c r="I11" s="83">
        <f t="shared" si="1"/>
        <v>153500</v>
      </c>
      <c r="J11" s="83">
        <f t="shared" si="1"/>
        <v>0</v>
      </c>
      <c r="K11" s="83">
        <f t="shared" si="1"/>
        <v>153500</v>
      </c>
      <c r="L11" s="83">
        <f t="shared" si="1"/>
        <v>0</v>
      </c>
      <c r="M11" s="83">
        <f t="shared" si="1"/>
        <v>153500</v>
      </c>
      <c r="N11" s="83">
        <f t="shared" si="1"/>
        <v>0</v>
      </c>
      <c r="O11" s="83">
        <f t="shared" si="1"/>
        <v>153500</v>
      </c>
      <c r="P11" s="83">
        <f t="shared" si="1"/>
        <v>2211</v>
      </c>
      <c r="Q11" s="83">
        <f t="shared" si="1"/>
        <v>155711</v>
      </c>
      <c r="R11" s="83">
        <f t="shared" si="1"/>
        <v>0</v>
      </c>
      <c r="S11" s="83">
        <f t="shared" si="1"/>
        <v>155711</v>
      </c>
      <c r="T11" s="83">
        <f t="shared" si="1"/>
        <v>0</v>
      </c>
      <c r="U11" s="83">
        <f t="shared" si="1"/>
        <v>155711</v>
      </c>
    </row>
    <row r="12" spans="1:21" s="22" customFormat="1" ht="56.25">
      <c r="A12" s="56"/>
      <c r="B12" s="76"/>
      <c r="C12" s="58" t="s">
        <v>209</v>
      </c>
      <c r="D12" s="36" t="s">
        <v>251</v>
      </c>
      <c r="E12" s="83">
        <v>153500</v>
      </c>
      <c r="F12" s="83"/>
      <c r="G12" s="83">
        <f>SUM(E12:F12)</f>
        <v>153500</v>
      </c>
      <c r="H12" s="83"/>
      <c r="I12" s="83">
        <f>SUM(G12:H12)</f>
        <v>153500</v>
      </c>
      <c r="J12" s="83"/>
      <c r="K12" s="83">
        <f>SUM(I12:J12)</f>
        <v>153500</v>
      </c>
      <c r="L12" s="83"/>
      <c r="M12" s="83">
        <f>SUM(K12:L12)</f>
        <v>153500</v>
      </c>
      <c r="N12" s="83"/>
      <c r="O12" s="83">
        <f>SUM(M12:N12)</f>
        <v>153500</v>
      </c>
      <c r="P12" s="83">
        <v>2211</v>
      </c>
      <c r="Q12" s="83">
        <f>SUM(O12:P12)</f>
        <v>155711</v>
      </c>
      <c r="R12" s="83"/>
      <c r="S12" s="83">
        <f>SUM(Q12:R12)</f>
        <v>155711</v>
      </c>
      <c r="T12" s="83"/>
      <c r="U12" s="83">
        <f>SUM(S12:T12)</f>
        <v>155711</v>
      </c>
    </row>
    <row r="13" spans="1:21" s="6" customFormat="1" ht="42" customHeight="1">
      <c r="A13" s="31">
        <v>751</v>
      </c>
      <c r="B13" s="33"/>
      <c r="C13" s="53"/>
      <c r="D13" s="34" t="s">
        <v>31</v>
      </c>
      <c r="E13" s="54">
        <f aca="true" t="shared" si="2" ref="E13:U13">SUM(E14)</f>
        <v>3910</v>
      </c>
      <c r="F13" s="54">
        <f t="shared" si="2"/>
        <v>0</v>
      </c>
      <c r="G13" s="54">
        <f t="shared" si="2"/>
        <v>3910</v>
      </c>
      <c r="H13" s="54">
        <f t="shared" si="2"/>
        <v>-414</v>
      </c>
      <c r="I13" s="54">
        <f t="shared" si="2"/>
        <v>3496</v>
      </c>
      <c r="J13" s="54">
        <f t="shared" si="2"/>
        <v>0</v>
      </c>
      <c r="K13" s="54">
        <f t="shared" si="2"/>
        <v>3496</v>
      </c>
      <c r="L13" s="54">
        <f t="shared" si="2"/>
        <v>0</v>
      </c>
      <c r="M13" s="54">
        <f t="shared" si="2"/>
        <v>3496</v>
      </c>
      <c r="N13" s="54">
        <f t="shared" si="2"/>
        <v>0</v>
      </c>
      <c r="O13" s="54">
        <f t="shared" si="2"/>
        <v>3496</v>
      </c>
      <c r="P13" s="54">
        <f t="shared" si="2"/>
        <v>0</v>
      </c>
      <c r="Q13" s="54">
        <f t="shared" si="2"/>
        <v>3496</v>
      </c>
      <c r="R13" s="54">
        <f t="shared" si="2"/>
        <v>0</v>
      </c>
      <c r="S13" s="54">
        <f t="shared" si="2"/>
        <v>3496</v>
      </c>
      <c r="T13" s="54">
        <f t="shared" si="2"/>
        <v>0</v>
      </c>
      <c r="U13" s="54">
        <f t="shared" si="2"/>
        <v>3496</v>
      </c>
    </row>
    <row r="14" spans="1:21" s="22" customFormat="1" ht="29.25" customHeight="1">
      <c r="A14" s="76"/>
      <c r="B14" s="56">
        <v>75101</v>
      </c>
      <c r="C14" s="57"/>
      <c r="D14" s="36" t="s">
        <v>32</v>
      </c>
      <c r="E14" s="84">
        <f aca="true" t="shared" si="3" ref="E14:U14">E15</f>
        <v>3910</v>
      </c>
      <c r="F14" s="84">
        <f t="shared" si="3"/>
        <v>0</v>
      </c>
      <c r="G14" s="84">
        <f t="shared" si="3"/>
        <v>3910</v>
      </c>
      <c r="H14" s="84">
        <f t="shared" si="3"/>
        <v>-414</v>
      </c>
      <c r="I14" s="84">
        <f t="shared" si="3"/>
        <v>3496</v>
      </c>
      <c r="J14" s="84">
        <f t="shared" si="3"/>
        <v>0</v>
      </c>
      <c r="K14" s="84">
        <f t="shared" si="3"/>
        <v>3496</v>
      </c>
      <c r="L14" s="84">
        <f t="shared" si="3"/>
        <v>0</v>
      </c>
      <c r="M14" s="84">
        <f t="shared" si="3"/>
        <v>3496</v>
      </c>
      <c r="N14" s="84">
        <f t="shared" si="3"/>
        <v>0</v>
      </c>
      <c r="O14" s="84">
        <f t="shared" si="3"/>
        <v>3496</v>
      </c>
      <c r="P14" s="84">
        <f t="shared" si="3"/>
        <v>0</v>
      </c>
      <c r="Q14" s="84">
        <f t="shared" si="3"/>
        <v>3496</v>
      </c>
      <c r="R14" s="84">
        <f t="shared" si="3"/>
        <v>0</v>
      </c>
      <c r="S14" s="84">
        <f t="shared" si="3"/>
        <v>3496</v>
      </c>
      <c r="T14" s="84">
        <f t="shared" si="3"/>
        <v>0</v>
      </c>
      <c r="U14" s="84">
        <f t="shared" si="3"/>
        <v>3496</v>
      </c>
    </row>
    <row r="15" spans="1:21" s="22" customFormat="1" ht="63" customHeight="1">
      <c r="A15" s="76"/>
      <c r="B15" s="56"/>
      <c r="C15" s="58" t="s">
        <v>209</v>
      </c>
      <c r="D15" s="36" t="s">
        <v>256</v>
      </c>
      <c r="E15" s="84">
        <v>3910</v>
      </c>
      <c r="F15" s="84"/>
      <c r="G15" s="84">
        <f>SUM(E15:F15)</f>
        <v>3910</v>
      </c>
      <c r="H15" s="84">
        <v>-414</v>
      </c>
      <c r="I15" s="84">
        <f>SUM(G15:H15)</f>
        <v>3496</v>
      </c>
      <c r="J15" s="84"/>
      <c r="K15" s="84">
        <f>SUM(I15:J15)</f>
        <v>3496</v>
      </c>
      <c r="L15" s="84"/>
      <c r="M15" s="84">
        <f>SUM(K15:L15)</f>
        <v>3496</v>
      </c>
      <c r="N15" s="84"/>
      <c r="O15" s="84">
        <f>SUM(M15:N15)</f>
        <v>3496</v>
      </c>
      <c r="P15" s="84"/>
      <c r="Q15" s="84">
        <f>SUM(O15:P15)</f>
        <v>3496</v>
      </c>
      <c r="R15" s="84"/>
      <c r="S15" s="84">
        <f>SUM(Q15:R15)</f>
        <v>3496</v>
      </c>
      <c r="T15" s="84"/>
      <c r="U15" s="84">
        <f>SUM(S15:T15)</f>
        <v>3496</v>
      </c>
    </row>
    <row r="16" spans="1:21" s="38" customFormat="1" ht="28.5" customHeight="1">
      <c r="A16" s="33">
        <v>754</v>
      </c>
      <c r="B16" s="31"/>
      <c r="C16" s="31"/>
      <c r="D16" s="34" t="s">
        <v>34</v>
      </c>
      <c r="E16" s="54">
        <f aca="true" t="shared" si="4" ref="E16:N16">SUM(E19)</f>
        <v>2500</v>
      </c>
      <c r="F16" s="54">
        <f t="shared" si="4"/>
        <v>0</v>
      </c>
      <c r="G16" s="54">
        <f t="shared" si="4"/>
        <v>2500</v>
      </c>
      <c r="H16" s="54">
        <f t="shared" si="4"/>
        <v>0</v>
      </c>
      <c r="I16" s="54">
        <f t="shared" si="4"/>
        <v>2500</v>
      </c>
      <c r="J16" s="54">
        <f t="shared" si="4"/>
        <v>0</v>
      </c>
      <c r="K16" s="54">
        <f t="shared" si="4"/>
        <v>2500</v>
      </c>
      <c r="L16" s="54">
        <f t="shared" si="4"/>
        <v>0</v>
      </c>
      <c r="M16" s="54">
        <f t="shared" si="4"/>
        <v>2500</v>
      </c>
      <c r="N16" s="54">
        <f t="shared" si="4"/>
        <v>0</v>
      </c>
      <c r="O16" s="54" t="e">
        <f>SUM(#REF!,O19)</f>
        <v>#REF!</v>
      </c>
      <c r="P16" s="54" t="e">
        <f>SUM(#REF!,P19)</f>
        <v>#REF!</v>
      </c>
      <c r="Q16" s="54" t="e">
        <f>SUM(#REF!,Q19)</f>
        <v>#REF!</v>
      </c>
      <c r="R16" s="54" t="e">
        <f>SUM(#REF!,R19)</f>
        <v>#REF!</v>
      </c>
      <c r="S16" s="54">
        <f>SUM(S19,S17)</f>
        <v>3200</v>
      </c>
      <c r="T16" s="54">
        <f>SUM(T19,T17)</f>
        <v>0</v>
      </c>
      <c r="U16" s="54">
        <f>SUM(U19,U17)</f>
        <v>3200</v>
      </c>
    </row>
    <row r="17" spans="1:21" s="38" customFormat="1" ht="28.5" customHeight="1">
      <c r="A17" s="33"/>
      <c r="B17" s="72" t="s">
        <v>127</v>
      </c>
      <c r="C17" s="76"/>
      <c r="D17" s="36" t="s">
        <v>128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190">
        <f>SUM(S18)</f>
        <v>700</v>
      </c>
      <c r="T17" s="190">
        <f>SUM(T18)</f>
        <v>0</v>
      </c>
      <c r="U17" s="190">
        <f>SUM(U18)</f>
        <v>700</v>
      </c>
    </row>
    <row r="18" spans="1:21" s="38" customFormat="1" ht="45">
      <c r="A18" s="33"/>
      <c r="B18" s="40"/>
      <c r="C18" s="69">
        <v>2710</v>
      </c>
      <c r="D18" s="66" t="s">
        <v>44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190">
        <v>700</v>
      </c>
      <c r="T18" s="190"/>
      <c r="U18" s="190">
        <f>SUM(S18:T18)</f>
        <v>700</v>
      </c>
    </row>
    <row r="19" spans="1:21" s="22" customFormat="1" ht="18.75" customHeight="1">
      <c r="A19" s="76"/>
      <c r="B19" s="56">
        <v>75414</v>
      </c>
      <c r="C19" s="56"/>
      <c r="D19" s="36" t="s">
        <v>287</v>
      </c>
      <c r="E19" s="84">
        <f aca="true" t="shared" si="5" ref="E19:U19">SUM(E20)</f>
        <v>2500</v>
      </c>
      <c r="F19" s="84">
        <f t="shared" si="5"/>
        <v>0</v>
      </c>
      <c r="G19" s="84">
        <f t="shared" si="5"/>
        <v>2500</v>
      </c>
      <c r="H19" s="84">
        <f t="shared" si="5"/>
        <v>0</v>
      </c>
      <c r="I19" s="84">
        <f t="shared" si="5"/>
        <v>2500</v>
      </c>
      <c r="J19" s="84">
        <f t="shared" si="5"/>
        <v>0</v>
      </c>
      <c r="K19" s="84">
        <f t="shared" si="5"/>
        <v>2500</v>
      </c>
      <c r="L19" s="84">
        <f t="shared" si="5"/>
        <v>0</v>
      </c>
      <c r="M19" s="84">
        <f t="shared" si="5"/>
        <v>2500</v>
      </c>
      <c r="N19" s="84">
        <f t="shared" si="5"/>
        <v>0</v>
      </c>
      <c r="O19" s="84">
        <f t="shared" si="5"/>
        <v>2500</v>
      </c>
      <c r="P19" s="84">
        <f t="shared" si="5"/>
        <v>0</v>
      </c>
      <c r="Q19" s="84">
        <f t="shared" si="5"/>
        <v>2500</v>
      </c>
      <c r="R19" s="84">
        <f t="shared" si="5"/>
        <v>0</v>
      </c>
      <c r="S19" s="84">
        <f t="shared" si="5"/>
        <v>2500</v>
      </c>
      <c r="T19" s="84">
        <f t="shared" si="5"/>
        <v>0</v>
      </c>
      <c r="U19" s="84">
        <f t="shared" si="5"/>
        <v>2500</v>
      </c>
    </row>
    <row r="20" spans="1:21" s="22" customFormat="1" ht="56.25">
      <c r="A20" s="76"/>
      <c r="B20" s="56"/>
      <c r="C20" s="56">
        <v>2010</v>
      </c>
      <c r="D20" s="36" t="s">
        <v>256</v>
      </c>
      <c r="E20" s="84">
        <v>2500</v>
      </c>
      <c r="F20" s="84"/>
      <c r="G20" s="84">
        <f>SUM(E20:F20)</f>
        <v>2500</v>
      </c>
      <c r="H20" s="84"/>
      <c r="I20" s="84">
        <f>SUM(G20:H20)</f>
        <v>2500</v>
      </c>
      <c r="J20" s="84"/>
      <c r="K20" s="84">
        <f>SUM(I20:J20)</f>
        <v>2500</v>
      </c>
      <c r="L20" s="84"/>
      <c r="M20" s="84">
        <f>SUM(K20:L20)</f>
        <v>2500</v>
      </c>
      <c r="N20" s="84"/>
      <c r="O20" s="84">
        <f>SUM(M20:N20)</f>
        <v>2500</v>
      </c>
      <c r="P20" s="84"/>
      <c r="Q20" s="84">
        <f>SUM(O20:P20)</f>
        <v>2500</v>
      </c>
      <c r="R20" s="84"/>
      <c r="S20" s="84">
        <f>SUM(Q20:R20)</f>
        <v>2500</v>
      </c>
      <c r="T20" s="84"/>
      <c r="U20" s="84">
        <f>SUM(S20:T20)</f>
        <v>2500</v>
      </c>
    </row>
    <row r="21" spans="1:21" s="9" customFormat="1" ht="20.25" customHeight="1">
      <c r="A21" s="108" t="s">
        <v>137</v>
      </c>
      <c r="B21" s="109"/>
      <c r="C21" s="110"/>
      <c r="D21" s="111" t="s">
        <v>138</v>
      </c>
      <c r="E21" s="112">
        <f aca="true" t="shared" si="6" ref="E21:K21">SUM(E22,E25)</f>
        <v>53986</v>
      </c>
      <c r="F21" s="112">
        <f t="shared" si="6"/>
        <v>0</v>
      </c>
      <c r="G21" s="112">
        <f t="shared" si="6"/>
        <v>53986</v>
      </c>
      <c r="H21" s="112">
        <f t="shared" si="6"/>
        <v>0</v>
      </c>
      <c r="I21" s="112">
        <f t="shared" si="6"/>
        <v>53986</v>
      </c>
      <c r="J21" s="112">
        <f t="shared" si="6"/>
        <v>0</v>
      </c>
      <c r="K21" s="112">
        <f t="shared" si="6"/>
        <v>53986</v>
      </c>
      <c r="L21" s="112">
        <f aca="true" t="shared" si="7" ref="L21:Q21">SUM(L22,L25)</f>
        <v>75670</v>
      </c>
      <c r="M21" s="112">
        <f t="shared" si="7"/>
        <v>129656</v>
      </c>
      <c r="N21" s="112">
        <f t="shared" si="7"/>
        <v>65857</v>
      </c>
      <c r="O21" s="112">
        <f t="shared" si="7"/>
        <v>195513</v>
      </c>
      <c r="P21" s="112">
        <f t="shared" si="7"/>
        <v>0</v>
      </c>
      <c r="Q21" s="112">
        <f t="shared" si="7"/>
        <v>195513</v>
      </c>
      <c r="R21" s="112">
        <f>SUM(R22,R25)</f>
        <v>0</v>
      </c>
      <c r="S21" s="112">
        <f>SUM(S22,S25)</f>
        <v>195513</v>
      </c>
      <c r="T21" s="112">
        <f>SUM(T22,T25)</f>
        <v>128501</v>
      </c>
      <c r="U21" s="112">
        <f>SUM(U22,U25)</f>
        <v>324014</v>
      </c>
    </row>
    <row r="22" spans="1:21" s="22" customFormat="1" ht="19.5" customHeight="1">
      <c r="A22" s="56"/>
      <c r="B22" s="72" t="s">
        <v>139</v>
      </c>
      <c r="C22" s="76"/>
      <c r="D22" s="36" t="s">
        <v>74</v>
      </c>
      <c r="E22" s="83">
        <f aca="true" t="shared" si="8" ref="E22:J22">SUM(E24)</f>
        <v>3000</v>
      </c>
      <c r="F22" s="83">
        <f t="shared" si="8"/>
        <v>0</v>
      </c>
      <c r="G22" s="83">
        <f t="shared" si="8"/>
        <v>3000</v>
      </c>
      <c r="H22" s="83">
        <f t="shared" si="8"/>
        <v>0</v>
      </c>
      <c r="I22" s="83">
        <f t="shared" si="8"/>
        <v>3000</v>
      </c>
      <c r="J22" s="83">
        <f t="shared" si="8"/>
        <v>0</v>
      </c>
      <c r="K22" s="83">
        <f aca="true" t="shared" si="9" ref="K22:Q22">SUM(K23:K24)</f>
        <v>3000</v>
      </c>
      <c r="L22" s="83">
        <f t="shared" si="9"/>
        <v>75670</v>
      </c>
      <c r="M22" s="83">
        <f t="shared" si="9"/>
        <v>78670</v>
      </c>
      <c r="N22" s="83">
        <f t="shared" si="9"/>
        <v>0</v>
      </c>
      <c r="O22" s="83">
        <f t="shared" si="9"/>
        <v>78670</v>
      </c>
      <c r="P22" s="83">
        <f t="shared" si="9"/>
        <v>0</v>
      </c>
      <c r="Q22" s="83">
        <f t="shared" si="9"/>
        <v>78670</v>
      </c>
      <c r="R22" s="83">
        <f>SUM(R23:R24)</f>
        <v>0</v>
      </c>
      <c r="S22" s="83">
        <f>SUM(S23:S24)</f>
        <v>78670</v>
      </c>
      <c r="T22" s="83">
        <f>SUM(T23:T24)</f>
        <v>0</v>
      </c>
      <c r="U22" s="83">
        <f>SUM(U23:U24)</f>
        <v>78670</v>
      </c>
    </row>
    <row r="23" spans="1:21" s="22" customFormat="1" ht="33.75">
      <c r="A23" s="56"/>
      <c r="B23" s="56"/>
      <c r="C23" s="76">
        <v>2030</v>
      </c>
      <c r="D23" s="12" t="s">
        <v>252</v>
      </c>
      <c r="E23" s="83"/>
      <c r="F23" s="83"/>
      <c r="G23" s="83"/>
      <c r="H23" s="83"/>
      <c r="I23" s="83"/>
      <c r="J23" s="83"/>
      <c r="K23" s="83">
        <v>0</v>
      </c>
      <c r="L23" s="83">
        <v>75670</v>
      </c>
      <c r="M23" s="60">
        <f>SUM(K23:L23)</f>
        <v>75670</v>
      </c>
      <c r="N23" s="83"/>
      <c r="O23" s="60">
        <f>SUM(M23:N23)</f>
        <v>75670</v>
      </c>
      <c r="P23" s="83"/>
      <c r="Q23" s="60">
        <f>SUM(O23:P23)</f>
        <v>75670</v>
      </c>
      <c r="R23" s="83"/>
      <c r="S23" s="60">
        <f>SUM(Q23:R23)</f>
        <v>75670</v>
      </c>
      <c r="T23" s="83"/>
      <c r="U23" s="60">
        <f>SUM(S23:T23)</f>
        <v>75670</v>
      </c>
    </row>
    <row r="24" spans="1:21" s="22" customFormat="1" ht="50.25" customHeight="1">
      <c r="A24" s="76"/>
      <c r="B24" s="56"/>
      <c r="C24" s="107">
        <v>2310</v>
      </c>
      <c r="D24" s="36" t="s">
        <v>281</v>
      </c>
      <c r="E24" s="60">
        <v>3000</v>
      </c>
      <c r="F24" s="60"/>
      <c r="G24" s="60">
        <f>SUM(E24:F24)</f>
        <v>3000</v>
      </c>
      <c r="H24" s="60"/>
      <c r="I24" s="60">
        <f>SUM(G24:H24)</f>
        <v>3000</v>
      </c>
      <c r="J24" s="60"/>
      <c r="K24" s="60">
        <f>SUM(I24:J24)</f>
        <v>3000</v>
      </c>
      <c r="L24" s="60"/>
      <c r="M24" s="60">
        <f>SUM(K24:L24)</f>
        <v>3000</v>
      </c>
      <c r="N24" s="60"/>
      <c r="O24" s="60">
        <f>SUM(M24:N24)</f>
        <v>3000</v>
      </c>
      <c r="P24" s="60"/>
      <c r="Q24" s="60">
        <f>SUM(O24:P24)</f>
        <v>3000</v>
      </c>
      <c r="R24" s="60"/>
      <c r="S24" s="60">
        <f>SUM(Q24:R24)</f>
        <v>3000</v>
      </c>
      <c r="T24" s="60"/>
      <c r="U24" s="60">
        <f>SUM(S24:T24)</f>
        <v>3000</v>
      </c>
    </row>
    <row r="25" spans="1:21" s="22" customFormat="1" ht="19.5" customHeight="1">
      <c r="A25" s="76"/>
      <c r="B25" s="56">
        <v>80195</v>
      </c>
      <c r="C25" s="107"/>
      <c r="D25" s="36" t="s">
        <v>17</v>
      </c>
      <c r="E25" s="60">
        <f aca="true" t="shared" si="10" ref="E25:U25">SUM(E26)</f>
        <v>50986</v>
      </c>
      <c r="F25" s="60">
        <f t="shared" si="10"/>
        <v>0</v>
      </c>
      <c r="G25" s="60">
        <f t="shared" si="10"/>
        <v>50986</v>
      </c>
      <c r="H25" s="60">
        <f t="shared" si="10"/>
        <v>0</v>
      </c>
      <c r="I25" s="60">
        <f t="shared" si="10"/>
        <v>50986</v>
      </c>
      <c r="J25" s="60">
        <f t="shared" si="10"/>
        <v>0</v>
      </c>
      <c r="K25" s="60">
        <f t="shared" si="10"/>
        <v>50986</v>
      </c>
      <c r="L25" s="60">
        <f t="shared" si="10"/>
        <v>0</v>
      </c>
      <c r="M25" s="60">
        <f t="shared" si="10"/>
        <v>50986</v>
      </c>
      <c r="N25" s="60">
        <f t="shared" si="10"/>
        <v>65857</v>
      </c>
      <c r="O25" s="60">
        <f t="shared" si="10"/>
        <v>116843</v>
      </c>
      <c r="P25" s="60">
        <f t="shared" si="10"/>
        <v>0</v>
      </c>
      <c r="Q25" s="60">
        <f t="shared" si="10"/>
        <v>116843</v>
      </c>
      <c r="R25" s="60">
        <f t="shared" si="10"/>
        <v>0</v>
      </c>
      <c r="S25" s="60">
        <f t="shared" si="10"/>
        <v>116843</v>
      </c>
      <c r="T25" s="60">
        <f t="shared" si="10"/>
        <v>128501</v>
      </c>
      <c r="U25" s="60">
        <f t="shared" si="10"/>
        <v>245344</v>
      </c>
    </row>
    <row r="26" spans="1:21" s="22" customFormat="1" ht="39" customHeight="1">
      <c r="A26" s="76"/>
      <c r="B26" s="56"/>
      <c r="C26" s="107">
        <v>2030</v>
      </c>
      <c r="D26" s="66" t="s">
        <v>240</v>
      </c>
      <c r="E26" s="60">
        <v>50986</v>
      </c>
      <c r="F26" s="60"/>
      <c r="G26" s="60">
        <f>SUM(E26:F26)</f>
        <v>50986</v>
      </c>
      <c r="H26" s="60"/>
      <c r="I26" s="60">
        <f>SUM(G26:H26)</f>
        <v>50986</v>
      </c>
      <c r="J26" s="60"/>
      <c r="K26" s="60">
        <f>SUM(I26:J26)</f>
        <v>50986</v>
      </c>
      <c r="L26" s="60"/>
      <c r="M26" s="60">
        <f>SUM(K26:L26)</f>
        <v>50986</v>
      </c>
      <c r="N26" s="60">
        <v>65857</v>
      </c>
      <c r="O26" s="60">
        <f>SUM(M26:N26)</f>
        <v>116843</v>
      </c>
      <c r="P26" s="60"/>
      <c r="Q26" s="60">
        <f>SUM(O26:P26)</f>
        <v>116843</v>
      </c>
      <c r="R26" s="60"/>
      <c r="S26" s="60">
        <f>SUM(Q26:R26)</f>
        <v>116843</v>
      </c>
      <c r="T26" s="60">
        <f>128369+132</f>
        <v>128501</v>
      </c>
      <c r="U26" s="60">
        <f>SUM(S26:T26)</f>
        <v>245344</v>
      </c>
    </row>
    <row r="27" spans="1:21" s="38" customFormat="1" ht="22.5" customHeight="1">
      <c r="A27" s="31" t="s">
        <v>184</v>
      </c>
      <c r="B27" s="33"/>
      <c r="C27" s="53"/>
      <c r="D27" s="34" t="s">
        <v>220</v>
      </c>
      <c r="E27" s="52">
        <f aca="true" t="shared" si="11" ref="E27:K27">SUM(E30,E33,E35,E38,E40,)</f>
        <v>8635600</v>
      </c>
      <c r="F27" s="52">
        <f t="shared" si="11"/>
        <v>0</v>
      </c>
      <c r="G27" s="52">
        <f t="shared" si="11"/>
        <v>8635600</v>
      </c>
      <c r="H27" s="52">
        <f t="shared" si="11"/>
        <v>165700</v>
      </c>
      <c r="I27" s="52">
        <f t="shared" si="11"/>
        <v>8801300</v>
      </c>
      <c r="J27" s="52">
        <f t="shared" si="11"/>
        <v>0</v>
      </c>
      <c r="K27" s="52">
        <f t="shared" si="11"/>
        <v>8801300</v>
      </c>
      <c r="L27" s="52">
        <f aca="true" t="shared" si="12" ref="L27:Q27">SUM(L30,L33,L35,L38,L40,)</f>
        <v>173200</v>
      </c>
      <c r="M27" s="52">
        <f t="shared" si="12"/>
        <v>8974500</v>
      </c>
      <c r="N27" s="52">
        <f t="shared" si="12"/>
        <v>13050</v>
      </c>
      <c r="O27" s="52">
        <f t="shared" si="12"/>
        <v>8987550</v>
      </c>
      <c r="P27" s="52">
        <f t="shared" si="12"/>
        <v>225700</v>
      </c>
      <c r="Q27" s="52">
        <f t="shared" si="12"/>
        <v>9213250</v>
      </c>
      <c r="R27" s="52">
        <f>SUM(R30,R33,R35,R38,R40,)</f>
        <v>-12350</v>
      </c>
      <c r="S27" s="52">
        <f>SUM(S30,S33,S35,S38,S40,)</f>
        <v>9200900</v>
      </c>
      <c r="T27" s="52">
        <f>SUM(T30,T33,T35,T38,T40,)</f>
        <v>239100</v>
      </c>
      <c r="U27" s="52">
        <f>SUM(U30,U33,U35,U38,U40,)</f>
        <v>9440000</v>
      </c>
    </row>
    <row r="28" spans="1:21" s="22" customFormat="1" ht="33.75" hidden="1">
      <c r="A28" s="56"/>
      <c r="B28" s="40">
        <v>85212</v>
      </c>
      <c r="C28" s="68"/>
      <c r="D28" s="66" t="s">
        <v>237</v>
      </c>
      <c r="E28" s="81">
        <f aca="true" t="shared" si="13" ref="E28:U28">SUM(E29)</f>
        <v>5507000</v>
      </c>
      <c r="F28" s="81">
        <f t="shared" si="13"/>
        <v>5507000</v>
      </c>
      <c r="G28" s="81">
        <f t="shared" si="13"/>
        <v>5507000</v>
      </c>
      <c r="H28" s="81">
        <f t="shared" si="13"/>
        <v>5507000</v>
      </c>
      <c r="I28" s="81">
        <f t="shared" si="13"/>
        <v>5507000</v>
      </c>
      <c r="J28" s="81">
        <f t="shared" si="13"/>
        <v>5507000</v>
      </c>
      <c r="K28" s="81">
        <f t="shared" si="13"/>
        <v>5507000</v>
      </c>
      <c r="L28" s="81">
        <f t="shared" si="13"/>
        <v>5507000</v>
      </c>
      <c r="M28" s="81">
        <f t="shared" si="13"/>
        <v>5507000</v>
      </c>
      <c r="N28" s="81">
        <f t="shared" si="13"/>
        <v>5507000</v>
      </c>
      <c r="O28" s="81">
        <f t="shared" si="13"/>
        <v>5507000</v>
      </c>
      <c r="P28" s="81">
        <f t="shared" si="13"/>
        <v>5507000</v>
      </c>
      <c r="Q28" s="81">
        <f t="shared" si="13"/>
        <v>5507000</v>
      </c>
      <c r="R28" s="81">
        <f t="shared" si="13"/>
        <v>5507000</v>
      </c>
      <c r="S28" s="81">
        <f t="shared" si="13"/>
        <v>5507000</v>
      </c>
      <c r="T28" s="81">
        <f t="shared" si="13"/>
        <v>5507000</v>
      </c>
      <c r="U28" s="81">
        <f t="shared" si="13"/>
        <v>5507000</v>
      </c>
    </row>
    <row r="29" spans="1:21" s="22" customFormat="1" ht="56.25" hidden="1">
      <c r="A29" s="56"/>
      <c r="B29" s="40"/>
      <c r="C29" s="68">
        <v>2010</v>
      </c>
      <c r="D29" s="36" t="s">
        <v>251</v>
      </c>
      <c r="E29" s="81">
        <v>5507000</v>
      </c>
      <c r="F29" s="81">
        <v>5507000</v>
      </c>
      <c r="G29" s="81">
        <v>5507000</v>
      </c>
      <c r="H29" s="81">
        <v>5507000</v>
      </c>
      <c r="I29" s="81">
        <v>5507000</v>
      </c>
      <c r="J29" s="81">
        <v>5507000</v>
      </c>
      <c r="K29" s="81">
        <v>5507000</v>
      </c>
      <c r="L29" s="81">
        <v>5507000</v>
      </c>
      <c r="M29" s="81">
        <v>5507000</v>
      </c>
      <c r="N29" s="81">
        <v>5507000</v>
      </c>
      <c r="O29" s="81">
        <v>5507000</v>
      </c>
      <c r="P29" s="81">
        <v>5507000</v>
      </c>
      <c r="Q29" s="81">
        <v>5507000</v>
      </c>
      <c r="R29" s="81">
        <v>5507000</v>
      </c>
      <c r="S29" s="81">
        <v>5507000</v>
      </c>
      <c r="T29" s="81">
        <v>5507000</v>
      </c>
      <c r="U29" s="81">
        <v>5507000</v>
      </c>
    </row>
    <row r="30" spans="1:21" s="22" customFormat="1" ht="53.25" customHeight="1">
      <c r="A30" s="56"/>
      <c r="B30" s="40">
        <v>85212</v>
      </c>
      <c r="C30" s="68"/>
      <c r="D30" s="66" t="s">
        <v>262</v>
      </c>
      <c r="E30" s="81">
        <f aca="true" t="shared" si="14" ref="E30:N30">SUM(E31)</f>
        <v>6416200</v>
      </c>
      <c r="F30" s="81">
        <f t="shared" si="14"/>
        <v>0</v>
      </c>
      <c r="G30" s="81">
        <f t="shared" si="14"/>
        <v>6416200</v>
      </c>
      <c r="H30" s="81">
        <f t="shared" si="14"/>
        <v>147200</v>
      </c>
      <c r="I30" s="81">
        <f t="shared" si="14"/>
        <v>6563400</v>
      </c>
      <c r="J30" s="81">
        <f t="shared" si="14"/>
        <v>0</v>
      </c>
      <c r="K30" s="81">
        <f t="shared" si="14"/>
        <v>6563400</v>
      </c>
      <c r="L30" s="81">
        <f t="shared" si="14"/>
        <v>0</v>
      </c>
      <c r="M30" s="81">
        <f t="shared" si="14"/>
        <v>6563400</v>
      </c>
      <c r="N30" s="81">
        <f t="shared" si="14"/>
        <v>0</v>
      </c>
      <c r="O30" s="81">
        <f aca="true" t="shared" si="15" ref="O30:U30">SUM(O31:O32)</f>
        <v>6563400</v>
      </c>
      <c r="P30" s="81">
        <f t="shared" si="15"/>
        <v>52500</v>
      </c>
      <c r="Q30" s="81">
        <f t="shared" si="15"/>
        <v>6615900</v>
      </c>
      <c r="R30" s="81">
        <f t="shared" si="15"/>
        <v>0</v>
      </c>
      <c r="S30" s="81">
        <f t="shared" si="15"/>
        <v>6615900</v>
      </c>
      <c r="T30" s="81">
        <f t="shared" si="15"/>
        <v>0</v>
      </c>
      <c r="U30" s="81">
        <f t="shared" si="15"/>
        <v>6615900</v>
      </c>
    </row>
    <row r="31" spans="1:21" s="22" customFormat="1" ht="60.75" customHeight="1">
      <c r="A31" s="56"/>
      <c r="B31" s="40"/>
      <c r="C31" s="68">
        <v>2010</v>
      </c>
      <c r="D31" s="36" t="s">
        <v>251</v>
      </c>
      <c r="E31" s="81">
        <v>6416200</v>
      </c>
      <c r="F31" s="81"/>
      <c r="G31" s="81">
        <f>SUM(E31:F31)</f>
        <v>6416200</v>
      </c>
      <c r="H31" s="81">
        <v>147200</v>
      </c>
      <c r="I31" s="81">
        <f>SUM(G31:H31)</f>
        <v>6563400</v>
      </c>
      <c r="J31" s="81"/>
      <c r="K31" s="81">
        <f>SUM(I31:J31)</f>
        <v>6563400</v>
      </c>
      <c r="L31" s="81"/>
      <c r="M31" s="81">
        <f>SUM(K31:L31)</f>
        <v>6563400</v>
      </c>
      <c r="N31" s="81"/>
      <c r="O31" s="81">
        <f>SUM(M31:N31)</f>
        <v>6563400</v>
      </c>
      <c r="P31" s="81">
        <v>43500</v>
      </c>
      <c r="Q31" s="81">
        <f>SUM(O31:P31)</f>
        <v>6606900</v>
      </c>
      <c r="R31" s="81"/>
      <c r="S31" s="81">
        <f>SUM(Q31:R31)</f>
        <v>6606900</v>
      </c>
      <c r="T31" s="81"/>
      <c r="U31" s="81">
        <f>SUM(S31:T31)</f>
        <v>6606900</v>
      </c>
    </row>
    <row r="32" spans="1:21" s="22" customFormat="1" ht="60.75" customHeight="1">
      <c r="A32" s="56"/>
      <c r="B32" s="40"/>
      <c r="C32" s="68">
        <v>6310</v>
      </c>
      <c r="D32" s="66" t="s">
        <v>393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>
        <v>0</v>
      </c>
      <c r="P32" s="81">
        <v>9000</v>
      </c>
      <c r="Q32" s="81">
        <f>SUM(O32:P32)</f>
        <v>9000</v>
      </c>
      <c r="R32" s="81"/>
      <c r="S32" s="81">
        <f>SUM(Q32:R32)</f>
        <v>9000</v>
      </c>
      <c r="T32" s="81"/>
      <c r="U32" s="81">
        <f>SUM(S32:T32)</f>
        <v>9000</v>
      </c>
    </row>
    <row r="33" spans="1:21" s="22" customFormat="1" ht="67.5">
      <c r="A33" s="56"/>
      <c r="B33" s="76">
        <v>85213</v>
      </c>
      <c r="C33" s="57"/>
      <c r="D33" s="36" t="s">
        <v>327</v>
      </c>
      <c r="E33" s="81">
        <f aca="true" t="shared" si="16" ref="E33:U33">SUM(E34)</f>
        <v>71100</v>
      </c>
      <c r="F33" s="81">
        <f t="shared" si="16"/>
        <v>0</v>
      </c>
      <c r="G33" s="81">
        <f t="shared" si="16"/>
        <v>71100</v>
      </c>
      <c r="H33" s="81">
        <f t="shared" si="16"/>
        <v>0</v>
      </c>
      <c r="I33" s="81">
        <f t="shared" si="16"/>
        <v>71100</v>
      </c>
      <c r="J33" s="81">
        <f t="shared" si="16"/>
        <v>0</v>
      </c>
      <c r="K33" s="81">
        <f t="shared" si="16"/>
        <v>71100</v>
      </c>
      <c r="L33" s="81">
        <f t="shared" si="16"/>
        <v>0</v>
      </c>
      <c r="M33" s="81">
        <f t="shared" si="16"/>
        <v>71100</v>
      </c>
      <c r="N33" s="81">
        <f t="shared" si="16"/>
        <v>0</v>
      </c>
      <c r="O33" s="81">
        <f t="shared" si="16"/>
        <v>71100</v>
      </c>
      <c r="P33" s="81">
        <f t="shared" si="16"/>
        <v>0</v>
      </c>
      <c r="Q33" s="81">
        <f t="shared" si="16"/>
        <v>71100</v>
      </c>
      <c r="R33" s="81">
        <f t="shared" si="16"/>
        <v>-23300</v>
      </c>
      <c r="S33" s="81">
        <f t="shared" si="16"/>
        <v>47800</v>
      </c>
      <c r="T33" s="81">
        <f t="shared" si="16"/>
        <v>0</v>
      </c>
      <c r="U33" s="81">
        <f t="shared" si="16"/>
        <v>47800</v>
      </c>
    </row>
    <row r="34" spans="1:21" s="22" customFormat="1" ht="62.25" customHeight="1">
      <c r="A34" s="56"/>
      <c r="B34" s="76"/>
      <c r="C34" s="57">
        <v>2010</v>
      </c>
      <c r="D34" s="36" t="s">
        <v>251</v>
      </c>
      <c r="E34" s="81">
        <v>71100</v>
      </c>
      <c r="F34" s="81"/>
      <c r="G34" s="81">
        <f>SUM(E34:F34)</f>
        <v>71100</v>
      </c>
      <c r="H34" s="81"/>
      <c r="I34" s="81">
        <f>SUM(G34:H34)</f>
        <v>71100</v>
      </c>
      <c r="J34" s="81"/>
      <c r="K34" s="81">
        <f>SUM(I34:J34)</f>
        <v>71100</v>
      </c>
      <c r="L34" s="81"/>
      <c r="M34" s="81">
        <f>SUM(K34:L34)</f>
        <v>71100</v>
      </c>
      <c r="N34" s="81"/>
      <c r="O34" s="81">
        <f>SUM(M34:N34)</f>
        <v>71100</v>
      </c>
      <c r="P34" s="81"/>
      <c r="Q34" s="81">
        <f>SUM(O34:P34)</f>
        <v>71100</v>
      </c>
      <c r="R34" s="81">
        <v>-23300</v>
      </c>
      <c r="S34" s="81">
        <f>SUM(Q34:R34)</f>
        <v>47800</v>
      </c>
      <c r="T34" s="81"/>
      <c r="U34" s="81">
        <f>SUM(S34:T34)</f>
        <v>47800</v>
      </c>
    </row>
    <row r="35" spans="1:21" s="22" customFormat="1" ht="27" customHeight="1">
      <c r="A35" s="56"/>
      <c r="B35" s="56" t="s">
        <v>185</v>
      </c>
      <c r="C35" s="57"/>
      <c r="D35" s="36" t="s">
        <v>261</v>
      </c>
      <c r="E35" s="83">
        <f aca="true" t="shared" si="17" ref="E35:K35">SUM(E36:E37)</f>
        <v>1191500</v>
      </c>
      <c r="F35" s="83">
        <f t="shared" si="17"/>
        <v>0</v>
      </c>
      <c r="G35" s="83">
        <f t="shared" si="17"/>
        <v>1191500</v>
      </c>
      <c r="H35" s="83">
        <f t="shared" si="17"/>
        <v>18500</v>
      </c>
      <c r="I35" s="83">
        <f t="shared" si="17"/>
        <v>1210000</v>
      </c>
      <c r="J35" s="83">
        <f t="shared" si="17"/>
        <v>0</v>
      </c>
      <c r="K35" s="83">
        <f t="shared" si="17"/>
        <v>1210000</v>
      </c>
      <c r="L35" s="83">
        <f aca="true" t="shared" si="18" ref="L35:Q35">SUM(L36:L37)</f>
        <v>0</v>
      </c>
      <c r="M35" s="83">
        <f t="shared" si="18"/>
        <v>1210000</v>
      </c>
      <c r="N35" s="83">
        <f t="shared" si="18"/>
        <v>0</v>
      </c>
      <c r="O35" s="83">
        <f t="shared" si="18"/>
        <v>1210000</v>
      </c>
      <c r="P35" s="83">
        <f t="shared" si="18"/>
        <v>0</v>
      </c>
      <c r="Q35" s="83">
        <f t="shared" si="18"/>
        <v>1210000</v>
      </c>
      <c r="R35" s="83">
        <f>SUM(R36:R37)</f>
        <v>-3000</v>
      </c>
      <c r="S35" s="83">
        <f>SUM(S36:S37)</f>
        <v>1207000</v>
      </c>
      <c r="T35" s="83">
        <f>SUM(T36:T37)</f>
        <v>152500</v>
      </c>
      <c r="U35" s="83">
        <f>SUM(U36:U37)</f>
        <v>1359500</v>
      </c>
    </row>
    <row r="36" spans="1:21" s="22" customFormat="1" ht="61.5" customHeight="1">
      <c r="A36" s="56"/>
      <c r="B36" s="56"/>
      <c r="C36" s="58" t="s">
        <v>209</v>
      </c>
      <c r="D36" s="36" t="s">
        <v>257</v>
      </c>
      <c r="E36" s="83">
        <v>482100</v>
      </c>
      <c r="F36" s="83"/>
      <c r="G36" s="83">
        <f>SUM(E36:F36)</f>
        <v>482100</v>
      </c>
      <c r="H36" s="83">
        <v>7900</v>
      </c>
      <c r="I36" s="83">
        <f>SUM(G36:H36)</f>
        <v>490000</v>
      </c>
      <c r="J36" s="83"/>
      <c r="K36" s="83">
        <f>SUM(I36:J36)</f>
        <v>490000</v>
      </c>
      <c r="L36" s="83"/>
      <c r="M36" s="83">
        <f>SUM(K36:L36)</f>
        <v>490000</v>
      </c>
      <c r="N36" s="83"/>
      <c r="O36" s="83">
        <f>SUM(M36:N36)</f>
        <v>490000</v>
      </c>
      <c r="P36" s="83"/>
      <c r="Q36" s="83">
        <f>SUM(O36:P36)</f>
        <v>490000</v>
      </c>
      <c r="R36" s="83">
        <v>-3000</v>
      </c>
      <c r="S36" s="83">
        <f>SUM(Q36:R36)</f>
        <v>487000</v>
      </c>
      <c r="T36" s="83">
        <v>152500</v>
      </c>
      <c r="U36" s="83">
        <f>SUM(S36:T36)</f>
        <v>639500</v>
      </c>
    </row>
    <row r="37" spans="1:21" s="22" customFormat="1" ht="39" customHeight="1">
      <c r="A37" s="56"/>
      <c r="B37" s="56"/>
      <c r="C37" s="58">
        <v>2030</v>
      </c>
      <c r="D37" s="66" t="s">
        <v>252</v>
      </c>
      <c r="E37" s="83">
        <v>709400</v>
      </c>
      <c r="F37" s="83"/>
      <c r="G37" s="83">
        <f>SUM(E37:F37)</f>
        <v>709400</v>
      </c>
      <c r="H37" s="83">
        <v>10600</v>
      </c>
      <c r="I37" s="83">
        <f>SUM(G37:H37)</f>
        <v>720000</v>
      </c>
      <c r="J37" s="83"/>
      <c r="K37" s="83">
        <f>SUM(I37:J37)</f>
        <v>720000</v>
      </c>
      <c r="L37" s="83"/>
      <c r="M37" s="83">
        <f>SUM(K37:L37)</f>
        <v>720000</v>
      </c>
      <c r="N37" s="83"/>
      <c r="O37" s="83">
        <f>SUM(M37:N37)</f>
        <v>720000</v>
      </c>
      <c r="P37" s="83"/>
      <c r="Q37" s="83">
        <f>SUM(O37:P37)</f>
        <v>720000</v>
      </c>
      <c r="R37" s="83"/>
      <c r="S37" s="83">
        <f>SUM(Q37:R37)</f>
        <v>720000</v>
      </c>
      <c r="T37" s="83"/>
      <c r="U37" s="83">
        <f>SUM(S37:T37)</f>
        <v>720000</v>
      </c>
    </row>
    <row r="38" spans="1:21" s="22" customFormat="1" ht="20.25" customHeight="1">
      <c r="A38" s="56"/>
      <c r="B38" s="56" t="s">
        <v>186</v>
      </c>
      <c r="C38" s="57"/>
      <c r="D38" s="36" t="s">
        <v>81</v>
      </c>
      <c r="E38" s="83">
        <f aca="true" t="shared" si="19" ref="E38:U38">E39</f>
        <v>555600</v>
      </c>
      <c r="F38" s="83">
        <f t="shared" si="19"/>
        <v>0</v>
      </c>
      <c r="G38" s="83">
        <f t="shared" si="19"/>
        <v>555600</v>
      </c>
      <c r="H38" s="83">
        <f t="shared" si="19"/>
        <v>0</v>
      </c>
      <c r="I38" s="83">
        <f t="shared" si="19"/>
        <v>555600</v>
      </c>
      <c r="J38" s="83">
        <f t="shared" si="19"/>
        <v>0</v>
      </c>
      <c r="K38" s="83">
        <f t="shared" si="19"/>
        <v>555600</v>
      </c>
      <c r="L38" s="83">
        <f t="shared" si="19"/>
        <v>0</v>
      </c>
      <c r="M38" s="83">
        <f t="shared" si="19"/>
        <v>555600</v>
      </c>
      <c r="N38" s="83">
        <f t="shared" si="19"/>
        <v>13050</v>
      </c>
      <c r="O38" s="83">
        <f t="shared" si="19"/>
        <v>568650</v>
      </c>
      <c r="P38" s="83">
        <f t="shared" si="19"/>
        <v>0</v>
      </c>
      <c r="Q38" s="83">
        <f t="shared" si="19"/>
        <v>568650</v>
      </c>
      <c r="R38" s="83">
        <f t="shared" si="19"/>
        <v>13950</v>
      </c>
      <c r="S38" s="83">
        <f t="shared" si="19"/>
        <v>582600</v>
      </c>
      <c r="T38" s="83">
        <f t="shared" si="19"/>
        <v>0</v>
      </c>
      <c r="U38" s="83">
        <f t="shared" si="19"/>
        <v>582600</v>
      </c>
    </row>
    <row r="39" spans="1:21" s="22" customFormat="1" ht="37.5" customHeight="1">
      <c r="A39" s="56"/>
      <c r="B39" s="56"/>
      <c r="C39" s="58">
        <v>2030</v>
      </c>
      <c r="D39" s="66" t="s">
        <v>240</v>
      </c>
      <c r="E39" s="83">
        <v>555600</v>
      </c>
      <c r="F39" s="83"/>
      <c r="G39" s="83">
        <f>SUM(E39:F39)</f>
        <v>555600</v>
      </c>
      <c r="H39" s="83"/>
      <c r="I39" s="83">
        <f>SUM(G39:H39)</f>
        <v>555600</v>
      </c>
      <c r="J39" s="83"/>
      <c r="K39" s="83">
        <f>SUM(I39:J39)</f>
        <v>555600</v>
      </c>
      <c r="L39" s="83"/>
      <c r="M39" s="83">
        <f>SUM(K39:L39)</f>
        <v>555600</v>
      </c>
      <c r="N39" s="83">
        <v>13050</v>
      </c>
      <c r="O39" s="83">
        <f>SUM(M39:N39)</f>
        <v>568650</v>
      </c>
      <c r="P39" s="83"/>
      <c r="Q39" s="83">
        <f>SUM(O39:P39)</f>
        <v>568650</v>
      </c>
      <c r="R39" s="83">
        <v>13950</v>
      </c>
      <c r="S39" s="83">
        <f>SUM(Q39:R39)</f>
        <v>582600</v>
      </c>
      <c r="T39" s="83"/>
      <c r="U39" s="83">
        <f>SUM(S39:T39)</f>
        <v>582600</v>
      </c>
    </row>
    <row r="40" spans="1:21" s="22" customFormat="1" ht="24" customHeight="1">
      <c r="A40" s="56"/>
      <c r="B40" s="56">
        <v>85295</v>
      </c>
      <c r="C40" s="58"/>
      <c r="D40" s="66" t="s">
        <v>17</v>
      </c>
      <c r="E40" s="83">
        <f aca="true" t="shared" si="20" ref="E40:U40">SUM(E41)</f>
        <v>401200</v>
      </c>
      <c r="F40" s="83">
        <f t="shared" si="20"/>
        <v>0</v>
      </c>
      <c r="G40" s="83">
        <f t="shared" si="20"/>
        <v>401200</v>
      </c>
      <c r="H40" s="83">
        <f t="shared" si="20"/>
        <v>0</v>
      </c>
      <c r="I40" s="83">
        <f t="shared" si="20"/>
        <v>401200</v>
      </c>
      <c r="J40" s="83">
        <f t="shared" si="20"/>
        <v>0</v>
      </c>
      <c r="K40" s="83">
        <f t="shared" si="20"/>
        <v>401200</v>
      </c>
      <c r="L40" s="83">
        <f t="shared" si="20"/>
        <v>173200</v>
      </c>
      <c r="M40" s="83">
        <f t="shared" si="20"/>
        <v>574400</v>
      </c>
      <c r="N40" s="83">
        <f t="shared" si="20"/>
        <v>0</v>
      </c>
      <c r="O40" s="83">
        <f t="shared" si="20"/>
        <v>574400</v>
      </c>
      <c r="P40" s="83">
        <f t="shared" si="20"/>
        <v>173200</v>
      </c>
      <c r="Q40" s="83">
        <f t="shared" si="20"/>
        <v>747600</v>
      </c>
      <c r="R40" s="83">
        <f t="shared" si="20"/>
        <v>0</v>
      </c>
      <c r="S40" s="83">
        <f t="shared" si="20"/>
        <v>747600</v>
      </c>
      <c r="T40" s="83">
        <f t="shared" si="20"/>
        <v>86600</v>
      </c>
      <c r="U40" s="83">
        <f t="shared" si="20"/>
        <v>834200</v>
      </c>
    </row>
    <row r="41" spans="1:21" s="22" customFormat="1" ht="33.75">
      <c r="A41" s="56"/>
      <c r="B41" s="56"/>
      <c r="C41" s="58">
        <v>2030</v>
      </c>
      <c r="D41" s="66" t="s">
        <v>252</v>
      </c>
      <c r="E41" s="83">
        <v>401200</v>
      </c>
      <c r="F41" s="83"/>
      <c r="G41" s="83">
        <f>SUM(E41:F41)</f>
        <v>401200</v>
      </c>
      <c r="H41" s="83"/>
      <c r="I41" s="83">
        <f>SUM(G41:H41)</f>
        <v>401200</v>
      </c>
      <c r="J41" s="83"/>
      <c r="K41" s="83">
        <f>SUM(I41:J41)</f>
        <v>401200</v>
      </c>
      <c r="L41" s="83">
        <v>173200</v>
      </c>
      <c r="M41" s="83">
        <f>SUM(K41:L41)</f>
        <v>574400</v>
      </c>
      <c r="N41" s="83"/>
      <c r="O41" s="83">
        <f>SUM(M41:N41)</f>
        <v>574400</v>
      </c>
      <c r="P41" s="83">
        <v>173200</v>
      </c>
      <c r="Q41" s="83">
        <f>SUM(O41:P41)</f>
        <v>747600</v>
      </c>
      <c r="R41" s="83"/>
      <c r="S41" s="83">
        <f>SUM(Q41:R41)</f>
        <v>747600</v>
      </c>
      <c r="T41" s="83">
        <v>86600</v>
      </c>
      <c r="U41" s="83">
        <f>SUM(S41:T41)</f>
        <v>834200</v>
      </c>
    </row>
    <row r="42" spans="1:21" s="22" customFormat="1" ht="21.75" customHeight="1">
      <c r="A42" s="27">
        <v>854</v>
      </c>
      <c r="B42" s="29"/>
      <c r="C42" s="30"/>
      <c r="D42" s="34" t="s">
        <v>82</v>
      </c>
      <c r="E42" s="83"/>
      <c r="F42" s="83"/>
      <c r="G42" s="83"/>
      <c r="H42" s="83"/>
      <c r="I42" s="88">
        <f aca="true" t="shared" si="21" ref="I42:U43">SUM(I43)</f>
        <v>0</v>
      </c>
      <c r="J42" s="88">
        <f t="shared" si="21"/>
        <v>253074</v>
      </c>
      <c r="K42" s="88">
        <f t="shared" si="21"/>
        <v>253074</v>
      </c>
      <c r="L42" s="88">
        <f t="shared" si="21"/>
        <v>0</v>
      </c>
      <c r="M42" s="88">
        <f t="shared" si="21"/>
        <v>253074</v>
      </c>
      <c r="N42" s="88">
        <f t="shared" si="21"/>
        <v>0</v>
      </c>
      <c r="O42" s="88">
        <f t="shared" si="21"/>
        <v>253074</v>
      </c>
      <c r="P42" s="88">
        <f t="shared" si="21"/>
        <v>0</v>
      </c>
      <c r="Q42" s="88">
        <f t="shared" si="21"/>
        <v>253074</v>
      </c>
      <c r="R42" s="88">
        <f t="shared" si="21"/>
        <v>27251</v>
      </c>
      <c r="S42" s="88">
        <f t="shared" si="21"/>
        <v>280325</v>
      </c>
      <c r="T42" s="88">
        <f t="shared" si="21"/>
        <v>246717</v>
      </c>
      <c r="U42" s="88">
        <f t="shared" si="21"/>
        <v>527042</v>
      </c>
    </row>
    <row r="43" spans="1:21" s="22" customFormat="1" ht="22.5" customHeight="1">
      <c r="A43" s="61"/>
      <c r="B43" s="77">
        <v>85415</v>
      </c>
      <c r="C43" s="76"/>
      <c r="D43" s="36" t="s">
        <v>279</v>
      </c>
      <c r="E43" s="83"/>
      <c r="F43" s="83"/>
      <c r="G43" s="83"/>
      <c r="H43" s="83"/>
      <c r="I43" s="83">
        <f t="shared" si="21"/>
        <v>0</v>
      </c>
      <c r="J43" s="83">
        <f t="shared" si="21"/>
        <v>253074</v>
      </c>
      <c r="K43" s="83">
        <f t="shared" si="21"/>
        <v>253074</v>
      </c>
      <c r="L43" s="83">
        <f t="shared" si="21"/>
        <v>0</v>
      </c>
      <c r="M43" s="83">
        <f t="shared" si="21"/>
        <v>253074</v>
      </c>
      <c r="N43" s="83">
        <f t="shared" si="21"/>
        <v>0</v>
      </c>
      <c r="O43" s="83">
        <f t="shared" si="21"/>
        <v>253074</v>
      </c>
      <c r="P43" s="83">
        <f t="shared" si="21"/>
        <v>0</v>
      </c>
      <c r="Q43" s="83">
        <f t="shared" si="21"/>
        <v>253074</v>
      </c>
      <c r="R43" s="83">
        <f t="shared" si="21"/>
        <v>27251</v>
      </c>
      <c r="S43" s="83">
        <f t="shared" si="21"/>
        <v>280325</v>
      </c>
      <c r="T43" s="83">
        <f t="shared" si="21"/>
        <v>246717</v>
      </c>
      <c r="U43" s="83">
        <f t="shared" si="21"/>
        <v>527042</v>
      </c>
    </row>
    <row r="44" spans="1:21" s="22" customFormat="1" ht="33.75">
      <c r="A44" s="61"/>
      <c r="B44" s="62"/>
      <c r="C44" s="63">
        <v>2030</v>
      </c>
      <c r="D44" s="66" t="s">
        <v>252</v>
      </c>
      <c r="E44" s="83"/>
      <c r="F44" s="83"/>
      <c r="G44" s="83"/>
      <c r="H44" s="83"/>
      <c r="I44" s="83">
        <v>0</v>
      </c>
      <c r="J44" s="83">
        <v>253074</v>
      </c>
      <c r="K44" s="83">
        <f>SUM(I44:J44)</f>
        <v>253074</v>
      </c>
      <c r="L44" s="83"/>
      <c r="M44" s="83">
        <f>SUM(K44:L44)</f>
        <v>253074</v>
      </c>
      <c r="N44" s="83"/>
      <c r="O44" s="83">
        <f>SUM(M44:N44)</f>
        <v>253074</v>
      </c>
      <c r="P44" s="83"/>
      <c r="Q44" s="83">
        <f>SUM(O44:P44)</f>
        <v>253074</v>
      </c>
      <c r="R44" s="83">
        <v>27251</v>
      </c>
      <c r="S44" s="83">
        <f>SUM(Q44:R44)</f>
        <v>280325</v>
      </c>
      <c r="T44" s="83">
        <f>235595+11122</f>
        <v>246717</v>
      </c>
      <c r="U44" s="83">
        <f>SUM(S44:T44)</f>
        <v>527042</v>
      </c>
    </row>
    <row r="45" spans="1:21" s="6" customFormat="1" ht="24.75" customHeight="1">
      <c r="A45" s="31" t="s">
        <v>86</v>
      </c>
      <c r="B45" s="25"/>
      <c r="C45" s="43"/>
      <c r="D45" s="34" t="s">
        <v>92</v>
      </c>
      <c r="E45" s="52">
        <f aca="true" t="shared" si="22" ref="E45:K45">SUM(E48,E46)</f>
        <v>45900</v>
      </c>
      <c r="F45" s="52">
        <f t="shared" si="22"/>
        <v>7100</v>
      </c>
      <c r="G45" s="52">
        <f t="shared" si="22"/>
        <v>53000</v>
      </c>
      <c r="H45" s="52">
        <f t="shared" si="22"/>
        <v>0</v>
      </c>
      <c r="I45" s="52">
        <f t="shared" si="22"/>
        <v>53000</v>
      </c>
      <c r="J45" s="52">
        <f t="shared" si="22"/>
        <v>0</v>
      </c>
      <c r="K45" s="52">
        <f t="shared" si="22"/>
        <v>53000</v>
      </c>
      <c r="L45" s="52">
        <f aca="true" t="shared" si="23" ref="L45:Q45">SUM(L48,L46)</f>
        <v>0</v>
      </c>
      <c r="M45" s="52">
        <f t="shared" si="23"/>
        <v>53000</v>
      </c>
      <c r="N45" s="52">
        <f t="shared" si="23"/>
        <v>0</v>
      </c>
      <c r="O45" s="52">
        <f t="shared" si="23"/>
        <v>53000</v>
      </c>
      <c r="P45" s="52">
        <f t="shared" si="23"/>
        <v>0</v>
      </c>
      <c r="Q45" s="52">
        <f t="shared" si="23"/>
        <v>53000</v>
      </c>
      <c r="R45" s="52">
        <f>SUM(R48,R46)</f>
        <v>0</v>
      </c>
      <c r="S45" s="52">
        <f>SUM(S48,S46)</f>
        <v>53000</v>
      </c>
      <c r="T45" s="52">
        <f>SUM(T48,T46)</f>
        <v>0</v>
      </c>
      <c r="U45" s="52">
        <f>SUM(U48,U46)</f>
        <v>53000</v>
      </c>
    </row>
    <row r="46" spans="1:21" s="22" customFormat="1" ht="20.25" customHeight="1">
      <c r="A46" s="56"/>
      <c r="B46" s="40">
        <v>92105</v>
      </c>
      <c r="C46" s="69"/>
      <c r="D46" s="66" t="s">
        <v>342</v>
      </c>
      <c r="E46" s="81">
        <f aca="true" t="shared" si="24" ref="E46:U46">SUM(E47)</f>
        <v>0</v>
      </c>
      <c r="F46" s="81">
        <f t="shared" si="24"/>
        <v>7100</v>
      </c>
      <c r="G46" s="81">
        <f t="shared" si="24"/>
        <v>7100</v>
      </c>
      <c r="H46" s="81">
        <f t="shared" si="24"/>
        <v>0</v>
      </c>
      <c r="I46" s="81">
        <f t="shared" si="24"/>
        <v>7100</v>
      </c>
      <c r="J46" s="81">
        <f t="shared" si="24"/>
        <v>0</v>
      </c>
      <c r="K46" s="81">
        <f t="shared" si="24"/>
        <v>7100</v>
      </c>
      <c r="L46" s="81">
        <f t="shared" si="24"/>
        <v>0</v>
      </c>
      <c r="M46" s="81">
        <f t="shared" si="24"/>
        <v>7100</v>
      </c>
      <c r="N46" s="81">
        <f t="shared" si="24"/>
        <v>0</v>
      </c>
      <c r="O46" s="81">
        <f t="shared" si="24"/>
        <v>7100</v>
      </c>
      <c r="P46" s="81">
        <f t="shared" si="24"/>
        <v>0</v>
      </c>
      <c r="Q46" s="81">
        <f t="shared" si="24"/>
        <v>7100</v>
      </c>
      <c r="R46" s="81">
        <f t="shared" si="24"/>
        <v>0</v>
      </c>
      <c r="S46" s="81">
        <f t="shared" si="24"/>
        <v>7100</v>
      </c>
      <c r="T46" s="81">
        <f t="shared" si="24"/>
        <v>0</v>
      </c>
      <c r="U46" s="81">
        <f t="shared" si="24"/>
        <v>7100</v>
      </c>
    </row>
    <row r="47" spans="1:21" s="22" customFormat="1" ht="45">
      <c r="A47" s="56"/>
      <c r="B47" s="40"/>
      <c r="C47" s="69">
        <v>2320</v>
      </c>
      <c r="D47" s="66" t="s">
        <v>253</v>
      </c>
      <c r="E47" s="81">
        <v>0</v>
      </c>
      <c r="F47" s="81">
        <f>300+500+300+1000+500+500+3500+500</f>
        <v>7100</v>
      </c>
      <c r="G47" s="81">
        <f>SUM(E47:F47)</f>
        <v>7100</v>
      </c>
      <c r="H47" s="81"/>
      <c r="I47" s="81">
        <f>SUM(G47:H47)</f>
        <v>7100</v>
      </c>
      <c r="J47" s="81"/>
      <c r="K47" s="81">
        <f>SUM(I47:J47)</f>
        <v>7100</v>
      </c>
      <c r="L47" s="81"/>
      <c r="M47" s="81">
        <f>SUM(K47:L47)</f>
        <v>7100</v>
      </c>
      <c r="N47" s="81"/>
      <c r="O47" s="81">
        <f>SUM(M47:N47)</f>
        <v>7100</v>
      </c>
      <c r="P47" s="81"/>
      <c r="Q47" s="81">
        <f>SUM(O47:P47)</f>
        <v>7100</v>
      </c>
      <c r="R47" s="81"/>
      <c r="S47" s="81">
        <f>SUM(Q47:R47)</f>
        <v>7100</v>
      </c>
      <c r="T47" s="81"/>
      <c r="U47" s="81">
        <f>SUM(S47:T47)</f>
        <v>7100</v>
      </c>
    </row>
    <row r="48" spans="1:21" s="22" customFormat="1" ht="18" customHeight="1">
      <c r="A48" s="56"/>
      <c r="B48" s="56" t="s">
        <v>87</v>
      </c>
      <c r="C48" s="57"/>
      <c r="D48" s="36" t="s">
        <v>88</v>
      </c>
      <c r="E48" s="83">
        <f aca="true" t="shared" si="25" ref="E48:U48">E49</f>
        <v>45900</v>
      </c>
      <c r="F48" s="83">
        <f t="shared" si="25"/>
        <v>0</v>
      </c>
      <c r="G48" s="83">
        <f t="shared" si="25"/>
        <v>45900</v>
      </c>
      <c r="H48" s="83">
        <f t="shared" si="25"/>
        <v>0</v>
      </c>
      <c r="I48" s="83">
        <f t="shared" si="25"/>
        <v>45900</v>
      </c>
      <c r="J48" s="83">
        <f t="shared" si="25"/>
        <v>0</v>
      </c>
      <c r="K48" s="83">
        <f t="shared" si="25"/>
        <v>45900</v>
      </c>
      <c r="L48" s="83">
        <f t="shared" si="25"/>
        <v>0</v>
      </c>
      <c r="M48" s="83">
        <f t="shared" si="25"/>
        <v>45900</v>
      </c>
      <c r="N48" s="83">
        <f t="shared" si="25"/>
        <v>0</v>
      </c>
      <c r="O48" s="83">
        <f t="shared" si="25"/>
        <v>45900</v>
      </c>
      <c r="P48" s="83">
        <f t="shared" si="25"/>
        <v>0</v>
      </c>
      <c r="Q48" s="83">
        <f t="shared" si="25"/>
        <v>45900</v>
      </c>
      <c r="R48" s="83">
        <f t="shared" si="25"/>
        <v>0</v>
      </c>
      <c r="S48" s="83">
        <f t="shared" si="25"/>
        <v>45900</v>
      </c>
      <c r="T48" s="83">
        <f t="shared" si="25"/>
        <v>0</v>
      </c>
      <c r="U48" s="83">
        <f t="shared" si="25"/>
        <v>45900</v>
      </c>
    </row>
    <row r="49" spans="1:21" s="22" customFormat="1" ht="45">
      <c r="A49" s="56"/>
      <c r="B49" s="56"/>
      <c r="C49" s="58">
        <v>2320</v>
      </c>
      <c r="D49" s="36" t="s">
        <v>253</v>
      </c>
      <c r="E49" s="83">
        <v>45900</v>
      </c>
      <c r="F49" s="83"/>
      <c r="G49" s="83">
        <f>SUM(E49:F49)</f>
        <v>45900</v>
      </c>
      <c r="H49" s="83"/>
      <c r="I49" s="83">
        <f>SUM(G49:H49)</f>
        <v>45900</v>
      </c>
      <c r="J49" s="83"/>
      <c r="K49" s="83">
        <f>SUM(I49:J49)</f>
        <v>45900</v>
      </c>
      <c r="L49" s="83"/>
      <c r="M49" s="83">
        <f>SUM(K49:L49)</f>
        <v>45900</v>
      </c>
      <c r="N49" s="83"/>
      <c r="O49" s="83">
        <f>SUM(M49:N49)</f>
        <v>45900</v>
      </c>
      <c r="P49" s="83"/>
      <c r="Q49" s="83">
        <f>SUM(O49:P49)</f>
        <v>45900</v>
      </c>
      <c r="R49" s="83"/>
      <c r="S49" s="83">
        <f>SUM(Q49:R49)</f>
        <v>45900</v>
      </c>
      <c r="T49" s="83"/>
      <c r="U49" s="83">
        <f>SUM(S49:T49)</f>
        <v>45900</v>
      </c>
    </row>
    <row r="50" spans="1:21" s="22" customFormat="1" ht="23.25" customHeight="1">
      <c r="A50" s="31" t="s">
        <v>172</v>
      </c>
      <c r="B50" s="32"/>
      <c r="C50" s="33"/>
      <c r="D50" s="34" t="s">
        <v>89</v>
      </c>
      <c r="E50" s="88">
        <f aca="true" t="shared" si="26" ref="E50:T51">SUM(E51)</f>
        <v>0</v>
      </c>
      <c r="F50" s="88">
        <f t="shared" si="26"/>
        <v>4400</v>
      </c>
      <c r="G50" s="88">
        <f t="shared" si="26"/>
        <v>4400</v>
      </c>
      <c r="H50" s="88">
        <f t="shared" si="26"/>
        <v>0</v>
      </c>
      <c r="I50" s="88">
        <f t="shared" si="26"/>
        <v>4400</v>
      </c>
      <c r="J50" s="88">
        <f t="shared" si="26"/>
        <v>0</v>
      </c>
      <c r="K50" s="88">
        <f t="shared" si="26"/>
        <v>4400</v>
      </c>
      <c r="L50" s="88">
        <f t="shared" si="26"/>
        <v>0</v>
      </c>
      <c r="M50" s="88">
        <f t="shared" si="26"/>
        <v>4400</v>
      </c>
      <c r="N50" s="88">
        <f t="shared" si="26"/>
        <v>0</v>
      </c>
      <c r="O50" s="88">
        <f t="shared" si="26"/>
        <v>4400</v>
      </c>
      <c r="P50" s="88">
        <f t="shared" si="26"/>
        <v>0</v>
      </c>
      <c r="Q50" s="88">
        <f t="shared" si="26"/>
        <v>4400</v>
      </c>
      <c r="R50" s="88">
        <f t="shared" si="26"/>
        <v>0</v>
      </c>
      <c r="S50" s="88">
        <f t="shared" si="26"/>
        <v>4400</v>
      </c>
      <c r="T50" s="88">
        <f t="shared" si="26"/>
        <v>0</v>
      </c>
      <c r="U50" s="88">
        <f>SUM(U51)</f>
        <v>4400</v>
      </c>
    </row>
    <row r="51" spans="1:21" s="22" customFormat="1" ht="22.5">
      <c r="A51" s="62"/>
      <c r="B51" s="62">
        <v>92605</v>
      </c>
      <c r="C51" s="62"/>
      <c r="D51" s="36" t="s">
        <v>90</v>
      </c>
      <c r="E51" s="83">
        <f t="shared" si="26"/>
        <v>0</v>
      </c>
      <c r="F51" s="83">
        <f t="shared" si="26"/>
        <v>4400</v>
      </c>
      <c r="G51" s="83">
        <f t="shared" si="26"/>
        <v>4400</v>
      </c>
      <c r="H51" s="83">
        <f t="shared" si="26"/>
        <v>0</v>
      </c>
      <c r="I51" s="83">
        <f t="shared" si="26"/>
        <v>4400</v>
      </c>
      <c r="J51" s="83">
        <f t="shared" si="26"/>
        <v>0</v>
      </c>
      <c r="K51" s="83">
        <f t="shared" si="26"/>
        <v>4400</v>
      </c>
      <c r="L51" s="83">
        <f t="shared" si="26"/>
        <v>0</v>
      </c>
      <c r="M51" s="83">
        <f t="shared" si="26"/>
        <v>4400</v>
      </c>
      <c r="N51" s="83">
        <f t="shared" si="26"/>
        <v>0</v>
      </c>
      <c r="O51" s="83">
        <f t="shared" si="26"/>
        <v>4400</v>
      </c>
      <c r="P51" s="83">
        <f t="shared" si="26"/>
        <v>0</v>
      </c>
      <c r="Q51" s="83">
        <f t="shared" si="26"/>
        <v>4400</v>
      </c>
      <c r="R51" s="83">
        <f t="shared" si="26"/>
        <v>0</v>
      </c>
      <c r="S51" s="83">
        <f t="shared" si="26"/>
        <v>4400</v>
      </c>
      <c r="T51" s="83">
        <f>SUM(T52)</f>
        <v>0</v>
      </c>
      <c r="U51" s="83">
        <f>SUM(U52)</f>
        <v>4400</v>
      </c>
    </row>
    <row r="52" spans="1:21" s="22" customFormat="1" ht="45">
      <c r="A52" s="62"/>
      <c r="B52" s="62"/>
      <c r="C52" s="62">
        <v>2320</v>
      </c>
      <c r="D52" s="66" t="s">
        <v>253</v>
      </c>
      <c r="E52" s="83">
        <v>0</v>
      </c>
      <c r="F52" s="83">
        <f>1500+400+500+2000</f>
        <v>4400</v>
      </c>
      <c r="G52" s="83">
        <f>SUM(E52:F52)</f>
        <v>4400</v>
      </c>
      <c r="H52" s="83"/>
      <c r="I52" s="83">
        <f>SUM(G52:H52)</f>
        <v>4400</v>
      </c>
      <c r="J52" s="83"/>
      <c r="K52" s="83">
        <f>SUM(I52:J52)</f>
        <v>4400</v>
      </c>
      <c r="L52" s="83"/>
      <c r="M52" s="83">
        <f>SUM(K52:L52)</f>
        <v>4400</v>
      </c>
      <c r="N52" s="83"/>
      <c r="O52" s="83">
        <f>SUM(M52:N52)</f>
        <v>4400</v>
      </c>
      <c r="P52" s="83"/>
      <c r="Q52" s="83">
        <f>SUM(O52:P52)</f>
        <v>4400</v>
      </c>
      <c r="R52" s="83"/>
      <c r="S52" s="83">
        <f>SUM(Q52:R52)</f>
        <v>4400</v>
      </c>
      <c r="T52" s="83"/>
      <c r="U52" s="83">
        <f>SUM(S52:T52)</f>
        <v>4400</v>
      </c>
    </row>
    <row r="53" spans="1:21" s="22" customFormat="1" ht="25.5" customHeight="1">
      <c r="A53" s="99"/>
      <c r="B53" s="100"/>
      <c r="C53" s="101"/>
      <c r="D53" s="87" t="s">
        <v>91</v>
      </c>
      <c r="E53" s="88">
        <f>SUM(E45,E27,E13,E10,E21,E16,E50)</f>
        <v>8895396</v>
      </c>
      <c r="F53" s="88">
        <f>SUM(F45,F27,F13,F10,F21,F16,F50)</f>
        <v>11500</v>
      </c>
      <c r="G53" s="88">
        <f>SUM(G45,G27,G13,G10,G21,G16,G50)</f>
        <v>8906896</v>
      </c>
      <c r="H53" s="88">
        <f>SUM(H45,H27,H13,H10,H21,H16,H50)</f>
        <v>165286</v>
      </c>
      <c r="I53" s="88">
        <f>SUM(I45,I27,I13,I10,I21,I16,I50,I42)</f>
        <v>9072182</v>
      </c>
      <c r="J53" s="88">
        <f>SUM(J45,J27,J13,J10,J21,J16,J50,J42)</f>
        <v>253074</v>
      </c>
      <c r="K53" s="88">
        <f aca="true" t="shared" si="27" ref="K53:U53">SUM(K45,K27,K13,K10,K21,K16,K50,K42,K7)</f>
        <v>9325256</v>
      </c>
      <c r="L53" s="88">
        <f t="shared" si="27"/>
        <v>441231</v>
      </c>
      <c r="M53" s="88">
        <f t="shared" si="27"/>
        <v>9766487</v>
      </c>
      <c r="N53" s="88">
        <f t="shared" si="27"/>
        <v>78907</v>
      </c>
      <c r="O53" s="88" t="e">
        <f t="shared" si="27"/>
        <v>#REF!</v>
      </c>
      <c r="P53" s="88" t="e">
        <f t="shared" si="27"/>
        <v>#REF!</v>
      </c>
      <c r="Q53" s="88" t="e">
        <f t="shared" si="27"/>
        <v>#REF!</v>
      </c>
      <c r="R53" s="88" t="e">
        <f t="shared" si="27"/>
        <v>#REF!</v>
      </c>
      <c r="S53" s="88">
        <f t="shared" si="27"/>
        <v>10088906</v>
      </c>
      <c r="T53" s="88">
        <f t="shared" si="27"/>
        <v>838678</v>
      </c>
      <c r="U53" s="88">
        <f t="shared" si="27"/>
        <v>10927584</v>
      </c>
    </row>
    <row r="54" spans="1:3" ht="12.75">
      <c r="A54" s="44"/>
      <c r="B54" s="44"/>
      <c r="C54" s="44"/>
    </row>
    <row r="56" spans="12:20" ht="12.75">
      <c r="L56" s="136">
        <v>173200</v>
      </c>
      <c r="N56" s="136"/>
      <c r="P56" s="136"/>
      <c r="R56" s="136"/>
      <c r="T56" s="136"/>
    </row>
    <row r="57" spans="5:21" ht="12.75">
      <c r="E57" s="91"/>
      <c r="F57" s="91"/>
      <c r="G57" s="91"/>
      <c r="H57" s="91"/>
      <c r="I57" s="91"/>
      <c r="J57" s="91"/>
      <c r="K57" s="91"/>
      <c r="L57" s="136">
        <v>192361</v>
      </c>
      <c r="M57" s="91"/>
      <c r="N57" s="136"/>
      <c r="O57" s="91"/>
      <c r="P57" s="136"/>
      <c r="Q57" s="91"/>
      <c r="R57" s="136"/>
      <c r="S57" s="91"/>
      <c r="T57" s="136"/>
      <c r="U57" s="91"/>
    </row>
    <row r="58" spans="12:20" ht="12.75">
      <c r="L58" s="136">
        <v>75670</v>
      </c>
      <c r="N58" s="136"/>
      <c r="P58" s="136"/>
      <c r="R58" s="136"/>
      <c r="T58" s="136"/>
    </row>
    <row r="59" spans="12:20" ht="12.75">
      <c r="L59" s="137">
        <f>SUM(L56:L58)</f>
        <v>441231</v>
      </c>
      <c r="N59" s="137"/>
      <c r="P59" s="23">
        <v>700</v>
      </c>
      <c r="Q59" s="6" t="s">
        <v>45</v>
      </c>
      <c r="R59" s="23"/>
      <c r="T59" s="23"/>
    </row>
    <row r="60" spans="12:20" ht="12.75">
      <c r="L60" s="136"/>
      <c r="N60" s="136"/>
      <c r="P60" s="23">
        <v>173200</v>
      </c>
      <c r="Q60" s="6" t="s">
        <v>392</v>
      </c>
      <c r="R60" s="23"/>
      <c r="T60" s="23"/>
    </row>
    <row r="61" spans="12:20" ht="12.75">
      <c r="L61" s="136"/>
      <c r="N61" s="136"/>
      <c r="P61" s="23">
        <v>2211</v>
      </c>
      <c r="Q61" s="6" t="s">
        <v>391</v>
      </c>
      <c r="R61" s="23"/>
      <c r="T61" s="23"/>
    </row>
    <row r="62" spans="12:20" ht="12.75">
      <c r="L62" s="136"/>
      <c r="N62" s="136"/>
      <c r="P62" s="23">
        <v>52500</v>
      </c>
      <c r="Q62" s="6" t="s">
        <v>394</v>
      </c>
      <c r="R62" s="23"/>
      <c r="T62" s="23"/>
    </row>
    <row r="63" spans="16:20" ht="12.75">
      <c r="P63" s="37">
        <f>SUM(P59:P62)</f>
        <v>228611</v>
      </c>
      <c r="R63" s="37"/>
      <c r="T63" s="37"/>
    </row>
    <row r="64" spans="16:20" ht="12.75">
      <c r="P64" s="23"/>
      <c r="R64" s="23"/>
      <c r="T64" s="23"/>
    </row>
    <row r="65" spans="16:20" ht="12.75">
      <c r="P65" s="23"/>
      <c r="R65" s="23"/>
      <c r="T65" s="23"/>
    </row>
  </sheetData>
  <sheetProtection/>
  <mergeCells count="1">
    <mergeCell ref="A5:U5"/>
  </mergeCells>
  <printOptions horizontalCentered="1"/>
  <pageMargins left="0.37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G82"/>
  <sheetViews>
    <sheetView zoomScalePageLayoutView="0" workbookViewId="0" topLeftCell="A64">
      <selection activeCell="A69" sqref="A69:IV72"/>
    </sheetView>
  </sheetViews>
  <sheetFormatPr defaultColWidth="9.00390625" defaultRowHeight="12.75"/>
  <cols>
    <col min="1" max="1" width="6.25390625" style="6" customWidth="1"/>
    <col min="2" max="2" width="7.25390625" style="6" bestFit="1" customWidth="1"/>
    <col min="3" max="3" width="5.75390625" style="6" customWidth="1"/>
    <col min="4" max="4" width="28.00390625" style="6" customWidth="1"/>
    <col min="5" max="5" width="12.875" style="0" hidden="1" customWidth="1"/>
    <col min="6" max="6" width="13.625" style="0" hidden="1" customWidth="1"/>
    <col min="7" max="7" width="15.25390625" style="0" hidden="1" customWidth="1"/>
    <col min="8" max="8" width="13.625" style="0" hidden="1" customWidth="1"/>
    <col min="9" max="9" width="15.25390625" style="0" hidden="1" customWidth="1"/>
    <col min="10" max="10" width="13.625" style="0" hidden="1" customWidth="1"/>
    <col min="11" max="11" width="15.25390625" style="0" hidden="1" customWidth="1"/>
    <col min="12" max="12" width="13.625" style="0" hidden="1" customWidth="1"/>
    <col min="13" max="13" width="15.25390625" style="0" hidden="1" customWidth="1"/>
    <col min="14" max="14" width="13.625" style="0" hidden="1" customWidth="1"/>
    <col min="15" max="15" width="15.25390625" style="0" hidden="1" customWidth="1"/>
    <col min="16" max="16" width="13.625" style="0" hidden="1" customWidth="1"/>
    <col min="17" max="17" width="15.25390625" style="0" customWidth="1"/>
    <col min="18" max="18" width="13.625" style="0" customWidth="1"/>
    <col min="19" max="19" width="15.25390625" style="0" customWidth="1"/>
  </cols>
  <sheetData>
    <row r="1" spans="5:19" ht="12.75">
      <c r="E1" s="45" t="s">
        <v>362</v>
      </c>
      <c r="F1" s="45"/>
      <c r="G1" s="45" t="s">
        <v>387</v>
      </c>
      <c r="H1" s="45"/>
      <c r="I1" s="45" t="s">
        <v>275</v>
      </c>
      <c r="J1" s="45"/>
      <c r="K1" s="45" t="s">
        <v>6</v>
      </c>
      <c r="L1" s="45"/>
      <c r="M1" s="45" t="s">
        <v>315</v>
      </c>
      <c r="N1" s="45"/>
      <c r="O1" s="45" t="s">
        <v>414</v>
      </c>
      <c r="P1" s="45"/>
      <c r="Q1" s="45" t="s">
        <v>459</v>
      </c>
      <c r="R1" s="45"/>
      <c r="S1" s="45"/>
    </row>
    <row r="2" spans="4:19" ht="12.75">
      <c r="D2" s="6" t="s">
        <v>248</v>
      </c>
      <c r="E2" s="45" t="s">
        <v>363</v>
      </c>
      <c r="F2" s="45"/>
      <c r="G2" s="45" t="s">
        <v>386</v>
      </c>
      <c r="H2" s="45"/>
      <c r="I2" s="45" t="s">
        <v>276</v>
      </c>
      <c r="J2" s="45"/>
      <c r="K2" s="45" t="s">
        <v>7</v>
      </c>
      <c r="L2" s="45"/>
      <c r="M2" s="45" t="s">
        <v>308</v>
      </c>
      <c r="N2" s="45"/>
      <c r="O2" s="45" t="s">
        <v>409</v>
      </c>
      <c r="P2" s="45"/>
      <c r="Q2" s="45" t="s">
        <v>460</v>
      </c>
      <c r="R2" s="45"/>
      <c r="S2" s="45"/>
    </row>
    <row r="3" spans="4:19" ht="12.75">
      <c r="D3" s="6" t="s">
        <v>247</v>
      </c>
      <c r="E3" s="45" t="s">
        <v>211</v>
      </c>
      <c r="F3" s="45"/>
      <c r="G3" s="45" t="s">
        <v>362</v>
      </c>
      <c r="H3" s="45"/>
      <c r="I3" s="45" t="s">
        <v>387</v>
      </c>
      <c r="J3" s="45"/>
      <c r="K3" s="45" t="s">
        <v>275</v>
      </c>
      <c r="L3" s="45"/>
      <c r="M3" s="45" t="s">
        <v>6</v>
      </c>
      <c r="N3" s="45"/>
      <c r="O3" s="45" t="s">
        <v>315</v>
      </c>
      <c r="P3" s="45"/>
      <c r="Q3" s="45" t="s">
        <v>414</v>
      </c>
      <c r="R3" s="45"/>
      <c r="S3" s="45"/>
    </row>
    <row r="4" spans="5:19" ht="12.75">
      <c r="E4" s="45" t="s">
        <v>339</v>
      </c>
      <c r="F4" s="45"/>
      <c r="G4" s="45" t="s">
        <v>73</v>
      </c>
      <c r="H4" s="45"/>
      <c r="I4" s="45" t="s">
        <v>378</v>
      </c>
      <c r="J4" s="45"/>
      <c r="K4" s="45" t="s">
        <v>5</v>
      </c>
      <c r="L4" s="45"/>
      <c r="M4" s="45" t="s">
        <v>329</v>
      </c>
      <c r="N4" s="45"/>
      <c r="O4" s="45" t="s">
        <v>309</v>
      </c>
      <c r="P4" s="45"/>
      <c r="Q4" s="45" t="s">
        <v>416</v>
      </c>
      <c r="R4" s="45"/>
      <c r="S4" s="45"/>
    </row>
    <row r="6" spans="1:19" ht="30" customHeight="1">
      <c r="A6" s="194" t="s">
        <v>286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</row>
    <row r="7" spans="1:19" s="6" customFormat="1" ht="24.75" customHeight="1">
      <c r="A7" s="10" t="s">
        <v>9</v>
      </c>
      <c r="B7" s="10" t="s">
        <v>12</v>
      </c>
      <c r="C7" s="10" t="s">
        <v>13</v>
      </c>
      <c r="D7" s="16" t="s">
        <v>14</v>
      </c>
      <c r="E7" s="95" t="s">
        <v>173</v>
      </c>
      <c r="F7" s="95" t="s">
        <v>232</v>
      </c>
      <c r="G7" s="95" t="s">
        <v>174</v>
      </c>
      <c r="H7" s="95" t="s">
        <v>232</v>
      </c>
      <c r="I7" s="95" t="s">
        <v>174</v>
      </c>
      <c r="J7" s="95" t="s">
        <v>232</v>
      </c>
      <c r="K7" s="95" t="s">
        <v>174</v>
      </c>
      <c r="L7" s="95" t="s">
        <v>232</v>
      </c>
      <c r="M7" s="95" t="s">
        <v>174</v>
      </c>
      <c r="N7" s="95" t="s">
        <v>232</v>
      </c>
      <c r="O7" s="95" t="s">
        <v>174</v>
      </c>
      <c r="P7" s="95" t="s">
        <v>232</v>
      </c>
      <c r="Q7" s="95" t="s">
        <v>174</v>
      </c>
      <c r="R7" s="95" t="s">
        <v>232</v>
      </c>
      <c r="S7" s="95" t="s">
        <v>238</v>
      </c>
    </row>
    <row r="8" spans="1:19" s="6" customFormat="1" ht="21" customHeight="1">
      <c r="A8" s="29" t="s">
        <v>15</v>
      </c>
      <c r="B8" s="10"/>
      <c r="C8" s="11"/>
      <c r="D8" s="28" t="s">
        <v>16</v>
      </c>
      <c r="E8" s="95"/>
      <c r="F8" s="95"/>
      <c r="G8" s="95"/>
      <c r="H8" s="95"/>
      <c r="I8" s="106">
        <f aca="true" t="shared" si="0" ref="I8:S8">SUM(I9)</f>
        <v>0</v>
      </c>
      <c r="J8" s="106">
        <f t="shared" si="0"/>
        <v>192361</v>
      </c>
      <c r="K8" s="106">
        <f t="shared" si="0"/>
        <v>192361</v>
      </c>
      <c r="L8" s="106">
        <f t="shared" si="0"/>
        <v>0</v>
      </c>
      <c r="M8" s="106">
        <f t="shared" si="0"/>
        <v>192361</v>
      </c>
      <c r="N8" s="106">
        <f t="shared" si="0"/>
        <v>0</v>
      </c>
      <c r="O8" s="106">
        <f t="shared" si="0"/>
        <v>192361</v>
      </c>
      <c r="P8" s="106">
        <f t="shared" si="0"/>
        <v>0</v>
      </c>
      <c r="Q8" s="106">
        <f t="shared" si="0"/>
        <v>192361</v>
      </c>
      <c r="R8" s="106">
        <f t="shared" si="0"/>
        <v>224360</v>
      </c>
      <c r="S8" s="106">
        <f t="shared" si="0"/>
        <v>416721</v>
      </c>
    </row>
    <row r="9" spans="1:19" s="22" customFormat="1" ht="21" customHeight="1">
      <c r="A9" s="71"/>
      <c r="B9" s="62" t="s">
        <v>289</v>
      </c>
      <c r="C9" s="64"/>
      <c r="D9" s="66" t="s">
        <v>17</v>
      </c>
      <c r="E9" s="118"/>
      <c r="F9" s="118"/>
      <c r="G9" s="118"/>
      <c r="H9" s="118"/>
      <c r="I9" s="117">
        <f aca="true" t="shared" si="1" ref="I9:O9">SUM(I10:I13)</f>
        <v>0</v>
      </c>
      <c r="J9" s="117">
        <f t="shared" si="1"/>
        <v>192361</v>
      </c>
      <c r="K9" s="117">
        <f t="shared" si="1"/>
        <v>192361</v>
      </c>
      <c r="L9" s="117">
        <f t="shared" si="1"/>
        <v>0</v>
      </c>
      <c r="M9" s="117">
        <f t="shared" si="1"/>
        <v>192361</v>
      </c>
      <c r="N9" s="117">
        <f t="shared" si="1"/>
        <v>0</v>
      </c>
      <c r="O9" s="117">
        <f t="shared" si="1"/>
        <v>192361</v>
      </c>
      <c r="P9" s="117">
        <f>SUM(P10:P13)</f>
        <v>0</v>
      </c>
      <c r="Q9" s="117">
        <f>SUM(Q10:Q13)</f>
        <v>192361</v>
      </c>
      <c r="R9" s="117">
        <f>SUM(R10:R14)</f>
        <v>224360</v>
      </c>
      <c r="S9" s="117">
        <f>SUM(S10:S14)</f>
        <v>416721</v>
      </c>
    </row>
    <row r="10" spans="1:19" s="22" customFormat="1" ht="21" customHeight="1">
      <c r="A10" s="71"/>
      <c r="B10" s="71"/>
      <c r="C10" s="64">
        <v>4210</v>
      </c>
      <c r="D10" s="66" t="s">
        <v>116</v>
      </c>
      <c r="E10" s="118"/>
      <c r="F10" s="118"/>
      <c r="G10" s="118"/>
      <c r="H10" s="118"/>
      <c r="I10" s="117">
        <v>0</v>
      </c>
      <c r="J10" s="117">
        <v>772</v>
      </c>
      <c r="K10" s="117">
        <f>SUM(I10:J10)</f>
        <v>772</v>
      </c>
      <c r="L10" s="117"/>
      <c r="M10" s="117">
        <f>SUM(K10:L10)</f>
        <v>772</v>
      </c>
      <c r="N10" s="117"/>
      <c r="O10" s="117">
        <f>SUM(M10:N10)</f>
        <v>772</v>
      </c>
      <c r="P10" s="117"/>
      <c r="Q10" s="117">
        <f>SUM(O10:P10)</f>
        <v>772</v>
      </c>
      <c r="R10" s="117">
        <v>900</v>
      </c>
      <c r="S10" s="117">
        <f>SUM(Q10:R10)</f>
        <v>1672</v>
      </c>
    </row>
    <row r="11" spans="1:19" s="22" customFormat="1" ht="21" customHeight="1">
      <c r="A11" s="71"/>
      <c r="B11" s="71"/>
      <c r="C11" s="64">
        <v>4300</v>
      </c>
      <c r="D11" s="66" t="s">
        <v>354</v>
      </c>
      <c r="E11" s="118"/>
      <c r="F11" s="118"/>
      <c r="G11" s="118"/>
      <c r="H11" s="118"/>
      <c r="I11" s="117">
        <v>0</v>
      </c>
      <c r="J11" s="117">
        <v>1000</v>
      </c>
      <c r="K11" s="117">
        <f>SUM(I11:J11)</f>
        <v>1000</v>
      </c>
      <c r="L11" s="117"/>
      <c r="M11" s="117">
        <f>SUM(K11:L11)</f>
        <v>1000</v>
      </c>
      <c r="N11" s="117"/>
      <c r="O11" s="117">
        <f>SUM(M11:N11)</f>
        <v>1000</v>
      </c>
      <c r="P11" s="117"/>
      <c r="Q11" s="117">
        <f>SUM(O11:P11)</f>
        <v>1000</v>
      </c>
      <c r="R11" s="117">
        <v>2599</v>
      </c>
      <c r="S11" s="117">
        <f>SUM(Q11:R11)</f>
        <v>3599</v>
      </c>
    </row>
    <row r="12" spans="1:19" s="22" customFormat="1" ht="21" customHeight="1">
      <c r="A12" s="71"/>
      <c r="B12" s="71"/>
      <c r="C12" s="64">
        <v>4430</v>
      </c>
      <c r="D12" s="66" t="s">
        <v>118</v>
      </c>
      <c r="E12" s="118"/>
      <c r="F12" s="118"/>
      <c r="G12" s="118"/>
      <c r="H12" s="118"/>
      <c r="I12" s="117">
        <v>0</v>
      </c>
      <c r="J12" s="117">
        <v>188589</v>
      </c>
      <c r="K12" s="117">
        <f>SUM(I12:J12)</f>
        <v>188589</v>
      </c>
      <c r="L12" s="117"/>
      <c r="M12" s="117">
        <f>SUM(K12:L12)</f>
        <v>188589</v>
      </c>
      <c r="N12" s="117"/>
      <c r="O12" s="117">
        <f>SUM(M12:N12)</f>
        <v>188589</v>
      </c>
      <c r="P12" s="117"/>
      <c r="Q12" s="117">
        <f>SUM(O12:P12)</f>
        <v>188589</v>
      </c>
      <c r="R12" s="117">
        <v>219961</v>
      </c>
      <c r="S12" s="117">
        <f>SUM(Q12:R12)</f>
        <v>408550</v>
      </c>
    </row>
    <row r="13" spans="1:19" s="22" customFormat="1" ht="33.75">
      <c r="A13" s="71"/>
      <c r="B13" s="71"/>
      <c r="C13" s="64">
        <v>4740</v>
      </c>
      <c r="D13" s="36" t="s">
        <v>270</v>
      </c>
      <c r="E13" s="118"/>
      <c r="F13" s="118"/>
      <c r="G13" s="118"/>
      <c r="H13" s="118"/>
      <c r="I13" s="117">
        <v>0</v>
      </c>
      <c r="J13" s="117">
        <v>2000</v>
      </c>
      <c r="K13" s="117">
        <f>SUM(I13:J13)</f>
        <v>2000</v>
      </c>
      <c r="L13" s="117"/>
      <c r="M13" s="117">
        <f>SUM(K13:L13)</f>
        <v>2000</v>
      </c>
      <c r="N13" s="117"/>
      <c r="O13" s="117">
        <f>SUM(M13:N13)</f>
        <v>2000</v>
      </c>
      <c r="P13" s="117"/>
      <c r="Q13" s="117">
        <f>SUM(O13:P13)</f>
        <v>2000</v>
      </c>
      <c r="R13" s="117">
        <v>300</v>
      </c>
      <c r="S13" s="117">
        <f>SUM(Q13:R13)</f>
        <v>2300</v>
      </c>
    </row>
    <row r="14" spans="1:19" s="22" customFormat="1" ht="22.5">
      <c r="A14" s="71"/>
      <c r="B14" s="71"/>
      <c r="C14" s="64">
        <v>4750</v>
      </c>
      <c r="D14" s="36" t="s">
        <v>373</v>
      </c>
      <c r="E14" s="118"/>
      <c r="F14" s="118"/>
      <c r="G14" s="118"/>
      <c r="H14" s="118"/>
      <c r="I14" s="117"/>
      <c r="J14" s="117"/>
      <c r="K14" s="117"/>
      <c r="L14" s="117"/>
      <c r="M14" s="117"/>
      <c r="N14" s="117"/>
      <c r="O14" s="117"/>
      <c r="P14" s="117"/>
      <c r="Q14" s="117">
        <v>0</v>
      </c>
      <c r="R14" s="117">
        <v>600</v>
      </c>
      <c r="S14" s="117">
        <f>SUM(Q14:R14)</f>
        <v>600</v>
      </c>
    </row>
    <row r="15" spans="1:19" s="22" customFormat="1" ht="24.75" customHeight="1">
      <c r="A15" s="29" t="s">
        <v>26</v>
      </c>
      <c r="B15" s="3"/>
      <c r="C15" s="18"/>
      <c r="D15" s="28" t="s">
        <v>27</v>
      </c>
      <c r="E15" s="39">
        <f aca="true" t="shared" si="2" ref="E15:S15">SUM(E16)</f>
        <v>153500</v>
      </c>
      <c r="F15" s="39">
        <f t="shared" si="2"/>
        <v>0</v>
      </c>
      <c r="G15" s="39">
        <f t="shared" si="2"/>
        <v>153500</v>
      </c>
      <c r="H15" s="39">
        <f t="shared" si="2"/>
        <v>0</v>
      </c>
      <c r="I15" s="39">
        <f t="shared" si="2"/>
        <v>153500</v>
      </c>
      <c r="J15" s="39">
        <f t="shared" si="2"/>
        <v>0</v>
      </c>
      <c r="K15" s="39">
        <f t="shared" si="2"/>
        <v>153500</v>
      </c>
      <c r="L15" s="39">
        <f t="shared" si="2"/>
        <v>0</v>
      </c>
      <c r="M15" s="39">
        <f t="shared" si="2"/>
        <v>153500</v>
      </c>
      <c r="N15" s="39">
        <f t="shared" si="2"/>
        <v>2211</v>
      </c>
      <c r="O15" s="39">
        <f t="shared" si="2"/>
        <v>155711</v>
      </c>
      <c r="P15" s="39">
        <f t="shared" si="2"/>
        <v>0</v>
      </c>
      <c r="Q15" s="39">
        <f t="shared" si="2"/>
        <v>155711</v>
      </c>
      <c r="R15" s="39">
        <f t="shared" si="2"/>
        <v>0</v>
      </c>
      <c r="S15" s="39">
        <f t="shared" si="2"/>
        <v>155711</v>
      </c>
    </row>
    <row r="16" spans="1:19" s="22" customFormat="1" ht="21" customHeight="1">
      <c r="A16" s="62"/>
      <c r="B16" s="62">
        <v>75011</v>
      </c>
      <c r="C16" s="69"/>
      <c r="D16" s="66" t="s">
        <v>28</v>
      </c>
      <c r="E16" s="82">
        <f aca="true" t="shared" si="3" ref="E16:K16">SUM(E17:E21)</f>
        <v>153500</v>
      </c>
      <c r="F16" s="82">
        <f t="shared" si="3"/>
        <v>0</v>
      </c>
      <c r="G16" s="82">
        <f t="shared" si="3"/>
        <v>153500</v>
      </c>
      <c r="H16" s="82">
        <f t="shared" si="3"/>
        <v>0</v>
      </c>
      <c r="I16" s="82">
        <f t="shared" si="3"/>
        <v>153500</v>
      </c>
      <c r="J16" s="82">
        <f t="shared" si="3"/>
        <v>0</v>
      </c>
      <c r="K16" s="82">
        <f t="shared" si="3"/>
        <v>153500</v>
      </c>
      <c r="L16" s="82">
        <f aca="true" t="shared" si="4" ref="L16:Q16">SUM(L17:L21)</f>
        <v>0</v>
      </c>
      <c r="M16" s="82">
        <f t="shared" si="4"/>
        <v>153500</v>
      </c>
      <c r="N16" s="82">
        <f t="shared" si="4"/>
        <v>2211</v>
      </c>
      <c r="O16" s="82">
        <f t="shared" si="4"/>
        <v>155711</v>
      </c>
      <c r="P16" s="82">
        <f t="shared" si="4"/>
        <v>0</v>
      </c>
      <c r="Q16" s="82">
        <f t="shared" si="4"/>
        <v>155711</v>
      </c>
      <c r="R16" s="82">
        <f>SUM(R17:R21)</f>
        <v>0</v>
      </c>
      <c r="S16" s="82">
        <f>SUM(S17:S21)</f>
        <v>155711</v>
      </c>
    </row>
    <row r="17" spans="1:19" s="22" customFormat="1" ht="21.75" customHeight="1">
      <c r="A17" s="62"/>
      <c r="B17" s="40"/>
      <c r="C17" s="63">
        <v>4010</v>
      </c>
      <c r="D17" s="66" t="s">
        <v>108</v>
      </c>
      <c r="E17" s="82">
        <v>103800</v>
      </c>
      <c r="F17" s="82">
        <v>2833</v>
      </c>
      <c r="G17" s="82">
        <f>SUM(E17:F17)</f>
        <v>106633</v>
      </c>
      <c r="H17" s="82"/>
      <c r="I17" s="82">
        <f>SUM(G17:H17)</f>
        <v>106633</v>
      </c>
      <c r="J17" s="82"/>
      <c r="K17" s="82">
        <f>SUM(I17:J17)</f>
        <v>106633</v>
      </c>
      <c r="L17" s="82"/>
      <c r="M17" s="82">
        <f>SUM(K17:L17)</f>
        <v>106633</v>
      </c>
      <c r="N17" s="82">
        <v>2211</v>
      </c>
      <c r="O17" s="82">
        <f>SUM(M17:N17)</f>
        <v>108844</v>
      </c>
      <c r="P17" s="82"/>
      <c r="Q17" s="82">
        <f>SUM(O17:P17)</f>
        <v>108844</v>
      </c>
      <c r="R17" s="82"/>
      <c r="S17" s="82">
        <f>SUM(Q17:R17)</f>
        <v>108844</v>
      </c>
    </row>
    <row r="18" spans="1:19" s="22" customFormat="1" ht="21.75" customHeight="1">
      <c r="A18" s="62"/>
      <c r="B18" s="40"/>
      <c r="C18" s="63">
        <v>4040</v>
      </c>
      <c r="D18" s="66" t="s">
        <v>109</v>
      </c>
      <c r="E18" s="82">
        <v>18000</v>
      </c>
      <c r="F18" s="82">
        <v>-2833</v>
      </c>
      <c r="G18" s="82">
        <f>SUM(E18:F18)</f>
        <v>15167</v>
      </c>
      <c r="H18" s="82"/>
      <c r="I18" s="82">
        <f>SUM(G18:H18)</f>
        <v>15167</v>
      </c>
      <c r="J18" s="82"/>
      <c r="K18" s="82">
        <f>SUM(I18:J18)</f>
        <v>15167</v>
      </c>
      <c r="L18" s="82"/>
      <c r="M18" s="82">
        <f>SUM(K18:L18)</f>
        <v>15167</v>
      </c>
      <c r="N18" s="82"/>
      <c r="O18" s="82">
        <f>SUM(M18:N18)</f>
        <v>15167</v>
      </c>
      <c r="P18" s="82"/>
      <c r="Q18" s="82">
        <f>SUM(O18:P18)</f>
        <v>15167</v>
      </c>
      <c r="R18" s="82"/>
      <c r="S18" s="82">
        <f>SUM(Q18:R18)</f>
        <v>15167</v>
      </c>
    </row>
    <row r="19" spans="1:19" s="22" customFormat="1" ht="21.75" customHeight="1">
      <c r="A19" s="62"/>
      <c r="B19" s="40"/>
      <c r="C19" s="63">
        <v>4110</v>
      </c>
      <c r="D19" s="66" t="s">
        <v>110</v>
      </c>
      <c r="E19" s="82">
        <v>21000</v>
      </c>
      <c r="F19" s="82"/>
      <c r="G19" s="82">
        <f>SUM(E19:F19)</f>
        <v>21000</v>
      </c>
      <c r="H19" s="82"/>
      <c r="I19" s="82">
        <f>SUM(G19:H19)</f>
        <v>21000</v>
      </c>
      <c r="J19" s="82"/>
      <c r="K19" s="82">
        <f>SUM(I19:J19)</f>
        <v>21000</v>
      </c>
      <c r="L19" s="82"/>
      <c r="M19" s="82">
        <f>SUM(K19:L19)</f>
        <v>21000</v>
      </c>
      <c r="N19" s="82"/>
      <c r="O19" s="82">
        <f>SUM(M19:N19)</f>
        <v>21000</v>
      </c>
      <c r="P19" s="82"/>
      <c r="Q19" s="82">
        <f>SUM(O19:P19)</f>
        <v>21000</v>
      </c>
      <c r="R19" s="82"/>
      <c r="S19" s="82">
        <f>SUM(Q19:R19)</f>
        <v>21000</v>
      </c>
    </row>
    <row r="20" spans="1:19" s="22" customFormat="1" ht="21.75" customHeight="1">
      <c r="A20" s="62"/>
      <c r="B20" s="40"/>
      <c r="C20" s="63">
        <v>4120</v>
      </c>
      <c r="D20" s="66" t="s">
        <v>111</v>
      </c>
      <c r="E20" s="82">
        <v>3000</v>
      </c>
      <c r="F20" s="82"/>
      <c r="G20" s="82">
        <f>SUM(E20:F20)</f>
        <v>3000</v>
      </c>
      <c r="H20" s="82"/>
      <c r="I20" s="82">
        <f>SUM(G20:H20)</f>
        <v>3000</v>
      </c>
      <c r="J20" s="82"/>
      <c r="K20" s="82">
        <f>SUM(I20:J20)</f>
        <v>3000</v>
      </c>
      <c r="L20" s="82"/>
      <c r="M20" s="82">
        <f>SUM(K20:L20)</f>
        <v>3000</v>
      </c>
      <c r="N20" s="82"/>
      <c r="O20" s="82">
        <f>SUM(M20:N20)</f>
        <v>3000</v>
      </c>
      <c r="P20" s="82"/>
      <c r="Q20" s="82">
        <f>SUM(O20:P20)</f>
        <v>3000</v>
      </c>
      <c r="R20" s="82"/>
      <c r="S20" s="82">
        <f>SUM(Q20:R20)</f>
        <v>3000</v>
      </c>
    </row>
    <row r="21" spans="1:19" s="22" customFormat="1" ht="22.5">
      <c r="A21" s="62"/>
      <c r="B21" s="40"/>
      <c r="C21" s="64">
        <v>4440</v>
      </c>
      <c r="D21" s="66" t="s">
        <v>112</v>
      </c>
      <c r="E21" s="82">
        <v>7700</v>
      </c>
      <c r="F21" s="82"/>
      <c r="G21" s="82">
        <f>SUM(E21:F21)</f>
        <v>7700</v>
      </c>
      <c r="H21" s="82"/>
      <c r="I21" s="82">
        <f>SUM(G21:H21)</f>
        <v>7700</v>
      </c>
      <c r="J21" s="82"/>
      <c r="K21" s="82">
        <f>SUM(I21:J21)</f>
        <v>7700</v>
      </c>
      <c r="L21" s="82"/>
      <c r="M21" s="82">
        <f>SUM(K21:L21)</f>
        <v>7700</v>
      </c>
      <c r="N21" s="82"/>
      <c r="O21" s="82">
        <f>SUM(M21:N21)</f>
        <v>7700</v>
      </c>
      <c r="P21" s="82"/>
      <c r="Q21" s="82">
        <f>SUM(O21:P21)</f>
        <v>7700</v>
      </c>
      <c r="R21" s="82"/>
      <c r="S21" s="82">
        <f>SUM(Q21:R21)</f>
        <v>7700</v>
      </c>
    </row>
    <row r="22" spans="1:19" s="22" customFormat="1" ht="48">
      <c r="A22" s="29">
        <v>751</v>
      </c>
      <c r="B22" s="3"/>
      <c r="C22" s="18"/>
      <c r="D22" s="28" t="s">
        <v>31</v>
      </c>
      <c r="E22" s="39">
        <f aca="true" t="shared" si="5" ref="E22:S22">E23</f>
        <v>3910</v>
      </c>
      <c r="F22" s="39">
        <f t="shared" si="5"/>
        <v>0</v>
      </c>
      <c r="G22" s="39">
        <f t="shared" si="5"/>
        <v>3910</v>
      </c>
      <c r="H22" s="39">
        <f t="shared" si="5"/>
        <v>-414</v>
      </c>
      <c r="I22" s="39">
        <f t="shared" si="5"/>
        <v>3496</v>
      </c>
      <c r="J22" s="39">
        <f t="shared" si="5"/>
        <v>0</v>
      </c>
      <c r="K22" s="39">
        <f t="shared" si="5"/>
        <v>3496</v>
      </c>
      <c r="L22" s="39">
        <f t="shared" si="5"/>
        <v>0</v>
      </c>
      <c r="M22" s="39">
        <f t="shared" si="5"/>
        <v>3496</v>
      </c>
      <c r="N22" s="39">
        <f t="shared" si="5"/>
        <v>0</v>
      </c>
      <c r="O22" s="39">
        <f t="shared" si="5"/>
        <v>3496</v>
      </c>
      <c r="P22" s="39">
        <f t="shared" si="5"/>
        <v>0</v>
      </c>
      <c r="Q22" s="39">
        <f t="shared" si="5"/>
        <v>3496</v>
      </c>
      <c r="R22" s="39">
        <f t="shared" si="5"/>
        <v>0</v>
      </c>
      <c r="S22" s="39">
        <f t="shared" si="5"/>
        <v>3496</v>
      </c>
    </row>
    <row r="23" spans="1:19" s="22" customFormat="1" ht="33.75">
      <c r="A23" s="40"/>
      <c r="B23" s="62">
        <v>75101</v>
      </c>
      <c r="C23" s="69"/>
      <c r="D23" s="66" t="s">
        <v>32</v>
      </c>
      <c r="E23" s="82">
        <f aca="true" t="shared" si="6" ref="E23:K23">SUM(E24:E26)</f>
        <v>3910</v>
      </c>
      <c r="F23" s="82">
        <f t="shared" si="6"/>
        <v>0</v>
      </c>
      <c r="G23" s="82">
        <f t="shared" si="6"/>
        <v>3910</v>
      </c>
      <c r="H23" s="82">
        <f t="shared" si="6"/>
        <v>-414</v>
      </c>
      <c r="I23" s="82">
        <f t="shared" si="6"/>
        <v>3496</v>
      </c>
      <c r="J23" s="82">
        <f t="shared" si="6"/>
        <v>0</v>
      </c>
      <c r="K23" s="82">
        <f t="shared" si="6"/>
        <v>3496</v>
      </c>
      <c r="L23" s="82">
        <f>SUM(L24:L26)</f>
        <v>0</v>
      </c>
      <c r="M23" s="82">
        <f>SUM(M24:M26)</f>
        <v>3496</v>
      </c>
      <c r="N23" s="82">
        <f>SUM(N24:N26)</f>
        <v>0</v>
      </c>
      <c r="O23" s="82">
        <f>SUM(O24:O27)</f>
        <v>3496</v>
      </c>
      <c r="P23" s="82">
        <f>SUM(P24:P27)</f>
        <v>0</v>
      </c>
      <c r="Q23" s="82">
        <f>SUM(Q24:Q27)</f>
        <v>3496</v>
      </c>
      <c r="R23" s="82">
        <f>SUM(R24:R27)</f>
        <v>0</v>
      </c>
      <c r="S23" s="82">
        <f>SUM(S24:S27)</f>
        <v>3496</v>
      </c>
    </row>
    <row r="24" spans="1:19" s="22" customFormat="1" ht="21.75" customHeight="1">
      <c r="A24" s="40"/>
      <c r="B24" s="62"/>
      <c r="C24" s="63">
        <v>4210</v>
      </c>
      <c r="D24" s="66" t="s">
        <v>116</v>
      </c>
      <c r="E24" s="82">
        <v>1710</v>
      </c>
      <c r="F24" s="82"/>
      <c r="G24" s="82">
        <f>SUM(E24:F24)</f>
        <v>1710</v>
      </c>
      <c r="H24" s="82"/>
      <c r="I24" s="82">
        <f>SUM(G24:H24)</f>
        <v>1710</v>
      </c>
      <c r="J24" s="82"/>
      <c r="K24" s="82">
        <f>SUM(I24:J24)</f>
        <v>1710</v>
      </c>
      <c r="L24" s="82"/>
      <c r="M24" s="82">
        <f>SUM(K24:L24)</f>
        <v>1710</v>
      </c>
      <c r="N24" s="82"/>
      <c r="O24" s="82">
        <f>SUM(M24:N24)</f>
        <v>1710</v>
      </c>
      <c r="P24" s="82"/>
      <c r="Q24" s="82">
        <f>SUM(O24:P24)</f>
        <v>1710</v>
      </c>
      <c r="R24" s="82"/>
      <c r="S24" s="82">
        <f>SUM(Q24:R24)</f>
        <v>1710</v>
      </c>
    </row>
    <row r="25" spans="1:19" s="22" customFormat="1" ht="33.75">
      <c r="A25" s="40"/>
      <c r="B25" s="62"/>
      <c r="C25" s="63">
        <v>4700</v>
      </c>
      <c r="D25" s="36" t="s">
        <v>321</v>
      </c>
      <c r="E25" s="82">
        <v>1000</v>
      </c>
      <c r="F25" s="82"/>
      <c r="G25" s="82">
        <f>SUM(E25:F25)</f>
        <v>1000</v>
      </c>
      <c r="H25" s="82"/>
      <c r="I25" s="82">
        <f>SUM(G25:H25)</f>
        <v>1000</v>
      </c>
      <c r="J25" s="82"/>
      <c r="K25" s="82">
        <f>SUM(I25:J25)</f>
        <v>1000</v>
      </c>
      <c r="L25" s="82"/>
      <c r="M25" s="82">
        <f>SUM(K25:L25)</f>
        <v>1000</v>
      </c>
      <c r="N25" s="82"/>
      <c r="O25" s="82">
        <f>SUM(M25:N25)</f>
        <v>1000</v>
      </c>
      <c r="P25" s="82">
        <v>-1000</v>
      </c>
      <c r="Q25" s="82">
        <f>SUM(O25:P25)</f>
        <v>0</v>
      </c>
      <c r="R25" s="82"/>
      <c r="S25" s="82">
        <f>SUM(Q25:R25)</f>
        <v>0</v>
      </c>
    </row>
    <row r="26" spans="1:19" s="22" customFormat="1" ht="33.75">
      <c r="A26" s="40"/>
      <c r="B26" s="62"/>
      <c r="C26" s="63">
        <v>4740</v>
      </c>
      <c r="D26" s="36" t="s">
        <v>270</v>
      </c>
      <c r="E26" s="82">
        <v>1200</v>
      </c>
      <c r="F26" s="82"/>
      <c r="G26" s="82">
        <f>SUM(E26:F26)</f>
        <v>1200</v>
      </c>
      <c r="H26" s="82">
        <v>-414</v>
      </c>
      <c r="I26" s="82">
        <f>SUM(G26:H26)</f>
        <v>786</v>
      </c>
      <c r="J26" s="82"/>
      <c r="K26" s="82">
        <f>SUM(I26:J26)</f>
        <v>786</v>
      </c>
      <c r="L26" s="82"/>
      <c r="M26" s="82">
        <f>SUM(K26:L26)</f>
        <v>786</v>
      </c>
      <c r="N26" s="82"/>
      <c r="O26" s="82">
        <f>SUM(M26:N26)</f>
        <v>786</v>
      </c>
      <c r="P26" s="82"/>
      <c r="Q26" s="82">
        <f>SUM(O26:P26)</f>
        <v>786</v>
      </c>
      <c r="R26" s="82"/>
      <c r="S26" s="82">
        <f>SUM(Q26:R26)</f>
        <v>786</v>
      </c>
    </row>
    <row r="27" spans="1:19" s="22" customFormat="1" ht="24" customHeight="1">
      <c r="A27" s="40"/>
      <c r="B27" s="62"/>
      <c r="C27" s="63">
        <v>4750</v>
      </c>
      <c r="D27" s="36" t="s">
        <v>373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>
        <v>0</v>
      </c>
      <c r="P27" s="82">
        <v>1000</v>
      </c>
      <c r="Q27" s="82">
        <f>SUM(O27:P27)</f>
        <v>1000</v>
      </c>
      <c r="R27" s="82"/>
      <c r="S27" s="82">
        <f>SUM(Q27:R27)</f>
        <v>1000</v>
      </c>
    </row>
    <row r="28" spans="1:19" s="38" customFormat="1" ht="24">
      <c r="A28" s="3">
        <v>754</v>
      </c>
      <c r="B28" s="29"/>
      <c r="C28" s="30"/>
      <c r="D28" s="28" t="s">
        <v>34</v>
      </c>
      <c r="E28" s="39">
        <f aca="true" t="shared" si="7" ref="E28:S29">SUM(E29)</f>
        <v>2500</v>
      </c>
      <c r="F28" s="39">
        <f t="shared" si="7"/>
        <v>0</v>
      </c>
      <c r="G28" s="39">
        <f t="shared" si="7"/>
        <v>2500</v>
      </c>
      <c r="H28" s="39">
        <f t="shared" si="7"/>
        <v>0</v>
      </c>
      <c r="I28" s="39">
        <f t="shared" si="7"/>
        <v>2500</v>
      </c>
      <c r="J28" s="39">
        <f t="shared" si="7"/>
        <v>0</v>
      </c>
      <c r="K28" s="39">
        <f t="shared" si="7"/>
        <v>2500</v>
      </c>
      <c r="L28" s="39">
        <f t="shared" si="7"/>
        <v>0</v>
      </c>
      <c r="M28" s="39">
        <f t="shared" si="7"/>
        <v>2500</v>
      </c>
      <c r="N28" s="39">
        <f t="shared" si="7"/>
        <v>0</v>
      </c>
      <c r="O28" s="39">
        <f t="shared" si="7"/>
        <v>2500</v>
      </c>
      <c r="P28" s="39">
        <f t="shared" si="7"/>
        <v>0</v>
      </c>
      <c r="Q28" s="39">
        <f t="shared" si="7"/>
        <v>2500</v>
      </c>
      <c r="R28" s="39">
        <f t="shared" si="7"/>
        <v>0</v>
      </c>
      <c r="S28" s="39">
        <f t="shared" si="7"/>
        <v>2500</v>
      </c>
    </row>
    <row r="29" spans="1:19" s="22" customFormat="1" ht="21.75" customHeight="1">
      <c r="A29" s="40"/>
      <c r="B29" s="62">
        <v>75414</v>
      </c>
      <c r="C29" s="63"/>
      <c r="D29" s="55" t="s">
        <v>287</v>
      </c>
      <c r="E29" s="82">
        <f t="shared" si="7"/>
        <v>2500</v>
      </c>
      <c r="F29" s="82">
        <f t="shared" si="7"/>
        <v>0</v>
      </c>
      <c r="G29" s="82">
        <f t="shared" si="7"/>
        <v>2500</v>
      </c>
      <c r="H29" s="82">
        <f t="shared" si="7"/>
        <v>0</v>
      </c>
      <c r="I29" s="82">
        <f t="shared" si="7"/>
        <v>2500</v>
      </c>
      <c r="J29" s="82">
        <f t="shared" si="7"/>
        <v>0</v>
      </c>
      <c r="K29" s="82">
        <f aca="true" t="shared" si="8" ref="K29:Q29">SUM(K30:K31)</f>
        <v>2500</v>
      </c>
      <c r="L29" s="82">
        <f t="shared" si="8"/>
        <v>0</v>
      </c>
      <c r="M29" s="82">
        <f t="shared" si="8"/>
        <v>2500</v>
      </c>
      <c r="N29" s="82">
        <f t="shared" si="8"/>
        <v>0</v>
      </c>
      <c r="O29" s="82">
        <f t="shared" si="8"/>
        <v>2500</v>
      </c>
      <c r="P29" s="82">
        <f t="shared" si="8"/>
        <v>0</v>
      </c>
      <c r="Q29" s="82">
        <f t="shared" si="8"/>
        <v>2500</v>
      </c>
      <c r="R29" s="82">
        <f>SUM(R30:R31)</f>
        <v>0</v>
      </c>
      <c r="S29" s="82">
        <f>SUM(S30:S31)</f>
        <v>2500</v>
      </c>
    </row>
    <row r="30" spans="1:19" s="22" customFormat="1" ht="21.75" customHeight="1">
      <c r="A30" s="40"/>
      <c r="B30" s="62"/>
      <c r="C30" s="63">
        <v>4210</v>
      </c>
      <c r="D30" s="66" t="s">
        <v>116</v>
      </c>
      <c r="E30" s="82">
        <v>2500</v>
      </c>
      <c r="F30" s="82"/>
      <c r="G30" s="82">
        <f>SUM(E30:F30)</f>
        <v>2500</v>
      </c>
      <c r="H30" s="82"/>
      <c r="I30" s="82">
        <f>SUM(G30:H30)</f>
        <v>2500</v>
      </c>
      <c r="J30" s="82"/>
      <c r="K30" s="82">
        <f>SUM(I30:J30)</f>
        <v>2500</v>
      </c>
      <c r="L30" s="82">
        <v>-488</v>
      </c>
      <c r="M30" s="82">
        <f>SUM(K30:L30)</f>
        <v>2012</v>
      </c>
      <c r="N30" s="82"/>
      <c r="O30" s="82">
        <f>SUM(M30:N30)</f>
        <v>2012</v>
      </c>
      <c r="P30" s="82"/>
      <c r="Q30" s="82">
        <f>SUM(O30:P30)</f>
        <v>2012</v>
      </c>
      <c r="R30" s="82"/>
      <c r="S30" s="82">
        <f>SUM(Q30:R30)</f>
        <v>2012</v>
      </c>
    </row>
    <row r="31" spans="1:19" s="22" customFormat="1" ht="21.75" customHeight="1">
      <c r="A31" s="40"/>
      <c r="B31" s="62"/>
      <c r="C31" s="63">
        <v>4750</v>
      </c>
      <c r="D31" s="36" t="s">
        <v>373</v>
      </c>
      <c r="E31" s="82"/>
      <c r="F31" s="82"/>
      <c r="G31" s="82"/>
      <c r="H31" s="82"/>
      <c r="I31" s="82"/>
      <c r="J31" s="82"/>
      <c r="K31" s="82">
        <v>0</v>
      </c>
      <c r="L31" s="82">
        <v>488</v>
      </c>
      <c r="M31" s="82">
        <f>SUM(K31:L31)</f>
        <v>488</v>
      </c>
      <c r="N31" s="82"/>
      <c r="O31" s="82">
        <f>SUM(M31:N31)</f>
        <v>488</v>
      </c>
      <c r="P31" s="82"/>
      <c r="Q31" s="82">
        <f>SUM(O31:P31)</f>
        <v>488</v>
      </c>
      <c r="R31" s="82"/>
      <c r="S31" s="82">
        <f>SUM(Q31:R31)</f>
        <v>488</v>
      </c>
    </row>
    <row r="32" spans="1:215" s="22" customFormat="1" ht="26.25" customHeight="1">
      <c r="A32" s="29">
        <v>852</v>
      </c>
      <c r="B32" s="3"/>
      <c r="C32" s="18"/>
      <c r="D32" s="28" t="s">
        <v>220</v>
      </c>
      <c r="E32" s="39">
        <f aca="true" t="shared" si="9" ref="E32:K32">SUM(E46,E59,E61,)</f>
        <v>6969400</v>
      </c>
      <c r="F32" s="39">
        <f t="shared" si="9"/>
        <v>0</v>
      </c>
      <c r="G32" s="39">
        <f t="shared" si="9"/>
        <v>6969400</v>
      </c>
      <c r="H32" s="39">
        <f t="shared" si="9"/>
        <v>155100</v>
      </c>
      <c r="I32" s="39">
        <f t="shared" si="9"/>
        <v>7124500</v>
      </c>
      <c r="J32" s="39">
        <f t="shared" si="9"/>
        <v>0</v>
      </c>
      <c r="K32" s="39">
        <f t="shared" si="9"/>
        <v>7124500</v>
      </c>
      <c r="L32" s="39">
        <f aca="true" t="shared" si="10" ref="L32:Q32">SUM(L46,L59,L61,)</f>
        <v>0</v>
      </c>
      <c r="M32" s="39">
        <f t="shared" si="10"/>
        <v>7124500</v>
      </c>
      <c r="N32" s="39">
        <f t="shared" si="10"/>
        <v>52500</v>
      </c>
      <c r="O32" s="39">
        <f t="shared" si="10"/>
        <v>7177000</v>
      </c>
      <c r="P32" s="39">
        <f t="shared" si="10"/>
        <v>-26300</v>
      </c>
      <c r="Q32" s="39">
        <f t="shared" si="10"/>
        <v>7150700</v>
      </c>
      <c r="R32" s="39">
        <f>SUM(R46,R59,R61,)</f>
        <v>152500</v>
      </c>
      <c r="S32" s="39">
        <f>SUM(S46,S59,S61,)</f>
        <v>7303200</v>
      </c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</row>
    <row r="33" spans="1:215" s="22" customFormat="1" ht="45" hidden="1">
      <c r="A33" s="86"/>
      <c r="B33" s="40">
        <v>85212</v>
      </c>
      <c r="C33" s="68"/>
      <c r="D33" s="66" t="s">
        <v>237</v>
      </c>
      <c r="E33" s="75">
        <f aca="true" t="shared" si="11" ref="E33:K33">SUM(E34:E45)</f>
        <v>5507000</v>
      </c>
      <c r="F33" s="75">
        <f t="shared" si="11"/>
        <v>5507000</v>
      </c>
      <c r="G33" s="75">
        <f t="shared" si="11"/>
        <v>5507000</v>
      </c>
      <c r="H33" s="75">
        <f t="shared" si="11"/>
        <v>5507000</v>
      </c>
      <c r="I33" s="75">
        <f t="shared" si="11"/>
        <v>5507000</v>
      </c>
      <c r="J33" s="75">
        <f t="shared" si="11"/>
        <v>5507000</v>
      </c>
      <c r="K33" s="75">
        <f t="shared" si="11"/>
        <v>5507000</v>
      </c>
      <c r="L33" s="75">
        <f aca="true" t="shared" si="12" ref="L33:Q33">SUM(L34:L45)</f>
        <v>5507000</v>
      </c>
      <c r="M33" s="75">
        <f t="shared" si="12"/>
        <v>5507000</v>
      </c>
      <c r="N33" s="75">
        <f t="shared" si="12"/>
        <v>5507000</v>
      </c>
      <c r="O33" s="75">
        <f t="shared" si="12"/>
        <v>5507000</v>
      </c>
      <c r="P33" s="75">
        <f t="shared" si="12"/>
        <v>5507000</v>
      </c>
      <c r="Q33" s="75">
        <f t="shared" si="12"/>
        <v>5507000</v>
      </c>
      <c r="R33" s="75">
        <f>SUM(R34:R45)</f>
        <v>5507000</v>
      </c>
      <c r="S33" s="75">
        <f>SUM(S34:S45)</f>
        <v>5507000</v>
      </c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</row>
    <row r="34" spans="1:215" s="22" customFormat="1" ht="22.5" hidden="1">
      <c r="A34" s="86"/>
      <c r="B34" s="40"/>
      <c r="C34" s="68">
        <v>3020</v>
      </c>
      <c r="D34" s="36" t="s">
        <v>249</v>
      </c>
      <c r="E34" s="82">
        <v>2000</v>
      </c>
      <c r="F34" s="82">
        <v>2000</v>
      </c>
      <c r="G34" s="82">
        <v>2000</v>
      </c>
      <c r="H34" s="82">
        <v>2000</v>
      </c>
      <c r="I34" s="82">
        <v>2000</v>
      </c>
      <c r="J34" s="82">
        <v>2000</v>
      </c>
      <c r="K34" s="82">
        <v>2000</v>
      </c>
      <c r="L34" s="82">
        <v>2000</v>
      </c>
      <c r="M34" s="82">
        <v>2000</v>
      </c>
      <c r="N34" s="82">
        <v>2000</v>
      </c>
      <c r="O34" s="82">
        <v>2000</v>
      </c>
      <c r="P34" s="82">
        <v>2000</v>
      </c>
      <c r="Q34" s="82">
        <v>2000</v>
      </c>
      <c r="R34" s="82">
        <v>2000</v>
      </c>
      <c r="S34" s="82">
        <v>2000</v>
      </c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</row>
    <row r="35" spans="1:215" s="22" customFormat="1" ht="11.25" hidden="1">
      <c r="A35" s="86"/>
      <c r="B35" s="40"/>
      <c r="C35" s="68">
        <v>3110</v>
      </c>
      <c r="D35" s="66" t="s">
        <v>140</v>
      </c>
      <c r="E35" s="82">
        <f aca="true" t="shared" si="13" ref="E35:S35">5346602-4812-23800</f>
        <v>5317990</v>
      </c>
      <c r="F35" s="82">
        <f t="shared" si="13"/>
        <v>5317990</v>
      </c>
      <c r="G35" s="82">
        <f t="shared" si="13"/>
        <v>5317990</v>
      </c>
      <c r="H35" s="82">
        <f t="shared" si="13"/>
        <v>5317990</v>
      </c>
      <c r="I35" s="82">
        <f t="shared" si="13"/>
        <v>5317990</v>
      </c>
      <c r="J35" s="82">
        <f t="shared" si="13"/>
        <v>5317990</v>
      </c>
      <c r="K35" s="82">
        <f t="shared" si="13"/>
        <v>5317990</v>
      </c>
      <c r="L35" s="82">
        <f t="shared" si="13"/>
        <v>5317990</v>
      </c>
      <c r="M35" s="82">
        <f t="shared" si="13"/>
        <v>5317990</v>
      </c>
      <c r="N35" s="82">
        <f t="shared" si="13"/>
        <v>5317990</v>
      </c>
      <c r="O35" s="82">
        <f t="shared" si="13"/>
        <v>5317990</v>
      </c>
      <c r="P35" s="82">
        <f t="shared" si="13"/>
        <v>5317990</v>
      </c>
      <c r="Q35" s="82">
        <f t="shared" si="13"/>
        <v>5317990</v>
      </c>
      <c r="R35" s="82">
        <f t="shared" si="13"/>
        <v>5317990</v>
      </c>
      <c r="S35" s="82">
        <f t="shared" si="13"/>
        <v>5317990</v>
      </c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</row>
    <row r="36" spans="1:215" s="22" customFormat="1" ht="22.5" hidden="1">
      <c r="A36" s="86"/>
      <c r="B36" s="40"/>
      <c r="C36" s="40">
        <v>4010</v>
      </c>
      <c r="D36" s="12" t="s">
        <v>108</v>
      </c>
      <c r="E36" s="82">
        <v>86691</v>
      </c>
      <c r="F36" s="82">
        <v>86691</v>
      </c>
      <c r="G36" s="82">
        <v>86691</v>
      </c>
      <c r="H36" s="82">
        <v>86691</v>
      </c>
      <c r="I36" s="82">
        <v>86691</v>
      </c>
      <c r="J36" s="82">
        <v>86691</v>
      </c>
      <c r="K36" s="82">
        <v>86691</v>
      </c>
      <c r="L36" s="82">
        <v>86691</v>
      </c>
      <c r="M36" s="82">
        <v>86691</v>
      </c>
      <c r="N36" s="82">
        <v>86691</v>
      </c>
      <c r="O36" s="82">
        <v>86691</v>
      </c>
      <c r="P36" s="82">
        <v>86691</v>
      </c>
      <c r="Q36" s="82">
        <v>86691</v>
      </c>
      <c r="R36" s="82">
        <v>86691</v>
      </c>
      <c r="S36" s="82">
        <v>86691</v>
      </c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</row>
    <row r="37" spans="1:215" s="22" customFormat="1" ht="11.25" hidden="1">
      <c r="A37" s="86"/>
      <c r="B37" s="40"/>
      <c r="C37" s="40">
        <v>4040</v>
      </c>
      <c r="D37" s="12" t="s">
        <v>109</v>
      </c>
      <c r="E37" s="82">
        <v>7500</v>
      </c>
      <c r="F37" s="82">
        <v>7500</v>
      </c>
      <c r="G37" s="82">
        <v>7500</v>
      </c>
      <c r="H37" s="82">
        <v>7500</v>
      </c>
      <c r="I37" s="82">
        <v>7500</v>
      </c>
      <c r="J37" s="82">
        <v>7500</v>
      </c>
      <c r="K37" s="82">
        <v>7500</v>
      </c>
      <c r="L37" s="82">
        <v>7500</v>
      </c>
      <c r="M37" s="82">
        <v>7500</v>
      </c>
      <c r="N37" s="82">
        <v>7500</v>
      </c>
      <c r="O37" s="82">
        <v>7500</v>
      </c>
      <c r="P37" s="82">
        <v>7500</v>
      </c>
      <c r="Q37" s="82">
        <v>7500</v>
      </c>
      <c r="R37" s="82">
        <v>7500</v>
      </c>
      <c r="S37" s="82">
        <v>7500</v>
      </c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</row>
    <row r="38" spans="1:215" s="22" customFormat="1" ht="11.25" hidden="1">
      <c r="A38" s="86"/>
      <c r="B38" s="40"/>
      <c r="C38" s="40">
        <v>4110</v>
      </c>
      <c r="D38" s="12" t="s">
        <v>110</v>
      </c>
      <c r="E38" s="82">
        <f aca="true" t="shared" si="14" ref="E38:S38">16800+23800</f>
        <v>40600</v>
      </c>
      <c r="F38" s="82">
        <f t="shared" si="14"/>
        <v>40600</v>
      </c>
      <c r="G38" s="82">
        <f t="shared" si="14"/>
        <v>40600</v>
      </c>
      <c r="H38" s="82">
        <f t="shared" si="14"/>
        <v>40600</v>
      </c>
      <c r="I38" s="82">
        <f t="shared" si="14"/>
        <v>40600</v>
      </c>
      <c r="J38" s="82">
        <f t="shared" si="14"/>
        <v>40600</v>
      </c>
      <c r="K38" s="82">
        <f t="shared" si="14"/>
        <v>40600</v>
      </c>
      <c r="L38" s="82">
        <f t="shared" si="14"/>
        <v>40600</v>
      </c>
      <c r="M38" s="82">
        <f t="shared" si="14"/>
        <v>40600</v>
      </c>
      <c r="N38" s="82">
        <f t="shared" si="14"/>
        <v>40600</v>
      </c>
      <c r="O38" s="82">
        <f t="shared" si="14"/>
        <v>40600</v>
      </c>
      <c r="P38" s="82">
        <f t="shared" si="14"/>
        <v>40600</v>
      </c>
      <c r="Q38" s="82">
        <f t="shared" si="14"/>
        <v>40600</v>
      </c>
      <c r="R38" s="82">
        <f t="shared" si="14"/>
        <v>40600</v>
      </c>
      <c r="S38" s="82">
        <f t="shared" si="14"/>
        <v>40600</v>
      </c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</row>
    <row r="39" spans="1:215" s="22" customFormat="1" ht="11.25" hidden="1">
      <c r="A39" s="86"/>
      <c r="B39" s="40"/>
      <c r="C39" s="40">
        <v>4120</v>
      </c>
      <c r="D39" s="12" t="s">
        <v>111</v>
      </c>
      <c r="E39" s="82">
        <v>2300</v>
      </c>
      <c r="F39" s="82">
        <v>2300</v>
      </c>
      <c r="G39" s="82">
        <v>2300</v>
      </c>
      <c r="H39" s="82">
        <v>2300</v>
      </c>
      <c r="I39" s="82">
        <v>2300</v>
      </c>
      <c r="J39" s="82">
        <v>2300</v>
      </c>
      <c r="K39" s="82">
        <v>2300</v>
      </c>
      <c r="L39" s="82">
        <v>2300</v>
      </c>
      <c r="M39" s="82">
        <v>2300</v>
      </c>
      <c r="N39" s="82">
        <v>2300</v>
      </c>
      <c r="O39" s="82">
        <v>2300</v>
      </c>
      <c r="P39" s="82">
        <v>2300</v>
      </c>
      <c r="Q39" s="82">
        <v>2300</v>
      </c>
      <c r="R39" s="82">
        <v>2300</v>
      </c>
      <c r="S39" s="82">
        <v>2300</v>
      </c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</row>
    <row r="40" spans="1:215" s="22" customFormat="1" ht="11.25" hidden="1">
      <c r="A40" s="86"/>
      <c r="B40" s="40"/>
      <c r="C40" s="40">
        <v>4170</v>
      </c>
      <c r="D40" s="12" t="s">
        <v>227</v>
      </c>
      <c r="E40" s="82">
        <v>3000</v>
      </c>
      <c r="F40" s="82">
        <v>3000</v>
      </c>
      <c r="G40" s="82">
        <v>3000</v>
      </c>
      <c r="H40" s="82">
        <v>3000</v>
      </c>
      <c r="I40" s="82">
        <v>3000</v>
      </c>
      <c r="J40" s="82">
        <v>3000</v>
      </c>
      <c r="K40" s="82">
        <v>3000</v>
      </c>
      <c r="L40" s="82">
        <v>3000</v>
      </c>
      <c r="M40" s="82">
        <v>3000</v>
      </c>
      <c r="N40" s="82">
        <v>3000</v>
      </c>
      <c r="O40" s="82">
        <v>3000</v>
      </c>
      <c r="P40" s="82">
        <v>3000</v>
      </c>
      <c r="Q40" s="82">
        <v>3000</v>
      </c>
      <c r="R40" s="82">
        <v>3000</v>
      </c>
      <c r="S40" s="82">
        <v>3000</v>
      </c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</row>
    <row r="41" spans="1:215" s="22" customFormat="1" ht="11.25" hidden="1">
      <c r="A41" s="86"/>
      <c r="B41" s="40"/>
      <c r="C41" s="40">
        <v>4210</v>
      </c>
      <c r="D41" s="12" t="s">
        <v>116</v>
      </c>
      <c r="E41" s="82">
        <f aca="true" t="shared" si="15" ref="E41:S41">9000+4812</f>
        <v>13812</v>
      </c>
      <c r="F41" s="82">
        <f t="shared" si="15"/>
        <v>13812</v>
      </c>
      <c r="G41" s="82">
        <f t="shared" si="15"/>
        <v>13812</v>
      </c>
      <c r="H41" s="82">
        <f t="shared" si="15"/>
        <v>13812</v>
      </c>
      <c r="I41" s="82">
        <f t="shared" si="15"/>
        <v>13812</v>
      </c>
      <c r="J41" s="82">
        <f t="shared" si="15"/>
        <v>13812</v>
      </c>
      <c r="K41" s="82">
        <f t="shared" si="15"/>
        <v>13812</v>
      </c>
      <c r="L41" s="82">
        <f t="shared" si="15"/>
        <v>13812</v>
      </c>
      <c r="M41" s="82">
        <f t="shared" si="15"/>
        <v>13812</v>
      </c>
      <c r="N41" s="82">
        <f t="shared" si="15"/>
        <v>13812</v>
      </c>
      <c r="O41" s="82">
        <f t="shared" si="15"/>
        <v>13812</v>
      </c>
      <c r="P41" s="82">
        <f t="shared" si="15"/>
        <v>13812</v>
      </c>
      <c r="Q41" s="82">
        <f t="shared" si="15"/>
        <v>13812</v>
      </c>
      <c r="R41" s="82">
        <f t="shared" si="15"/>
        <v>13812</v>
      </c>
      <c r="S41" s="82">
        <f t="shared" si="15"/>
        <v>13812</v>
      </c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</row>
    <row r="42" spans="1:215" s="22" customFormat="1" ht="11.25" hidden="1">
      <c r="A42" s="86"/>
      <c r="B42" s="40"/>
      <c r="C42" s="40">
        <v>4300</v>
      </c>
      <c r="D42" s="12" t="s">
        <v>103</v>
      </c>
      <c r="E42" s="82">
        <v>24307</v>
      </c>
      <c r="F42" s="82">
        <v>24307</v>
      </c>
      <c r="G42" s="82">
        <v>24307</v>
      </c>
      <c r="H42" s="82">
        <v>24307</v>
      </c>
      <c r="I42" s="82">
        <v>24307</v>
      </c>
      <c r="J42" s="82">
        <v>24307</v>
      </c>
      <c r="K42" s="82">
        <v>24307</v>
      </c>
      <c r="L42" s="82">
        <v>24307</v>
      </c>
      <c r="M42" s="82">
        <v>24307</v>
      </c>
      <c r="N42" s="82">
        <v>24307</v>
      </c>
      <c r="O42" s="82">
        <v>24307</v>
      </c>
      <c r="P42" s="82">
        <v>24307</v>
      </c>
      <c r="Q42" s="82">
        <v>24307</v>
      </c>
      <c r="R42" s="82">
        <v>24307</v>
      </c>
      <c r="S42" s="82">
        <v>24307</v>
      </c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</row>
    <row r="43" spans="1:215" s="22" customFormat="1" ht="11.25" hidden="1">
      <c r="A43" s="86"/>
      <c r="B43" s="40"/>
      <c r="C43" s="40">
        <v>4410</v>
      </c>
      <c r="D43" s="12" t="s">
        <v>114</v>
      </c>
      <c r="E43" s="82">
        <v>3000</v>
      </c>
      <c r="F43" s="82">
        <v>3000</v>
      </c>
      <c r="G43" s="82">
        <v>3000</v>
      </c>
      <c r="H43" s="82">
        <v>3000</v>
      </c>
      <c r="I43" s="82">
        <v>3000</v>
      </c>
      <c r="J43" s="82">
        <v>3000</v>
      </c>
      <c r="K43" s="82">
        <v>3000</v>
      </c>
      <c r="L43" s="82">
        <v>3000</v>
      </c>
      <c r="M43" s="82">
        <v>3000</v>
      </c>
      <c r="N43" s="82">
        <v>3000</v>
      </c>
      <c r="O43" s="82">
        <v>3000</v>
      </c>
      <c r="P43" s="82">
        <v>3000</v>
      </c>
      <c r="Q43" s="82">
        <v>3000</v>
      </c>
      <c r="R43" s="82">
        <v>3000</v>
      </c>
      <c r="S43" s="82">
        <v>3000</v>
      </c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</row>
    <row r="44" spans="1:215" s="22" customFormat="1" ht="11.25" hidden="1">
      <c r="A44" s="86"/>
      <c r="B44" s="40"/>
      <c r="C44" s="40">
        <v>4430</v>
      </c>
      <c r="D44" s="12" t="s">
        <v>118</v>
      </c>
      <c r="E44" s="82">
        <v>2000</v>
      </c>
      <c r="F44" s="82">
        <v>2000</v>
      </c>
      <c r="G44" s="82">
        <v>2000</v>
      </c>
      <c r="H44" s="82">
        <v>2000</v>
      </c>
      <c r="I44" s="82">
        <v>2000</v>
      </c>
      <c r="J44" s="82">
        <v>2000</v>
      </c>
      <c r="K44" s="82">
        <v>2000</v>
      </c>
      <c r="L44" s="82">
        <v>2000</v>
      </c>
      <c r="M44" s="82">
        <v>2000</v>
      </c>
      <c r="N44" s="82">
        <v>2000</v>
      </c>
      <c r="O44" s="82">
        <v>2000</v>
      </c>
      <c r="P44" s="82">
        <v>2000</v>
      </c>
      <c r="Q44" s="82">
        <v>2000</v>
      </c>
      <c r="R44" s="82">
        <v>2000</v>
      </c>
      <c r="S44" s="82">
        <v>2000</v>
      </c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</row>
    <row r="45" spans="1:215" s="22" customFormat="1" ht="22.5" hidden="1">
      <c r="A45" s="86"/>
      <c r="B45" s="40"/>
      <c r="C45" s="40">
        <v>4440</v>
      </c>
      <c r="D45" s="12" t="s">
        <v>112</v>
      </c>
      <c r="E45" s="82">
        <v>3800</v>
      </c>
      <c r="F45" s="82">
        <v>3800</v>
      </c>
      <c r="G45" s="82">
        <v>3800</v>
      </c>
      <c r="H45" s="82">
        <v>3800</v>
      </c>
      <c r="I45" s="82">
        <v>3800</v>
      </c>
      <c r="J45" s="82">
        <v>3800</v>
      </c>
      <c r="K45" s="82">
        <v>3800</v>
      </c>
      <c r="L45" s="82">
        <v>3800</v>
      </c>
      <c r="M45" s="82">
        <v>3800</v>
      </c>
      <c r="N45" s="82">
        <v>3800</v>
      </c>
      <c r="O45" s="82">
        <v>3800</v>
      </c>
      <c r="P45" s="82">
        <v>3800</v>
      </c>
      <c r="Q45" s="82">
        <v>3800</v>
      </c>
      <c r="R45" s="82">
        <v>3800</v>
      </c>
      <c r="S45" s="82">
        <v>3800</v>
      </c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  <c r="GK45" s="102"/>
      <c r="GL45" s="102"/>
      <c r="GM45" s="102"/>
      <c r="GN45" s="102"/>
      <c r="GO45" s="102"/>
      <c r="GP45" s="102"/>
      <c r="GQ45" s="102"/>
      <c r="GR45" s="102"/>
      <c r="GS45" s="102"/>
      <c r="GT45" s="102"/>
      <c r="GU45" s="102"/>
      <c r="GV45" s="102"/>
      <c r="GW45" s="102"/>
      <c r="GX45" s="102"/>
      <c r="GY45" s="102"/>
      <c r="GZ45" s="102"/>
      <c r="HA45" s="102"/>
      <c r="HB45" s="102"/>
      <c r="HC45" s="102"/>
      <c r="HD45" s="102"/>
      <c r="HE45" s="102"/>
      <c r="HF45" s="102"/>
      <c r="HG45" s="102"/>
    </row>
    <row r="46" spans="1:215" s="22" customFormat="1" ht="56.25">
      <c r="A46" s="86"/>
      <c r="B46" s="40">
        <v>85212</v>
      </c>
      <c r="C46" s="68"/>
      <c r="D46" s="66" t="s">
        <v>262</v>
      </c>
      <c r="E46" s="82">
        <f aca="true" t="shared" si="16" ref="E46:K46">SUM(E47:E54)</f>
        <v>6416200</v>
      </c>
      <c r="F46" s="82">
        <f t="shared" si="16"/>
        <v>0</v>
      </c>
      <c r="G46" s="82">
        <f t="shared" si="16"/>
        <v>6416200</v>
      </c>
      <c r="H46" s="82">
        <f t="shared" si="16"/>
        <v>147200</v>
      </c>
      <c r="I46" s="82">
        <f t="shared" si="16"/>
        <v>6563400</v>
      </c>
      <c r="J46" s="82">
        <f t="shared" si="16"/>
        <v>0</v>
      </c>
      <c r="K46" s="82">
        <f t="shared" si="16"/>
        <v>6563400</v>
      </c>
      <c r="L46" s="82">
        <f>SUM(L47:L54)</f>
        <v>0</v>
      </c>
      <c r="M46" s="82">
        <f aca="true" t="shared" si="17" ref="M46:S46">SUM(M47:M58)</f>
        <v>6563400</v>
      </c>
      <c r="N46" s="82">
        <f t="shared" si="17"/>
        <v>52500</v>
      </c>
      <c r="O46" s="82">
        <f t="shared" si="17"/>
        <v>6615900</v>
      </c>
      <c r="P46" s="82">
        <f t="shared" si="17"/>
        <v>0</v>
      </c>
      <c r="Q46" s="82">
        <f t="shared" si="17"/>
        <v>6615900</v>
      </c>
      <c r="R46" s="82">
        <f t="shared" si="17"/>
        <v>0</v>
      </c>
      <c r="S46" s="82">
        <f t="shared" si="17"/>
        <v>6615900</v>
      </c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2"/>
      <c r="FL46" s="102"/>
      <c r="FM46" s="102"/>
      <c r="FN46" s="102"/>
      <c r="FO46" s="102"/>
      <c r="FP46" s="102"/>
      <c r="FQ46" s="102"/>
      <c r="FR46" s="102"/>
      <c r="FS46" s="102"/>
      <c r="FT46" s="102"/>
      <c r="FU46" s="102"/>
      <c r="FV46" s="102"/>
      <c r="FW46" s="102"/>
      <c r="FX46" s="102"/>
      <c r="FY46" s="102"/>
      <c r="FZ46" s="102"/>
      <c r="GA46" s="102"/>
      <c r="GB46" s="102"/>
      <c r="GC46" s="102"/>
      <c r="GD46" s="102"/>
      <c r="GE46" s="102"/>
      <c r="GF46" s="102"/>
      <c r="GG46" s="102"/>
      <c r="GH46" s="102"/>
      <c r="GI46" s="102"/>
      <c r="GJ46" s="102"/>
      <c r="GK46" s="102"/>
      <c r="GL46" s="102"/>
      <c r="GM46" s="102"/>
      <c r="GN46" s="102"/>
      <c r="GO46" s="102"/>
      <c r="GP46" s="102"/>
      <c r="GQ46" s="102"/>
      <c r="GR46" s="102"/>
      <c r="GS46" s="102"/>
      <c r="GT46" s="102"/>
      <c r="GU46" s="102"/>
      <c r="GV46" s="102"/>
      <c r="GW46" s="102"/>
      <c r="GX46" s="102"/>
      <c r="GY46" s="102"/>
      <c r="GZ46" s="102"/>
      <c r="HA46" s="102"/>
      <c r="HB46" s="102"/>
      <c r="HC46" s="102"/>
      <c r="HD46" s="102"/>
      <c r="HE46" s="102"/>
      <c r="HF46" s="102"/>
      <c r="HG46" s="102"/>
    </row>
    <row r="47" spans="1:215" s="22" customFormat="1" ht="24" customHeight="1">
      <c r="A47" s="86"/>
      <c r="B47" s="40"/>
      <c r="C47" s="68">
        <v>3110</v>
      </c>
      <c r="D47" s="66" t="s">
        <v>140</v>
      </c>
      <c r="E47" s="60">
        <v>6176014</v>
      </c>
      <c r="F47" s="60"/>
      <c r="G47" s="60">
        <f aca="true" t="shared" si="18" ref="G47:G54">SUM(E47:F47)</f>
        <v>6176014</v>
      </c>
      <c r="H47" s="60">
        <f>147200-4416</f>
        <v>142784</v>
      </c>
      <c r="I47" s="60">
        <f aca="true" t="shared" si="19" ref="I47:I54">SUM(G47:H47)</f>
        <v>6318798</v>
      </c>
      <c r="J47" s="60"/>
      <c r="K47" s="60">
        <f aca="true" t="shared" si="20" ref="K47:K54">SUM(I47:J47)</f>
        <v>6318798</v>
      </c>
      <c r="L47" s="60"/>
      <c r="M47" s="60">
        <f aca="true" t="shared" si="21" ref="M47:M54">SUM(K47:L47)</f>
        <v>6318798</v>
      </c>
      <c r="N47" s="60"/>
      <c r="O47" s="60">
        <f aca="true" t="shared" si="22" ref="O47:O58">SUM(M47:N47)</f>
        <v>6318798</v>
      </c>
      <c r="P47" s="60"/>
      <c r="Q47" s="60">
        <f aca="true" t="shared" si="23" ref="Q47:Q58">SUM(O47:P47)</f>
        <v>6318798</v>
      </c>
      <c r="R47" s="60"/>
      <c r="S47" s="60">
        <f aca="true" t="shared" si="24" ref="S47:S58">SUM(Q47:R47)</f>
        <v>6318798</v>
      </c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2"/>
      <c r="FG47" s="102"/>
      <c r="FH47" s="102"/>
      <c r="FI47" s="102"/>
      <c r="FJ47" s="102"/>
      <c r="FK47" s="102"/>
      <c r="FL47" s="102"/>
      <c r="FM47" s="102"/>
      <c r="FN47" s="102"/>
      <c r="FO47" s="102"/>
      <c r="FP47" s="102"/>
      <c r="FQ47" s="102"/>
      <c r="FR47" s="102"/>
      <c r="FS47" s="102"/>
      <c r="FT47" s="102"/>
      <c r="FU47" s="102"/>
      <c r="FV47" s="102"/>
      <c r="FW47" s="102"/>
      <c r="FX47" s="102"/>
      <c r="FY47" s="102"/>
      <c r="FZ47" s="102"/>
      <c r="GA47" s="102"/>
      <c r="GB47" s="102"/>
      <c r="GC47" s="102"/>
      <c r="GD47" s="102"/>
      <c r="GE47" s="102"/>
      <c r="GF47" s="102"/>
      <c r="GG47" s="102"/>
      <c r="GH47" s="102"/>
      <c r="GI47" s="102"/>
      <c r="GJ47" s="102"/>
      <c r="GK47" s="102"/>
      <c r="GL47" s="102"/>
      <c r="GM47" s="102"/>
      <c r="GN47" s="102"/>
      <c r="GO47" s="102"/>
      <c r="GP47" s="102"/>
      <c r="GQ47" s="102"/>
      <c r="GR47" s="102"/>
      <c r="GS47" s="102"/>
      <c r="GT47" s="102"/>
      <c r="GU47" s="102"/>
      <c r="GV47" s="102"/>
      <c r="GW47" s="102"/>
      <c r="GX47" s="102"/>
      <c r="GY47" s="102"/>
      <c r="GZ47" s="102"/>
      <c r="HA47" s="102"/>
      <c r="HB47" s="102"/>
      <c r="HC47" s="102"/>
      <c r="HD47" s="102"/>
      <c r="HE47" s="102"/>
      <c r="HF47" s="102"/>
      <c r="HG47" s="102"/>
    </row>
    <row r="48" spans="1:215" s="22" customFormat="1" ht="24" customHeight="1">
      <c r="A48" s="86"/>
      <c r="B48" s="40"/>
      <c r="C48" s="40">
        <v>4010</v>
      </c>
      <c r="D48" s="12" t="s">
        <v>108</v>
      </c>
      <c r="E48" s="60">
        <v>147161</v>
      </c>
      <c r="F48" s="60">
        <v>2071</v>
      </c>
      <c r="G48" s="60">
        <f t="shared" si="18"/>
        <v>149232</v>
      </c>
      <c r="H48" s="60"/>
      <c r="I48" s="60">
        <f t="shared" si="19"/>
        <v>149232</v>
      </c>
      <c r="J48" s="60"/>
      <c r="K48" s="60">
        <f t="shared" si="20"/>
        <v>149232</v>
      </c>
      <c r="L48" s="60"/>
      <c r="M48" s="60">
        <f t="shared" si="21"/>
        <v>149232</v>
      </c>
      <c r="N48" s="60"/>
      <c r="O48" s="60">
        <f t="shared" si="22"/>
        <v>149232</v>
      </c>
      <c r="P48" s="60"/>
      <c r="Q48" s="60">
        <f t="shared" si="23"/>
        <v>149232</v>
      </c>
      <c r="R48" s="60"/>
      <c r="S48" s="60">
        <f t="shared" si="24"/>
        <v>149232</v>
      </c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2"/>
      <c r="FL48" s="102"/>
      <c r="FM48" s="102"/>
      <c r="FN48" s="102"/>
      <c r="FO48" s="102"/>
      <c r="FP48" s="102"/>
      <c r="FQ48" s="102"/>
      <c r="FR48" s="102"/>
      <c r="FS48" s="102"/>
      <c r="FT48" s="102"/>
      <c r="FU48" s="102"/>
      <c r="FV48" s="102"/>
      <c r="FW48" s="102"/>
      <c r="FX48" s="102"/>
      <c r="FY48" s="102"/>
      <c r="FZ48" s="102"/>
      <c r="GA48" s="102"/>
      <c r="GB48" s="102"/>
      <c r="GC48" s="102"/>
      <c r="GD48" s="102"/>
      <c r="GE48" s="102"/>
      <c r="GF48" s="102"/>
      <c r="GG48" s="102"/>
      <c r="GH48" s="102"/>
      <c r="GI48" s="102"/>
      <c r="GJ48" s="102"/>
      <c r="GK48" s="102"/>
      <c r="GL48" s="102"/>
      <c r="GM48" s="102"/>
      <c r="GN48" s="102"/>
      <c r="GO48" s="102"/>
      <c r="GP48" s="102"/>
      <c r="GQ48" s="102"/>
      <c r="GR48" s="102"/>
      <c r="GS48" s="102"/>
      <c r="GT48" s="102"/>
      <c r="GU48" s="102"/>
      <c r="GV48" s="102"/>
      <c r="GW48" s="102"/>
      <c r="GX48" s="102"/>
      <c r="GY48" s="102"/>
      <c r="GZ48" s="102"/>
      <c r="HA48" s="102"/>
      <c r="HB48" s="102"/>
      <c r="HC48" s="102"/>
      <c r="HD48" s="102"/>
      <c r="HE48" s="102"/>
      <c r="HF48" s="102"/>
      <c r="HG48" s="102"/>
    </row>
    <row r="49" spans="1:215" s="22" customFormat="1" ht="24" customHeight="1">
      <c r="A49" s="86"/>
      <c r="B49" s="40"/>
      <c r="C49" s="40">
        <v>4040</v>
      </c>
      <c r="D49" s="12" t="s">
        <v>109</v>
      </c>
      <c r="E49" s="60">
        <v>12000</v>
      </c>
      <c r="F49" s="60">
        <v>-2071</v>
      </c>
      <c r="G49" s="60">
        <f t="shared" si="18"/>
        <v>9929</v>
      </c>
      <c r="H49" s="60"/>
      <c r="I49" s="60">
        <f t="shared" si="19"/>
        <v>9929</v>
      </c>
      <c r="J49" s="60"/>
      <c r="K49" s="60">
        <f t="shared" si="20"/>
        <v>9929</v>
      </c>
      <c r="L49" s="60"/>
      <c r="M49" s="60">
        <f t="shared" si="21"/>
        <v>9929</v>
      </c>
      <c r="N49" s="60"/>
      <c r="O49" s="60">
        <f t="shared" si="22"/>
        <v>9929</v>
      </c>
      <c r="P49" s="60"/>
      <c r="Q49" s="60">
        <f t="shared" si="23"/>
        <v>9929</v>
      </c>
      <c r="R49" s="60"/>
      <c r="S49" s="60">
        <f t="shared" si="24"/>
        <v>9929</v>
      </c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  <c r="FK49" s="102"/>
      <c r="FL49" s="102"/>
      <c r="FM49" s="102"/>
      <c r="FN49" s="102"/>
      <c r="FO49" s="102"/>
      <c r="FP49" s="102"/>
      <c r="FQ49" s="102"/>
      <c r="FR49" s="102"/>
      <c r="FS49" s="102"/>
      <c r="FT49" s="102"/>
      <c r="FU49" s="102"/>
      <c r="FV49" s="102"/>
      <c r="FW49" s="102"/>
      <c r="FX49" s="102"/>
      <c r="FY49" s="102"/>
      <c r="FZ49" s="102"/>
      <c r="GA49" s="102"/>
      <c r="GB49" s="102"/>
      <c r="GC49" s="102"/>
      <c r="GD49" s="102"/>
      <c r="GE49" s="102"/>
      <c r="GF49" s="102"/>
      <c r="GG49" s="102"/>
      <c r="GH49" s="102"/>
      <c r="GI49" s="102"/>
      <c r="GJ49" s="102"/>
      <c r="GK49" s="102"/>
      <c r="GL49" s="102"/>
      <c r="GM49" s="102"/>
      <c r="GN49" s="102"/>
      <c r="GO49" s="102"/>
      <c r="GP49" s="102"/>
      <c r="GQ49" s="102"/>
      <c r="GR49" s="102"/>
      <c r="GS49" s="102"/>
      <c r="GT49" s="102"/>
      <c r="GU49" s="102"/>
      <c r="GV49" s="102"/>
      <c r="GW49" s="102"/>
      <c r="GX49" s="102"/>
      <c r="GY49" s="102"/>
      <c r="GZ49" s="102"/>
      <c r="HA49" s="102"/>
      <c r="HB49" s="102"/>
      <c r="HC49" s="102"/>
      <c r="HD49" s="102"/>
      <c r="HE49" s="102"/>
      <c r="HF49" s="102"/>
      <c r="HG49" s="102"/>
    </row>
    <row r="50" spans="1:215" s="22" customFormat="1" ht="24" customHeight="1">
      <c r="A50" s="86"/>
      <c r="B50" s="40"/>
      <c r="C50" s="40">
        <v>4110</v>
      </c>
      <c r="D50" s="12" t="s">
        <v>110</v>
      </c>
      <c r="E50" s="60">
        <v>73300</v>
      </c>
      <c r="F50" s="60"/>
      <c r="G50" s="60">
        <f t="shared" si="18"/>
        <v>73300</v>
      </c>
      <c r="H50" s="60"/>
      <c r="I50" s="60">
        <f t="shared" si="19"/>
        <v>73300</v>
      </c>
      <c r="J50" s="60"/>
      <c r="K50" s="60">
        <f t="shared" si="20"/>
        <v>73300</v>
      </c>
      <c r="L50" s="60"/>
      <c r="M50" s="60">
        <f t="shared" si="21"/>
        <v>73300</v>
      </c>
      <c r="N50" s="60"/>
      <c r="O50" s="60">
        <f t="shared" si="22"/>
        <v>73300</v>
      </c>
      <c r="P50" s="60"/>
      <c r="Q50" s="60">
        <f t="shared" si="23"/>
        <v>73300</v>
      </c>
      <c r="R50" s="60"/>
      <c r="S50" s="60">
        <f t="shared" si="24"/>
        <v>73300</v>
      </c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102"/>
      <c r="FH50" s="102"/>
      <c r="FI50" s="102"/>
      <c r="FJ50" s="102"/>
      <c r="FK50" s="102"/>
      <c r="FL50" s="102"/>
      <c r="FM50" s="102"/>
      <c r="FN50" s="102"/>
      <c r="FO50" s="102"/>
      <c r="FP50" s="102"/>
      <c r="FQ50" s="102"/>
      <c r="FR50" s="102"/>
      <c r="FS50" s="102"/>
      <c r="FT50" s="102"/>
      <c r="FU50" s="102"/>
      <c r="FV50" s="102"/>
      <c r="FW50" s="102"/>
      <c r="FX50" s="102"/>
      <c r="FY50" s="102"/>
      <c r="FZ50" s="102"/>
      <c r="GA50" s="102"/>
      <c r="GB50" s="102"/>
      <c r="GC50" s="102"/>
      <c r="GD50" s="102"/>
      <c r="GE50" s="102"/>
      <c r="GF50" s="102"/>
      <c r="GG50" s="102"/>
      <c r="GH50" s="102"/>
      <c r="GI50" s="102"/>
      <c r="GJ50" s="102"/>
      <c r="GK50" s="102"/>
      <c r="GL50" s="102"/>
      <c r="GM50" s="102"/>
      <c r="GN50" s="102"/>
      <c r="GO50" s="102"/>
      <c r="GP50" s="102"/>
      <c r="GQ50" s="102"/>
      <c r="GR50" s="102"/>
      <c r="GS50" s="102"/>
      <c r="GT50" s="102"/>
      <c r="GU50" s="102"/>
      <c r="GV50" s="102"/>
      <c r="GW50" s="102"/>
      <c r="GX50" s="102"/>
      <c r="GY50" s="102"/>
      <c r="GZ50" s="102"/>
      <c r="HA50" s="102"/>
      <c r="HB50" s="102"/>
      <c r="HC50" s="102"/>
      <c r="HD50" s="102"/>
      <c r="HE50" s="102"/>
      <c r="HF50" s="102"/>
      <c r="HG50" s="102"/>
    </row>
    <row r="51" spans="1:215" s="22" customFormat="1" ht="24" customHeight="1">
      <c r="A51" s="86"/>
      <c r="B51" s="40"/>
      <c r="C51" s="40">
        <v>4120</v>
      </c>
      <c r="D51" s="12" t="s">
        <v>111</v>
      </c>
      <c r="E51" s="60">
        <v>3600</v>
      </c>
      <c r="F51" s="60"/>
      <c r="G51" s="60">
        <f t="shared" si="18"/>
        <v>3600</v>
      </c>
      <c r="H51" s="60"/>
      <c r="I51" s="60">
        <f t="shared" si="19"/>
        <v>3600</v>
      </c>
      <c r="J51" s="60"/>
      <c r="K51" s="60">
        <f t="shared" si="20"/>
        <v>3600</v>
      </c>
      <c r="L51" s="60"/>
      <c r="M51" s="60">
        <f t="shared" si="21"/>
        <v>3600</v>
      </c>
      <c r="N51" s="60"/>
      <c r="O51" s="60">
        <f t="shared" si="22"/>
        <v>3600</v>
      </c>
      <c r="P51" s="60"/>
      <c r="Q51" s="60">
        <f t="shared" si="23"/>
        <v>3600</v>
      </c>
      <c r="R51" s="60"/>
      <c r="S51" s="60">
        <f t="shared" si="24"/>
        <v>3600</v>
      </c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2"/>
      <c r="FF51" s="102"/>
      <c r="FG51" s="102"/>
      <c r="FH51" s="102"/>
      <c r="FI51" s="102"/>
      <c r="FJ51" s="102"/>
      <c r="FK51" s="102"/>
      <c r="FL51" s="102"/>
      <c r="FM51" s="102"/>
      <c r="FN51" s="102"/>
      <c r="FO51" s="102"/>
      <c r="FP51" s="102"/>
      <c r="FQ51" s="102"/>
      <c r="FR51" s="102"/>
      <c r="FS51" s="102"/>
      <c r="FT51" s="102"/>
      <c r="FU51" s="102"/>
      <c r="FV51" s="102"/>
      <c r="FW51" s="102"/>
      <c r="FX51" s="102"/>
      <c r="FY51" s="102"/>
      <c r="FZ51" s="102"/>
      <c r="GA51" s="102"/>
      <c r="GB51" s="102"/>
      <c r="GC51" s="102"/>
      <c r="GD51" s="102"/>
      <c r="GE51" s="102"/>
      <c r="GF51" s="102"/>
      <c r="GG51" s="102"/>
      <c r="GH51" s="102"/>
      <c r="GI51" s="102"/>
      <c r="GJ51" s="102"/>
      <c r="GK51" s="102"/>
      <c r="GL51" s="102"/>
      <c r="GM51" s="102"/>
      <c r="GN51" s="102"/>
      <c r="GO51" s="102"/>
      <c r="GP51" s="102"/>
      <c r="GQ51" s="102"/>
      <c r="GR51" s="102"/>
      <c r="GS51" s="102"/>
      <c r="GT51" s="102"/>
      <c r="GU51" s="102"/>
      <c r="GV51" s="102"/>
      <c r="GW51" s="102"/>
      <c r="GX51" s="102"/>
      <c r="GY51" s="102"/>
      <c r="GZ51" s="102"/>
      <c r="HA51" s="102"/>
      <c r="HB51" s="102"/>
      <c r="HC51" s="102"/>
      <c r="HD51" s="102"/>
      <c r="HE51" s="102"/>
      <c r="HF51" s="102"/>
      <c r="HG51" s="102"/>
    </row>
    <row r="52" spans="1:215" s="22" customFormat="1" ht="24" customHeight="1">
      <c r="A52" s="86"/>
      <c r="B52" s="40"/>
      <c r="C52" s="40">
        <v>4210</v>
      </c>
      <c r="D52" s="66" t="s">
        <v>116</v>
      </c>
      <c r="E52" s="60"/>
      <c r="F52" s="60"/>
      <c r="G52" s="60">
        <v>0</v>
      </c>
      <c r="H52" s="60">
        <v>4416</v>
      </c>
      <c r="I52" s="60">
        <f t="shared" si="19"/>
        <v>4416</v>
      </c>
      <c r="J52" s="60"/>
      <c r="K52" s="60">
        <f t="shared" si="20"/>
        <v>4416</v>
      </c>
      <c r="L52" s="60"/>
      <c r="M52" s="60">
        <f t="shared" si="21"/>
        <v>4416</v>
      </c>
      <c r="N52" s="60">
        <v>43500</v>
      </c>
      <c r="O52" s="60">
        <f t="shared" si="22"/>
        <v>47916</v>
      </c>
      <c r="P52" s="60">
        <v>-15500</v>
      </c>
      <c r="Q52" s="60">
        <f t="shared" si="23"/>
        <v>32416</v>
      </c>
      <c r="R52" s="60">
        <v>7000</v>
      </c>
      <c r="S52" s="60">
        <f t="shared" si="24"/>
        <v>39416</v>
      </c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  <c r="FG52" s="102"/>
      <c r="FH52" s="102"/>
      <c r="FI52" s="102"/>
      <c r="FJ52" s="102"/>
      <c r="FK52" s="102"/>
      <c r="FL52" s="102"/>
      <c r="FM52" s="102"/>
      <c r="FN52" s="102"/>
      <c r="FO52" s="102"/>
      <c r="FP52" s="102"/>
      <c r="FQ52" s="102"/>
      <c r="FR52" s="102"/>
      <c r="FS52" s="102"/>
      <c r="FT52" s="102"/>
      <c r="FU52" s="102"/>
      <c r="FV52" s="102"/>
      <c r="FW52" s="102"/>
      <c r="FX52" s="102"/>
      <c r="FY52" s="102"/>
      <c r="FZ52" s="102"/>
      <c r="GA52" s="102"/>
      <c r="GB52" s="102"/>
      <c r="GC52" s="102"/>
      <c r="GD52" s="102"/>
      <c r="GE52" s="102"/>
      <c r="GF52" s="102"/>
      <c r="GG52" s="102"/>
      <c r="GH52" s="102"/>
      <c r="GI52" s="102"/>
      <c r="GJ52" s="102"/>
      <c r="GK52" s="102"/>
      <c r="GL52" s="102"/>
      <c r="GM52" s="102"/>
      <c r="GN52" s="102"/>
      <c r="GO52" s="102"/>
      <c r="GP52" s="102"/>
      <c r="GQ52" s="102"/>
      <c r="GR52" s="102"/>
      <c r="GS52" s="102"/>
      <c r="GT52" s="102"/>
      <c r="GU52" s="102"/>
      <c r="GV52" s="102"/>
      <c r="GW52" s="102"/>
      <c r="GX52" s="102"/>
      <c r="GY52" s="102"/>
      <c r="GZ52" s="102"/>
      <c r="HA52" s="102"/>
      <c r="HB52" s="102"/>
      <c r="HC52" s="102"/>
      <c r="HD52" s="102"/>
      <c r="HE52" s="102"/>
      <c r="HF52" s="102"/>
      <c r="HG52" s="102"/>
    </row>
    <row r="53" spans="1:215" s="22" customFormat="1" ht="19.5" customHeight="1">
      <c r="A53" s="86"/>
      <c r="B53" s="40"/>
      <c r="C53" s="40">
        <v>4410</v>
      </c>
      <c r="D53" s="36" t="s">
        <v>114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>
        <v>0</v>
      </c>
      <c r="P53" s="60">
        <v>1000</v>
      </c>
      <c r="Q53" s="60">
        <f t="shared" si="23"/>
        <v>1000</v>
      </c>
      <c r="R53" s="60"/>
      <c r="S53" s="60">
        <f t="shared" si="24"/>
        <v>1000</v>
      </c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2"/>
      <c r="FL53" s="102"/>
      <c r="FM53" s="102"/>
      <c r="FN53" s="102"/>
      <c r="FO53" s="102"/>
      <c r="FP53" s="102"/>
      <c r="FQ53" s="102"/>
      <c r="FR53" s="102"/>
      <c r="FS53" s="102"/>
      <c r="FT53" s="102"/>
      <c r="FU53" s="102"/>
      <c r="FV53" s="102"/>
      <c r="FW53" s="102"/>
      <c r="FX53" s="102"/>
      <c r="FY53" s="102"/>
      <c r="FZ53" s="102"/>
      <c r="GA53" s="102"/>
      <c r="GB53" s="102"/>
      <c r="GC53" s="102"/>
      <c r="GD53" s="102"/>
      <c r="GE53" s="102"/>
      <c r="GF53" s="102"/>
      <c r="GG53" s="102"/>
      <c r="GH53" s="102"/>
      <c r="GI53" s="102"/>
      <c r="GJ53" s="102"/>
      <c r="GK53" s="102"/>
      <c r="GL53" s="102"/>
      <c r="GM53" s="102"/>
      <c r="GN53" s="102"/>
      <c r="GO53" s="102"/>
      <c r="GP53" s="102"/>
      <c r="GQ53" s="102"/>
      <c r="GR53" s="102"/>
      <c r="GS53" s="102"/>
      <c r="GT53" s="102"/>
      <c r="GU53" s="102"/>
      <c r="GV53" s="102"/>
      <c r="GW53" s="102"/>
      <c r="GX53" s="102"/>
      <c r="GY53" s="102"/>
      <c r="GZ53" s="102"/>
      <c r="HA53" s="102"/>
      <c r="HB53" s="102"/>
      <c r="HC53" s="102"/>
      <c r="HD53" s="102"/>
      <c r="HE53" s="102"/>
      <c r="HF53" s="102"/>
      <c r="HG53" s="102"/>
    </row>
    <row r="54" spans="1:215" s="22" customFormat="1" ht="24" customHeight="1">
      <c r="A54" s="86"/>
      <c r="B54" s="40"/>
      <c r="C54" s="40">
        <v>4440</v>
      </c>
      <c r="D54" s="12" t="s">
        <v>112</v>
      </c>
      <c r="E54" s="60">
        <v>4125</v>
      </c>
      <c r="F54" s="60"/>
      <c r="G54" s="60">
        <f t="shared" si="18"/>
        <v>4125</v>
      </c>
      <c r="H54" s="60"/>
      <c r="I54" s="60">
        <f t="shared" si="19"/>
        <v>4125</v>
      </c>
      <c r="J54" s="60"/>
      <c r="K54" s="60">
        <f t="shared" si="20"/>
        <v>4125</v>
      </c>
      <c r="L54" s="60"/>
      <c r="M54" s="60">
        <f t="shared" si="21"/>
        <v>4125</v>
      </c>
      <c r="N54" s="60"/>
      <c r="O54" s="60">
        <f t="shared" si="22"/>
        <v>4125</v>
      </c>
      <c r="P54" s="60"/>
      <c r="Q54" s="60">
        <f t="shared" si="23"/>
        <v>4125</v>
      </c>
      <c r="R54" s="60"/>
      <c r="S54" s="60">
        <f t="shared" si="24"/>
        <v>4125</v>
      </c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2"/>
      <c r="EW54" s="102"/>
      <c r="EX54" s="102"/>
      <c r="EY54" s="102"/>
      <c r="EZ54" s="102"/>
      <c r="FA54" s="102"/>
      <c r="FB54" s="102"/>
      <c r="FC54" s="102"/>
      <c r="FD54" s="102"/>
      <c r="FE54" s="102"/>
      <c r="FF54" s="102"/>
      <c r="FG54" s="102"/>
      <c r="FH54" s="102"/>
      <c r="FI54" s="102"/>
      <c r="FJ54" s="102"/>
      <c r="FK54" s="102"/>
      <c r="FL54" s="102"/>
      <c r="FM54" s="102"/>
      <c r="FN54" s="102"/>
      <c r="FO54" s="102"/>
      <c r="FP54" s="102"/>
      <c r="FQ54" s="102"/>
      <c r="FR54" s="102"/>
      <c r="FS54" s="102"/>
      <c r="FT54" s="102"/>
      <c r="FU54" s="102"/>
      <c r="FV54" s="102"/>
      <c r="FW54" s="102"/>
      <c r="FX54" s="102"/>
      <c r="FY54" s="102"/>
      <c r="FZ54" s="102"/>
      <c r="GA54" s="102"/>
      <c r="GB54" s="102"/>
      <c r="GC54" s="102"/>
      <c r="GD54" s="102"/>
      <c r="GE54" s="102"/>
      <c r="GF54" s="102"/>
      <c r="GG54" s="102"/>
      <c r="GH54" s="102"/>
      <c r="GI54" s="102"/>
      <c r="GJ54" s="102"/>
      <c r="GK54" s="102"/>
      <c r="GL54" s="102"/>
      <c r="GM54" s="102"/>
      <c r="GN54" s="102"/>
      <c r="GO54" s="102"/>
      <c r="GP54" s="102"/>
      <c r="GQ54" s="102"/>
      <c r="GR54" s="102"/>
      <c r="GS54" s="102"/>
      <c r="GT54" s="102"/>
      <c r="GU54" s="102"/>
      <c r="GV54" s="102"/>
      <c r="GW54" s="102"/>
      <c r="GX54" s="102"/>
      <c r="GY54" s="102"/>
      <c r="GZ54" s="102"/>
      <c r="HA54" s="102"/>
      <c r="HB54" s="102"/>
      <c r="HC54" s="102"/>
      <c r="HD54" s="102"/>
      <c r="HE54" s="102"/>
      <c r="HF54" s="102"/>
      <c r="HG54" s="102"/>
    </row>
    <row r="55" spans="1:215" s="22" customFormat="1" ht="33.75">
      <c r="A55" s="86"/>
      <c r="B55" s="40"/>
      <c r="C55" s="69">
        <v>4700</v>
      </c>
      <c r="D55" s="36" t="s">
        <v>321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>
        <v>0</v>
      </c>
      <c r="P55" s="60">
        <v>2000</v>
      </c>
      <c r="Q55" s="60">
        <f t="shared" si="23"/>
        <v>2000</v>
      </c>
      <c r="R55" s="60"/>
      <c r="S55" s="60">
        <f t="shared" si="24"/>
        <v>2000</v>
      </c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  <c r="DY55" s="102"/>
      <c r="DZ55" s="102"/>
      <c r="EA55" s="102"/>
      <c r="EB55" s="102"/>
      <c r="EC55" s="102"/>
      <c r="ED55" s="102"/>
      <c r="EE55" s="102"/>
      <c r="EF55" s="102"/>
      <c r="EG55" s="102"/>
      <c r="EH55" s="102"/>
      <c r="EI55" s="102"/>
      <c r="EJ55" s="102"/>
      <c r="EK55" s="102"/>
      <c r="EL55" s="102"/>
      <c r="EM55" s="102"/>
      <c r="EN55" s="102"/>
      <c r="EO55" s="102"/>
      <c r="EP55" s="102"/>
      <c r="EQ55" s="102"/>
      <c r="ER55" s="102"/>
      <c r="ES55" s="102"/>
      <c r="ET55" s="102"/>
      <c r="EU55" s="102"/>
      <c r="EV55" s="102"/>
      <c r="EW55" s="102"/>
      <c r="EX55" s="102"/>
      <c r="EY55" s="102"/>
      <c r="EZ55" s="102"/>
      <c r="FA55" s="102"/>
      <c r="FB55" s="102"/>
      <c r="FC55" s="102"/>
      <c r="FD55" s="102"/>
      <c r="FE55" s="102"/>
      <c r="FF55" s="102"/>
      <c r="FG55" s="102"/>
      <c r="FH55" s="102"/>
      <c r="FI55" s="102"/>
      <c r="FJ55" s="102"/>
      <c r="FK55" s="102"/>
      <c r="FL55" s="102"/>
      <c r="FM55" s="102"/>
      <c r="FN55" s="102"/>
      <c r="FO55" s="102"/>
      <c r="FP55" s="102"/>
      <c r="FQ55" s="102"/>
      <c r="FR55" s="102"/>
      <c r="FS55" s="102"/>
      <c r="FT55" s="102"/>
      <c r="FU55" s="102"/>
      <c r="FV55" s="102"/>
      <c r="FW55" s="102"/>
      <c r="FX55" s="102"/>
      <c r="FY55" s="102"/>
      <c r="FZ55" s="102"/>
      <c r="GA55" s="102"/>
      <c r="GB55" s="102"/>
      <c r="GC55" s="102"/>
      <c r="GD55" s="102"/>
      <c r="GE55" s="102"/>
      <c r="GF55" s="102"/>
      <c r="GG55" s="102"/>
      <c r="GH55" s="102"/>
      <c r="GI55" s="102"/>
      <c r="GJ55" s="102"/>
      <c r="GK55" s="102"/>
      <c r="GL55" s="102"/>
      <c r="GM55" s="102"/>
      <c r="GN55" s="102"/>
      <c r="GO55" s="102"/>
      <c r="GP55" s="102"/>
      <c r="GQ55" s="102"/>
      <c r="GR55" s="102"/>
      <c r="GS55" s="102"/>
      <c r="GT55" s="102"/>
      <c r="GU55" s="102"/>
      <c r="GV55" s="102"/>
      <c r="GW55" s="102"/>
      <c r="GX55" s="102"/>
      <c r="GY55" s="102"/>
      <c r="GZ55" s="102"/>
      <c r="HA55" s="102"/>
      <c r="HB55" s="102"/>
      <c r="HC55" s="102"/>
      <c r="HD55" s="102"/>
      <c r="HE55" s="102"/>
      <c r="HF55" s="102"/>
      <c r="HG55" s="102"/>
    </row>
    <row r="56" spans="1:215" s="22" customFormat="1" ht="33.75">
      <c r="A56" s="86"/>
      <c r="B56" s="40"/>
      <c r="C56" s="69">
        <v>4740</v>
      </c>
      <c r="D56" s="36" t="s">
        <v>270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>
        <v>0</v>
      </c>
      <c r="P56" s="60">
        <v>5000</v>
      </c>
      <c r="Q56" s="60">
        <f t="shared" si="23"/>
        <v>5000</v>
      </c>
      <c r="R56" s="60">
        <v>-2000</v>
      </c>
      <c r="S56" s="60">
        <f t="shared" si="24"/>
        <v>3000</v>
      </c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02"/>
      <c r="DR56" s="102"/>
      <c r="DS56" s="102"/>
      <c r="DT56" s="102"/>
      <c r="DU56" s="102"/>
      <c r="DV56" s="102"/>
      <c r="DW56" s="102"/>
      <c r="DX56" s="102"/>
      <c r="DY56" s="102"/>
      <c r="DZ56" s="102"/>
      <c r="EA56" s="102"/>
      <c r="EB56" s="102"/>
      <c r="EC56" s="102"/>
      <c r="ED56" s="102"/>
      <c r="EE56" s="102"/>
      <c r="EF56" s="102"/>
      <c r="EG56" s="102"/>
      <c r="EH56" s="102"/>
      <c r="EI56" s="102"/>
      <c r="EJ56" s="102"/>
      <c r="EK56" s="102"/>
      <c r="EL56" s="102"/>
      <c r="EM56" s="102"/>
      <c r="EN56" s="102"/>
      <c r="EO56" s="102"/>
      <c r="EP56" s="102"/>
      <c r="EQ56" s="102"/>
      <c r="ER56" s="102"/>
      <c r="ES56" s="102"/>
      <c r="ET56" s="102"/>
      <c r="EU56" s="102"/>
      <c r="EV56" s="102"/>
      <c r="EW56" s="102"/>
      <c r="EX56" s="102"/>
      <c r="EY56" s="102"/>
      <c r="EZ56" s="102"/>
      <c r="FA56" s="102"/>
      <c r="FB56" s="102"/>
      <c r="FC56" s="102"/>
      <c r="FD56" s="102"/>
      <c r="FE56" s="102"/>
      <c r="FF56" s="102"/>
      <c r="FG56" s="102"/>
      <c r="FH56" s="102"/>
      <c r="FI56" s="102"/>
      <c r="FJ56" s="102"/>
      <c r="FK56" s="102"/>
      <c r="FL56" s="102"/>
      <c r="FM56" s="102"/>
      <c r="FN56" s="102"/>
      <c r="FO56" s="102"/>
      <c r="FP56" s="102"/>
      <c r="FQ56" s="102"/>
      <c r="FR56" s="102"/>
      <c r="FS56" s="102"/>
      <c r="FT56" s="102"/>
      <c r="FU56" s="102"/>
      <c r="FV56" s="102"/>
      <c r="FW56" s="102"/>
      <c r="FX56" s="102"/>
      <c r="FY56" s="102"/>
      <c r="FZ56" s="102"/>
      <c r="GA56" s="102"/>
      <c r="GB56" s="102"/>
      <c r="GC56" s="102"/>
      <c r="GD56" s="102"/>
      <c r="GE56" s="102"/>
      <c r="GF56" s="102"/>
      <c r="GG56" s="102"/>
      <c r="GH56" s="102"/>
      <c r="GI56" s="102"/>
      <c r="GJ56" s="102"/>
      <c r="GK56" s="102"/>
      <c r="GL56" s="102"/>
      <c r="GM56" s="102"/>
      <c r="GN56" s="102"/>
      <c r="GO56" s="102"/>
      <c r="GP56" s="102"/>
      <c r="GQ56" s="102"/>
      <c r="GR56" s="102"/>
      <c r="GS56" s="102"/>
      <c r="GT56" s="102"/>
      <c r="GU56" s="102"/>
      <c r="GV56" s="102"/>
      <c r="GW56" s="102"/>
      <c r="GX56" s="102"/>
      <c r="GY56" s="102"/>
      <c r="GZ56" s="102"/>
      <c r="HA56" s="102"/>
      <c r="HB56" s="102"/>
      <c r="HC56" s="102"/>
      <c r="HD56" s="102"/>
      <c r="HE56" s="102"/>
      <c r="HF56" s="102"/>
      <c r="HG56" s="102"/>
    </row>
    <row r="57" spans="1:215" s="22" customFormat="1" ht="24" customHeight="1">
      <c r="A57" s="86"/>
      <c r="B57" s="40"/>
      <c r="C57" s="69">
        <v>4750</v>
      </c>
      <c r="D57" s="36" t="s">
        <v>373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>
        <v>0</v>
      </c>
      <c r="P57" s="60">
        <v>7500</v>
      </c>
      <c r="Q57" s="60">
        <f t="shared" si="23"/>
        <v>7500</v>
      </c>
      <c r="R57" s="60">
        <v>-5000</v>
      </c>
      <c r="S57" s="60">
        <f t="shared" si="24"/>
        <v>2500</v>
      </c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2"/>
      <c r="EL57" s="102"/>
      <c r="EM57" s="102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2"/>
      <c r="EZ57" s="102"/>
      <c r="FA57" s="102"/>
      <c r="FB57" s="102"/>
      <c r="FC57" s="102"/>
      <c r="FD57" s="102"/>
      <c r="FE57" s="102"/>
      <c r="FF57" s="102"/>
      <c r="FG57" s="102"/>
      <c r="FH57" s="102"/>
      <c r="FI57" s="102"/>
      <c r="FJ57" s="102"/>
      <c r="FK57" s="102"/>
      <c r="FL57" s="102"/>
      <c r="FM57" s="102"/>
      <c r="FN57" s="102"/>
      <c r="FO57" s="102"/>
      <c r="FP57" s="102"/>
      <c r="FQ57" s="102"/>
      <c r="FR57" s="102"/>
      <c r="FS57" s="102"/>
      <c r="FT57" s="102"/>
      <c r="FU57" s="102"/>
      <c r="FV57" s="102"/>
      <c r="FW57" s="102"/>
      <c r="FX57" s="102"/>
      <c r="FY57" s="102"/>
      <c r="FZ57" s="102"/>
      <c r="GA57" s="102"/>
      <c r="GB57" s="102"/>
      <c r="GC57" s="102"/>
      <c r="GD57" s="102"/>
      <c r="GE57" s="102"/>
      <c r="GF57" s="102"/>
      <c r="GG57" s="102"/>
      <c r="GH57" s="102"/>
      <c r="GI57" s="102"/>
      <c r="GJ57" s="102"/>
      <c r="GK57" s="102"/>
      <c r="GL57" s="102"/>
      <c r="GM57" s="102"/>
      <c r="GN57" s="102"/>
      <c r="GO57" s="102"/>
      <c r="GP57" s="102"/>
      <c r="GQ57" s="102"/>
      <c r="GR57" s="102"/>
      <c r="GS57" s="102"/>
      <c r="GT57" s="102"/>
      <c r="GU57" s="102"/>
      <c r="GV57" s="102"/>
      <c r="GW57" s="102"/>
      <c r="GX57" s="102"/>
      <c r="GY57" s="102"/>
      <c r="GZ57" s="102"/>
      <c r="HA57" s="102"/>
      <c r="HB57" s="102"/>
      <c r="HC57" s="102"/>
      <c r="HD57" s="102"/>
      <c r="HE57" s="102"/>
      <c r="HF57" s="102"/>
      <c r="HG57" s="102"/>
    </row>
    <row r="58" spans="1:215" s="22" customFormat="1" ht="24" customHeight="1">
      <c r="A58" s="86"/>
      <c r="B58" s="40"/>
      <c r="C58" s="69">
        <v>6060</v>
      </c>
      <c r="D58" s="36" t="s">
        <v>120</v>
      </c>
      <c r="E58" s="60"/>
      <c r="F58" s="60"/>
      <c r="G58" s="60"/>
      <c r="H58" s="60"/>
      <c r="I58" s="60"/>
      <c r="J58" s="60"/>
      <c r="K58" s="60"/>
      <c r="L58" s="60"/>
      <c r="M58" s="60">
        <v>0</v>
      </c>
      <c r="N58" s="60">
        <v>9000</v>
      </c>
      <c r="O58" s="60">
        <f t="shared" si="22"/>
        <v>9000</v>
      </c>
      <c r="P58" s="60"/>
      <c r="Q58" s="60">
        <f t="shared" si="23"/>
        <v>9000</v>
      </c>
      <c r="R58" s="60"/>
      <c r="S58" s="60">
        <f t="shared" si="24"/>
        <v>9000</v>
      </c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  <c r="DY58" s="102"/>
      <c r="DZ58" s="102"/>
      <c r="EA58" s="102"/>
      <c r="EB58" s="102"/>
      <c r="EC58" s="102"/>
      <c r="ED58" s="102"/>
      <c r="EE58" s="102"/>
      <c r="EF58" s="102"/>
      <c r="EG58" s="102"/>
      <c r="EH58" s="102"/>
      <c r="EI58" s="102"/>
      <c r="EJ58" s="102"/>
      <c r="EK58" s="102"/>
      <c r="EL58" s="102"/>
      <c r="EM58" s="102"/>
      <c r="EN58" s="102"/>
      <c r="EO58" s="102"/>
      <c r="EP58" s="102"/>
      <c r="EQ58" s="102"/>
      <c r="ER58" s="102"/>
      <c r="ES58" s="102"/>
      <c r="ET58" s="102"/>
      <c r="EU58" s="102"/>
      <c r="EV58" s="102"/>
      <c r="EW58" s="102"/>
      <c r="EX58" s="102"/>
      <c r="EY58" s="102"/>
      <c r="EZ58" s="102"/>
      <c r="FA58" s="102"/>
      <c r="FB58" s="102"/>
      <c r="FC58" s="102"/>
      <c r="FD58" s="102"/>
      <c r="FE58" s="102"/>
      <c r="FF58" s="102"/>
      <c r="FG58" s="102"/>
      <c r="FH58" s="102"/>
      <c r="FI58" s="102"/>
      <c r="FJ58" s="102"/>
      <c r="FK58" s="102"/>
      <c r="FL58" s="102"/>
      <c r="FM58" s="102"/>
      <c r="FN58" s="102"/>
      <c r="FO58" s="102"/>
      <c r="FP58" s="102"/>
      <c r="FQ58" s="102"/>
      <c r="FR58" s="102"/>
      <c r="FS58" s="102"/>
      <c r="FT58" s="102"/>
      <c r="FU58" s="102"/>
      <c r="FV58" s="102"/>
      <c r="FW58" s="102"/>
      <c r="FX58" s="102"/>
      <c r="FY58" s="102"/>
      <c r="FZ58" s="102"/>
      <c r="GA58" s="102"/>
      <c r="GB58" s="102"/>
      <c r="GC58" s="102"/>
      <c r="GD58" s="102"/>
      <c r="GE58" s="102"/>
      <c r="GF58" s="102"/>
      <c r="GG58" s="102"/>
      <c r="GH58" s="102"/>
      <c r="GI58" s="102"/>
      <c r="GJ58" s="102"/>
      <c r="GK58" s="102"/>
      <c r="GL58" s="102"/>
      <c r="GM58" s="102"/>
      <c r="GN58" s="102"/>
      <c r="GO58" s="102"/>
      <c r="GP58" s="102"/>
      <c r="GQ58" s="102"/>
      <c r="GR58" s="102"/>
      <c r="GS58" s="102"/>
      <c r="GT58" s="102"/>
      <c r="GU58" s="102"/>
      <c r="GV58" s="102"/>
      <c r="GW58" s="102"/>
      <c r="GX58" s="102"/>
      <c r="GY58" s="102"/>
      <c r="GZ58" s="102"/>
      <c r="HA58" s="102"/>
      <c r="HB58" s="102"/>
      <c r="HC58" s="102"/>
      <c r="HD58" s="102"/>
      <c r="HE58" s="102"/>
      <c r="HF58" s="102"/>
      <c r="HG58" s="102"/>
    </row>
    <row r="59" spans="1:215" s="22" customFormat="1" ht="78.75">
      <c r="A59" s="62"/>
      <c r="B59" s="40">
        <v>85213</v>
      </c>
      <c r="C59" s="69"/>
      <c r="D59" s="36" t="s">
        <v>330</v>
      </c>
      <c r="E59" s="82">
        <f aca="true" t="shared" si="25" ref="E59:S59">SUM(E60)</f>
        <v>71100</v>
      </c>
      <c r="F59" s="82">
        <f t="shared" si="25"/>
        <v>0</v>
      </c>
      <c r="G59" s="82">
        <f t="shared" si="25"/>
        <v>71100</v>
      </c>
      <c r="H59" s="82">
        <f t="shared" si="25"/>
        <v>0</v>
      </c>
      <c r="I59" s="82">
        <f t="shared" si="25"/>
        <v>71100</v>
      </c>
      <c r="J59" s="82">
        <f t="shared" si="25"/>
        <v>0</v>
      </c>
      <c r="K59" s="82">
        <f t="shared" si="25"/>
        <v>71100</v>
      </c>
      <c r="L59" s="82">
        <f t="shared" si="25"/>
        <v>0</v>
      </c>
      <c r="M59" s="82">
        <f t="shared" si="25"/>
        <v>71100</v>
      </c>
      <c r="N59" s="82">
        <f t="shared" si="25"/>
        <v>0</v>
      </c>
      <c r="O59" s="82">
        <f t="shared" si="25"/>
        <v>71100</v>
      </c>
      <c r="P59" s="82">
        <f t="shared" si="25"/>
        <v>-23300</v>
      </c>
      <c r="Q59" s="82">
        <f t="shared" si="25"/>
        <v>47800</v>
      </c>
      <c r="R59" s="82">
        <f t="shared" si="25"/>
        <v>0</v>
      </c>
      <c r="S59" s="82">
        <f t="shared" si="25"/>
        <v>47800</v>
      </c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  <c r="DS59" s="102"/>
      <c r="DT59" s="102"/>
      <c r="DU59" s="102"/>
      <c r="DV59" s="102"/>
      <c r="DW59" s="102"/>
      <c r="DX59" s="102"/>
      <c r="DY59" s="102"/>
      <c r="DZ59" s="102"/>
      <c r="EA59" s="102"/>
      <c r="EB59" s="102"/>
      <c r="EC59" s="102"/>
      <c r="ED59" s="102"/>
      <c r="EE59" s="102"/>
      <c r="EF59" s="102"/>
      <c r="EG59" s="102"/>
      <c r="EH59" s="102"/>
      <c r="EI59" s="102"/>
      <c r="EJ59" s="102"/>
      <c r="EK59" s="102"/>
      <c r="EL59" s="102"/>
      <c r="EM59" s="102"/>
      <c r="EN59" s="102"/>
      <c r="EO59" s="102"/>
      <c r="EP59" s="102"/>
      <c r="EQ59" s="102"/>
      <c r="ER59" s="102"/>
      <c r="ES59" s="102"/>
      <c r="ET59" s="102"/>
      <c r="EU59" s="102"/>
      <c r="EV59" s="102"/>
      <c r="EW59" s="102"/>
      <c r="EX59" s="102"/>
      <c r="EY59" s="102"/>
      <c r="EZ59" s="102"/>
      <c r="FA59" s="102"/>
      <c r="FB59" s="102"/>
      <c r="FC59" s="102"/>
      <c r="FD59" s="102"/>
      <c r="FE59" s="102"/>
      <c r="FF59" s="102"/>
      <c r="FG59" s="102"/>
      <c r="FH59" s="102"/>
      <c r="FI59" s="102"/>
      <c r="FJ59" s="102"/>
      <c r="FK59" s="102"/>
      <c r="FL59" s="102"/>
      <c r="FM59" s="102"/>
      <c r="FN59" s="102"/>
      <c r="FO59" s="102"/>
      <c r="FP59" s="102"/>
      <c r="FQ59" s="102"/>
      <c r="FR59" s="102"/>
      <c r="FS59" s="102"/>
      <c r="FT59" s="102"/>
      <c r="FU59" s="102"/>
      <c r="FV59" s="102"/>
      <c r="FW59" s="102"/>
      <c r="FX59" s="102"/>
      <c r="FY59" s="102"/>
      <c r="FZ59" s="102"/>
      <c r="GA59" s="102"/>
      <c r="GB59" s="102"/>
      <c r="GC59" s="102"/>
      <c r="GD59" s="102"/>
      <c r="GE59" s="102"/>
      <c r="GF59" s="102"/>
      <c r="GG59" s="102"/>
      <c r="GH59" s="102"/>
      <c r="GI59" s="102"/>
      <c r="GJ59" s="102"/>
      <c r="GK59" s="102"/>
      <c r="GL59" s="102"/>
      <c r="GM59" s="102"/>
      <c r="GN59" s="102"/>
      <c r="GO59" s="102"/>
      <c r="GP59" s="102"/>
      <c r="GQ59" s="102"/>
      <c r="GR59" s="102"/>
      <c r="GS59" s="102"/>
      <c r="GT59" s="102"/>
      <c r="GU59" s="102"/>
      <c r="GV59" s="102"/>
      <c r="GW59" s="102"/>
      <c r="GX59" s="102"/>
      <c r="GY59" s="102"/>
      <c r="GZ59" s="102"/>
      <c r="HA59" s="102"/>
      <c r="HB59" s="102"/>
      <c r="HC59" s="102"/>
      <c r="HD59" s="102"/>
      <c r="HE59" s="102"/>
      <c r="HF59" s="102"/>
      <c r="HG59" s="102"/>
    </row>
    <row r="60" spans="1:215" s="22" customFormat="1" ht="21.75" customHeight="1">
      <c r="A60" s="62"/>
      <c r="B60" s="40"/>
      <c r="C60" s="69">
        <v>4130</v>
      </c>
      <c r="D60" s="66" t="s">
        <v>148</v>
      </c>
      <c r="E60" s="82">
        <v>71100</v>
      </c>
      <c r="F60" s="82"/>
      <c r="G60" s="82">
        <f>SUM(E60:F60)</f>
        <v>71100</v>
      </c>
      <c r="H60" s="82"/>
      <c r="I60" s="82">
        <f>SUM(G60:H60)</f>
        <v>71100</v>
      </c>
      <c r="J60" s="82"/>
      <c r="K60" s="82">
        <f>SUM(I60:J60)</f>
        <v>71100</v>
      </c>
      <c r="L60" s="82"/>
      <c r="M60" s="82">
        <f>SUM(K60:L60)</f>
        <v>71100</v>
      </c>
      <c r="N60" s="82"/>
      <c r="O60" s="82">
        <f>SUM(M60:N60)</f>
        <v>71100</v>
      </c>
      <c r="P60" s="82">
        <v>-23300</v>
      </c>
      <c r="Q60" s="82">
        <f>SUM(O60:P60)</f>
        <v>47800</v>
      </c>
      <c r="R60" s="82"/>
      <c r="S60" s="82">
        <f>SUM(Q60:R60)</f>
        <v>47800</v>
      </c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2"/>
      <c r="DT60" s="102"/>
      <c r="DU60" s="102"/>
      <c r="DV60" s="102"/>
      <c r="DW60" s="102"/>
      <c r="DX60" s="102"/>
      <c r="DY60" s="102"/>
      <c r="DZ60" s="102"/>
      <c r="EA60" s="102"/>
      <c r="EB60" s="102"/>
      <c r="EC60" s="102"/>
      <c r="ED60" s="102"/>
      <c r="EE60" s="102"/>
      <c r="EF60" s="102"/>
      <c r="EG60" s="102"/>
      <c r="EH60" s="102"/>
      <c r="EI60" s="102"/>
      <c r="EJ60" s="102"/>
      <c r="EK60" s="102"/>
      <c r="EL60" s="102"/>
      <c r="EM60" s="102"/>
      <c r="EN60" s="102"/>
      <c r="EO60" s="102"/>
      <c r="EP60" s="102"/>
      <c r="EQ60" s="102"/>
      <c r="ER60" s="102"/>
      <c r="ES60" s="102"/>
      <c r="ET60" s="102"/>
      <c r="EU60" s="102"/>
      <c r="EV60" s="102"/>
      <c r="EW60" s="102"/>
      <c r="EX60" s="102"/>
      <c r="EY60" s="102"/>
      <c r="EZ60" s="102"/>
      <c r="FA60" s="102"/>
      <c r="FB60" s="102"/>
      <c r="FC60" s="102"/>
      <c r="FD60" s="102"/>
      <c r="FE60" s="102"/>
      <c r="FF60" s="102"/>
      <c r="FG60" s="102"/>
      <c r="FH60" s="102"/>
      <c r="FI60" s="102"/>
      <c r="FJ60" s="102"/>
      <c r="FK60" s="102"/>
      <c r="FL60" s="102"/>
      <c r="FM60" s="102"/>
      <c r="FN60" s="102"/>
      <c r="FO60" s="102"/>
      <c r="FP60" s="102"/>
      <c r="FQ60" s="102"/>
      <c r="FR60" s="102"/>
      <c r="FS60" s="102"/>
      <c r="FT60" s="102"/>
      <c r="FU60" s="102"/>
      <c r="FV60" s="102"/>
      <c r="FW60" s="102"/>
      <c r="FX60" s="102"/>
      <c r="FY60" s="102"/>
      <c r="FZ60" s="102"/>
      <c r="GA60" s="102"/>
      <c r="GB60" s="102"/>
      <c r="GC60" s="102"/>
      <c r="GD60" s="102"/>
      <c r="GE60" s="102"/>
      <c r="GF60" s="102"/>
      <c r="GG60" s="102"/>
      <c r="GH60" s="102"/>
      <c r="GI60" s="102"/>
      <c r="GJ60" s="102"/>
      <c r="GK60" s="102"/>
      <c r="GL60" s="102"/>
      <c r="GM60" s="102"/>
      <c r="GN60" s="102"/>
      <c r="GO60" s="102"/>
      <c r="GP60" s="102"/>
      <c r="GQ60" s="102"/>
      <c r="GR60" s="102"/>
      <c r="GS60" s="102"/>
      <c r="GT60" s="102"/>
      <c r="GU60" s="102"/>
      <c r="GV60" s="102"/>
      <c r="GW60" s="102"/>
      <c r="GX60" s="102"/>
      <c r="GY60" s="102"/>
      <c r="GZ60" s="102"/>
      <c r="HA60" s="102"/>
      <c r="HB60" s="102"/>
      <c r="HC60" s="102"/>
      <c r="HD60" s="102"/>
      <c r="HE60" s="102"/>
      <c r="HF60" s="102"/>
      <c r="HG60" s="102"/>
    </row>
    <row r="61" spans="1:215" s="51" customFormat="1" ht="33.75">
      <c r="A61" s="56"/>
      <c r="B61" s="56">
        <v>85214</v>
      </c>
      <c r="C61" s="57"/>
      <c r="D61" s="55" t="s">
        <v>244</v>
      </c>
      <c r="E61" s="84">
        <f aca="true" t="shared" si="26" ref="E61:K61">SUM(E62:E63)</f>
        <v>482100</v>
      </c>
      <c r="F61" s="84">
        <f t="shared" si="26"/>
        <v>0</v>
      </c>
      <c r="G61" s="84">
        <f t="shared" si="26"/>
        <v>482100</v>
      </c>
      <c r="H61" s="84">
        <f t="shared" si="26"/>
        <v>7900</v>
      </c>
      <c r="I61" s="84">
        <f t="shared" si="26"/>
        <v>490000</v>
      </c>
      <c r="J61" s="84">
        <f t="shared" si="26"/>
        <v>0</v>
      </c>
      <c r="K61" s="84">
        <f t="shared" si="26"/>
        <v>490000</v>
      </c>
      <c r="L61" s="84">
        <f aca="true" t="shared" si="27" ref="L61:Q61">SUM(L62:L63)</f>
        <v>0</v>
      </c>
      <c r="M61" s="84">
        <f t="shared" si="27"/>
        <v>490000</v>
      </c>
      <c r="N61" s="84">
        <f t="shared" si="27"/>
        <v>0</v>
      </c>
      <c r="O61" s="84">
        <f t="shared" si="27"/>
        <v>490000</v>
      </c>
      <c r="P61" s="84">
        <f t="shared" si="27"/>
        <v>-3000</v>
      </c>
      <c r="Q61" s="84">
        <f t="shared" si="27"/>
        <v>487000</v>
      </c>
      <c r="R61" s="84">
        <f>SUM(R62:R63)</f>
        <v>152500</v>
      </c>
      <c r="S61" s="84">
        <f>SUM(S62:S63)</f>
        <v>639500</v>
      </c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  <c r="DS61" s="102"/>
      <c r="DT61" s="102"/>
      <c r="DU61" s="102"/>
      <c r="DV61" s="102"/>
      <c r="DW61" s="102"/>
      <c r="DX61" s="102"/>
      <c r="DY61" s="102"/>
      <c r="DZ61" s="102"/>
      <c r="EA61" s="102"/>
      <c r="EB61" s="102"/>
      <c r="EC61" s="102"/>
      <c r="ED61" s="102"/>
      <c r="EE61" s="102"/>
      <c r="EF61" s="102"/>
      <c r="EG61" s="102"/>
      <c r="EH61" s="102"/>
      <c r="EI61" s="102"/>
      <c r="EJ61" s="102"/>
      <c r="EK61" s="102"/>
      <c r="EL61" s="102"/>
      <c r="EM61" s="102"/>
      <c r="EN61" s="102"/>
      <c r="EO61" s="102"/>
      <c r="EP61" s="102"/>
      <c r="EQ61" s="102"/>
      <c r="ER61" s="102"/>
      <c r="ES61" s="102"/>
      <c r="ET61" s="102"/>
      <c r="EU61" s="102"/>
      <c r="EV61" s="102"/>
      <c r="EW61" s="102"/>
      <c r="EX61" s="102"/>
      <c r="EY61" s="102"/>
      <c r="EZ61" s="102"/>
      <c r="FA61" s="102"/>
      <c r="FB61" s="102"/>
      <c r="FC61" s="102"/>
      <c r="FD61" s="102"/>
      <c r="FE61" s="102"/>
      <c r="FF61" s="102"/>
      <c r="FG61" s="102"/>
      <c r="FH61" s="102"/>
      <c r="FI61" s="102"/>
      <c r="FJ61" s="102"/>
      <c r="FK61" s="102"/>
      <c r="FL61" s="102"/>
      <c r="FM61" s="102"/>
      <c r="FN61" s="102"/>
      <c r="FO61" s="102"/>
      <c r="FP61" s="102"/>
      <c r="FQ61" s="102"/>
      <c r="FR61" s="102"/>
      <c r="FS61" s="102"/>
      <c r="FT61" s="102"/>
      <c r="FU61" s="102"/>
      <c r="FV61" s="102"/>
      <c r="FW61" s="102"/>
      <c r="FX61" s="102"/>
      <c r="FY61" s="102"/>
      <c r="FZ61" s="102"/>
      <c r="GA61" s="102"/>
      <c r="GB61" s="102"/>
      <c r="GC61" s="102"/>
      <c r="GD61" s="102"/>
      <c r="GE61" s="102"/>
      <c r="GF61" s="102"/>
      <c r="GG61" s="102"/>
      <c r="GH61" s="102"/>
      <c r="GI61" s="102"/>
      <c r="GJ61" s="102"/>
      <c r="GK61" s="102"/>
      <c r="GL61" s="102"/>
      <c r="GM61" s="102"/>
      <c r="GN61" s="102"/>
      <c r="GO61" s="102"/>
      <c r="GP61" s="102"/>
      <c r="GQ61" s="102"/>
      <c r="GR61" s="102"/>
      <c r="GS61" s="102"/>
      <c r="GT61" s="102"/>
      <c r="GU61" s="102"/>
      <c r="GV61" s="102"/>
      <c r="GW61" s="102"/>
      <c r="GX61" s="102"/>
      <c r="GY61" s="102"/>
      <c r="GZ61" s="102"/>
      <c r="HA61" s="102"/>
      <c r="HB61" s="102"/>
      <c r="HC61" s="102"/>
      <c r="HD61" s="102"/>
      <c r="HE61" s="102"/>
      <c r="HF61" s="102"/>
      <c r="HG61" s="102"/>
    </row>
    <row r="62" spans="1:215" s="51" customFormat="1" ht="21.75" customHeight="1">
      <c r="A62" s="56"/>
      <c r="B62" s="76"/>
      <c r="C62" s="57">
        <v>3110</v>
      </c>
      <c r="D62" s="55" t="s">
        <v>140</v>
      </c>
      <c r="E62" s="84">
        <f>482100-3000</f>
        <v>479100</v>
      </c>
      <c r="F62" s="84"/>
      <c r="G62" s="84">
        <f>SUM(E62:F62)</f>
        <v>479100</v>
      </c>
      <c r="H62" s="84">
        <v>7900</v>
      </c>
      <c r="I62" s="84">
        <f>SUM(G62:H62)</f>
        <v>487000</v>
      </c>
      <c r="J62" s="84"/>
      <c r="K62" s="84">
        <f>SUM(I62:J62)</f>
        <v>487000</v>
      </c>
      <c r="L62" s="84"/>
      <c r="M62" s="84">
        <f>SUM(K62:L62)</f>
        <v>487000</v>
      </c>
      <c r="N62" s="84"/>
      <c r="O62" s="84">
        <f>SUM(M62:N62)</f>
        <v>487000</v>
      </c>
      <c r="P62" s="84">
        <v>-3000</v>
      </c>
      <c r="Q62" s="84">
        <f>SUM(O62:P62)</f>
        <v>484000</v>
      </c>
      <c r="R62" s="84">
        <v>152500</v>
      </c>
      <c r="S62" s="84">
        <f>SUM(Q62:R62)</f>
        <v>636500</v>
      </c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  <c r="HD62" s="102"/>
      <c r="HE62" s="102"/>
      <c r="HF62" s="102"/>
      <c r="HG62" s="102"/>
    </row>
    <row r="63" spans="1:215" s="51" customFormat="1" ht="21.75" customHeight="1">
      <c r="A63" s="56"/>
      <c r="B63" s="76"/>
      <c r="C63" s="76">
        <v>4110</v>
      </c>
      <c r="D63" s="12" t="s">
        <v>110</v>
      </c>
      <c r="E63" s="84">
        <v>3000</v>
      </c>
      <c r="F63" s="84"/>
      <c r="G63" s="84">
        <f>SUM(E63:F63)</f>
        <v>3000</v>
      </c>
      <c r="H63" s="84"/>
      <c r="I63" s="84">
        <f>SUM(G63:H63)</f>
        <v>3000</v>
      </c>
      <c r="J63" s="84"/>
      <c r="K63" s="84">
        <f>SUM(I63:J63)</f>
        <v>3000</v>
      </c>
      <c r="L63" s="84"/>
      <c r="M63" s="84">
        <f>SUM(K63:L63)</f>
        <v>3000</v>
      </c>
      <c r="N63" s="84"/>
      <c r="O63" s="84">
        <f>SUM(M63:N63)</f>
        <v>3000</v>
      </c>
      <c r="P63" s="84"/>
      <c r="Q63" s="84">
        <f>SUM(O63:P63)</f>
        <v>3000</v>
      </c>
      <c r="R63" s="84"/>
      <c r="S63" s="84">
        <f>SUM(Q63:R63)</f>
        <v>3000</v>
      </c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</row>
    <row r="64" spans="1:215" ht="23.25" customHeight="1">
      <c r="A64" s="8"/>
      <c r="B64" s="8"/>
      <c r="C64" s="8"/>
      <c r="D64" s="16" t="s">
        <v>91</v>
      </c>
      <c r="E64" s="39">
        <f>SUM(E32,E22,E15,E28)</f>
        <v>7129310</v>
      </c>
      <c r="F64" s="39">
        <f>SUM(F32,F22,F15,F28)</f>
        <v>0</v>
      </c>
      <c r="G64" s="39">
        <f>SUM(G32,G22,G15,G28)</f>
        <v>7129310</v>
      </c>
      <c r="H64" s="39">
        <f>SUM(H32,H22,H15,H28)</f>
        <v>154686</v>
      </c>
      <c r="I64" s="39">
        <f aca="true" t="shared" si="28" ref="I64:O64">SUM(I32,I22,I15,I28,I8)</f>
        <v>7283996</v>
      </c>
      <c r="J64" s="39">
        <f t="shared" si="28"/>
        <v>192361</v>
      </c>
      <c r="K64" s="39">
        <f t="shared" si="28"/>
        <v>7476357</v>
      </c>
      <c r="L64" s="39">
        <f t="shared" si="28"/>
        <v>0</v>
      </c>
      <c r="M64" s="39">
        <f t="shared" si="28"/>
        <v>7476357</v>
      </c>
      <c r="N64" s="39">
        <f t="shared" si="28"/>
        <v>54711</v>
      </c>
      <c r="O64" s="39">
        <f t="shared" si="28"/>
        <v>7531068</v>
      </c>
      <c r="P64" s="39">
        <f>SUM(P32,P22,P15,P28,P8)</f>
        <v>-26300</v>
      </c>
      <c r="Q64" s="39">
        <f>SUM(Q32,Q22,Q15,Q28,Q8)</f>
        <v>7504768</v>
      </c>
      <c r="R64" s="39">
        <f>SUM(R32,R22,R15,R28,R8)</f>
        <v>376860</v>
      </c>
      <c r="S64" s="39">
        <f>SUM(S32,S22,S15,S28,S8)</f>
        <v>7881628</v>
      </c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  <c r="FZ64" s="98"/>
      <c r="GA64" s="98"/>
      <c r="GB64" s="98"/>
      <c r="GC64" s="98"/>
      <c r="GD64" s="98"/>
      <c r="GE64" s="98"/>
      <c r="GF64" s="98"/>
      <c r="GG64" s="98"/>
      <c r="GH64" s="98"/>
      <c r="GI64" s="98"/>
      <c r="GJ64" s="98"/>
      <c r="GK64" s="98"/>
      <c r="GL64" s="98"/>
      <c r="GM64" s="98"/>
      <c r="GN64" s="98"/>
      <c r="GO64" s="98"/>
      <c r="GP64" s="98"/>
      <c r="GQ64" s="98"/>
      <c r="GR64" s="98"/>
      <c r="GS64" s="98"/>
      <c r="GT64" s="98"/>
      <c r="GU64" s="98"/>
      <c r="GV64" s="98"/>
      <c r="GW64" s="98"/>
      <c r="GX64" s="98"/>
      <c r="GY64" s="98"/>
      <c r="GZ64" s="98"/>
      <c r="HA64" s="98"/>
      <c r="HB64" s="98"/>
      <c r="HC64" s="98"/>
      <c r="HD64" s="98"/>
      <c r="HE64" s="98"/>
      <c r="HF64" s="98"/>
      <c r="HG64" s="98"/>
    </row>
    <row r="66" spans="5:19" ht="12.75"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5:19" ht="12.75"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</row>
    <row r="68" spans="5:19" ht="12.75">
      <c r="E68" s="22"/>
      <c r="F68" s="22"/>
      <c r="G68" s="22"/>
      <c r="H68" s="22"/>
      <c r="I68" s="22"/>
      <c r="J68" s="22"/>
      <c r="K68" s="22"/>
      <c r="L68" s="22"/>
      <c r="M68" s="22"/>
      <c r="N68" s="105">
        <v>2211</v>
      </c>
      <c r="O68" s="22"/>
      <c r="P68" s="105"/>
      <c r="Q68" s="22"/>
      <c r="R68" s="105"/>
      <c r="S68" s="22"/>
    </row>
    <row r="69" spans="5:19" ht="12.75"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</row>
    <row r="70" spans="5:19" ht="12.75">
      <c r="E70" s="22"/>
      <c r="F70" s="22"/>
      <c r="G70" s="22"/>
      <c r="H70" s="22"/>
      <c r="I70" s="22"/>
      <c r="J70" s="22"/>
      <c r="K70" s="22"/>
      <c r="L70" s="22"/>
      <c r="M70" s="22"/>
      <c r="N70" s="132"/>
      <c r="O70" s="22"/>
      <c r="P70" s="132"/>
      <c r="Q70" s="22"/>
      <c r="R70" s="189"/>
      <c r="S70" s="22"/>
    </row>
    <row r="71" spans="5:19" ht="12.75"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88"/>
      <c r="S71" s="105"/>
    </row>
    <row r="72" spans="5:19" ht="12.75"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5:19" ht="12.75"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</row>
    <row r="74" spans="5:19" ht="12.75"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</row>
    <row r="75" spans="5:19" ht="12.75"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5:19" ht="12.75"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5:19" ht="12.75"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</row>
    <row r="78" spans="5:19" ht="12.75"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5:19" ht="12.75"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5:19" ht="12.75"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  <row r="81" spans="5:19" ht="12.75"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</row>
    <row r="82" spans="5:19" ht="12.75"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</row>
  </sheetData>
  <sheetProtection/>
  <mergeCells count="1">
    <mergeCell ref="A6:S6"/>
  </mergeCells>
  <printOptions horizontalCentered="1"/>
  <pageMargins left="0.5511811023622047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&amp;C&amp;8Administracja rządowa - str.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02"/>
  <sheetViews>
    <sheetView zoomScalePageLayoutView="0" workbookViewId="0" topLeftCell="A1">
      <selection activeCell="V21" sqref="V20:V21"/>
    </sheetView>
  </sheetViews>
  <sheetFormatPr defaultColWidth="9.00390625" defaultRowHeight="12.75"/>
  <cols>
    <col min="1" max="1" width="5.25390625" style="0" customWidth="1"/>
    <col min="2" max="2" width="6.375" style="0" customWidth="1"/>
    <col min="3" max="3" width="5.875" style="0" bestFit="1" customWidth="1"/>
    <col min="4" max="4" width="28.875" style="0" customWidth="1"/>
    <col min="5" max="5" width="15.75390625" style="0" hidden="1" customWidth="1"/>
    <col min="6" max="6" width="12.75390625" style="0" hidden="1" customWidth="1"/>
    <col min="7" max="7" width="13.125" style="0" hidden="1" customWidth="1"/>
    <col min="8" max="8" width="15.00390625" style="0" hidden="1" customWidth="1"/>
    <col min="9" max="9" width="14.625" style="0" hidden="1" customWidth="1"/>
    <col min="10" max="10" width="15.00390625" style="0" hidden="1" customWidth="1"/>
    <col min="11" max="11" width="14.625" style="0" hidden="1" customWidth="1"/>
    <col min="12" max="12" width="8.125" style="0" hidden="1" customWidth="1"/>
    <col min="13" max="13" width="2.375" style="0" hidden="1" customWidth="1"/>
    <col min="14" max="14" width="9.00390625" style="0" hidden="1" customWidth="1"/>
    <col min="15" max="15" width="14.625" style="0" hidden="1" customWidth="1"/>
    <col min="16" max="16" width="12.875" style="0" hidden="1" customWidth="1"/>
    <col min="17" max="17" width="14.75390625" style="0" customWidth="1"/>
    <col min="18" max="18" width="12.875" style="0" customWidth="1"/>
    <col min="19" max="19" width="14.75390625" style="0" customWidth="1"/>
  </cols>
  <sheetData>
    <row r="1" spans="1:19" s="5" customFormat="1" ht="15" customHeight="1">
      <c r="A1" s="146"/>
      <c r="B1" s="147"/>
      <c r="C1" s="147" t="s">
        <v>247</v>
      </c>
      <c r="D1" s="146" t="s">
        <v>310</v>
      </c>
      <c r="E1" s="148" t="s">
        <v>417</v>
      </c>
      <c r="F1" s="148"/>
      <c r="G1" s="148" t="s">
        <v>418</v>
      </c>
      <c r="H1" s="148"/>
      <c r="I1" s="148" t="s">
        <v>419</v>
      </c>
      <c r="J1" s="148"/>
      <c r="K1" s="148" t="s">
        <v>420</v>
      </c>
      <c r="L1" s="148"/>
      <c r="M1" s="148" t="s">
        <v>421</v>
      </c>
      <c r="N1" s="148"/>
      <c r="O1" s="148" t="s">
        <v>422</v>
      </c>
      <c r="P1" s="148"/>
      <c r="Q1" s="148" t="s">
        <v>461</v>
      </c>
      <c r="R1" s="148"/>
      <c r="S1" s="148"/>
    </row>
    <row r="2" spans="1:19" s="5" customFormat="1" ht="15" customHeight="1">
      <c r="A2" s="146"/>
      <c r="B2" s="147"/>
      <c r="C2" s="147"/>
      <c r="D2" s="146"/>
      <c r="E2" s="148" t="s">
        <v>1</v>
      </c>
      <c r="F2" s="148"/>
      <c r="G2" s="148" t="s">
        <v>345</v>
      </c>
      <c r="H2" s="148"/>
      <c r="I2" s="148" t="s">
        <v>272</v>
      </c>
      <c r="J2" s="148"/>
      <c r="K2" s="148" t="s">
        <v>125</v>
      </c>
      <c r="L2" s="148"/>
      <c r="M2" s="148" t="s">
        <v>312</v>
      </c>
      <c r="N2" s="148"/>
      <c r="O2" s="148" t="s">
        <v>409</v>
      </c>
      <c r="P2" s="148"/>
      <c r="Q2" s="148" t="s">
        <v>460</v>
      </c>
      <c r="R2" s="148"/>
      <c r="S2" s="148"/>
    </row>
    <row r="3" spans="1:19" s="5" customFormat="1" ht="15" customHeight="1">
      <c r="A3" s="146"/>
      <c r="B3" s="147"/>
      <c r="C3" s="147"/>
      <c r="D3" s="146"/>
      <c r="E3" s="149" t="s">
        <v>423</v>
      </c>
      <c r="F3" s="150"/>
      <c r="G3" s="148" t="s">
        <v>417</v>
      </c>
      <c r="H3" s="149"/>
      <c r="I3" s="148" t="s">
        <v>418</v>
      </c>
      <c r="J3" s="149"/>
      <c r="K3" s="148" t="s">
        <v>419</v>
      </c>
      <c r="L3" s="149"/>
      <c r="M3" s="148" t="s">
        <v>420</v>
      </c>
      <c r="N3" s="148"/>
      <c r="O3" s="148" t="s">
        <v>421</v>
      </c>
      <c r="P3" s="148"/>
      <c r="Q3" s="148" t="s">
        <v>422</v>
      </c>
      <c r="R3" s="148"/>
      <c r="S3" s="150"/>
    </row>
    <row r="4" spans="1:19" s="5" customFormat="1" ht="15" customHeight="1">
      <c r="A4" s="146"/>
      <c r="B4" s="147"/>
      <c r="C4" s="147"/>
      <c r="D4" s="146"/>
      <c r="E4" s="151" t="s">
        <v>285</v>
      </c>
      <c r="F4" s="152"/>
      <c r="G4" s="148" t="s">
        <v>336</v>
      </c>
      <c r="H4" s="151"/>
      <c r="I4" s="148" t="s">
        <v>322</v>
      </c>
      <c r="J4" s="151"/>
      <c r="K4" s="148" t="s">
        <v>123</v>
      </c>
      <c r="L4" s="151"/>
      <c r="M4" s="148" t="s">
        <v>328</v>
      </c>
      <c r="N4" s="148"/>
      <c r="O4" s="148" t="s">
        <v>309</v>
      </c>
      <c r="P4" s="148"/>
      <c r="Q4" s="148" t="s">
        <v>416</v>
      </c>
      <c r="R4" s="148"/>
      <c r="S4" s="152"/>
    </row>
    <row r="5" spans="1:19" ht="18" customHeight="1">
      <c r="A5" s="195" t="s">
        <v>424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</row>
    <row r="6" spans="1:19" s="22" customFormat="1" ht="21.75" customHeight="1">
      <c r="A6" s="153" t="s">
        <v>9</v>
      </c>
      <c r="B6" s="153" t="s">
        <v>12</v>
      </c>
      <c r="C6" s="153" t="s">
        <v>13</v>
      </c>
      <c r="D6" s="153" t="s">
        <v>14</v>
      </c>
      <c r="E6" s="154" t="s">
        <v>173</v>
      </c>
      <c r="F6" s="154" t="s">
        <v>348</v>
      </c>
      <c r="G6" s="154" t="s">
        <v>174</v>
      </c>
      <c r="H6" s="154" t="s">
        <v>232</v>
      </c>
      <c r="I6" s="154" t="s">
        <v>174</v>
      </c>
      <c r="J6" s="154" t="s">
        <v>232</v>
      </c>
      <c r="K6" s="154" t="s">
        <v>174</v>
      </c>
      <c r="L6" s="154" t="s">
        <v>232</v>
      </c>
      <c r="M6" s="154" t="s">
        <v>174</v>
      </c>
      <c r="N6" s="154" t="s">
        <v>232</v>
      </c>
      <c r="O6" s="154" t="s">
        <v>174</v>
      </c>
      <c r="P6" s="154" t="s">
        <v>232</v>
      </c>
      <c r="Q6" s="154" t="s">
        <v>174</v>
      </c>
      <c r="R6" s="154" t="s">
        <v>232</v>
      </c>
      <c r="S6" s="154" t="s">
        <v>425</v>
      </c>
    </row>
    <row r="7" spans="1:19" s="6" customFormat="1" ht="24" customHeight="1">
      <c r="A7" s="155" t="s">
        <v>98</v>
      </c>
      <c r="B7" s="156"/>
      <c r="C7" s="156"/>
      <c r="D7" s="157" t="s">
        <v>99</v>
      </c>
      <c r="E7" s="158">
        <f aca="true" t="shared" si="0" ref="E7:S7">E8</f>
        <v>155300</v>
      </c>
      <c r="F7" s="158">
        <f t="shared" si="0"/>
        <v>-3600</v>
      </c>
      <c r="G7" s="158">
        <f t="shared" si="0"/>
        <v>151700</v>
      </c>
      <c r="H7" s="158">
        <f t="shared" si="0"/>
        <v>0</v>
      </c>
      <c r="I7" s="158">
        <f t="shared" si="0"/>
        <v>151700</v>
      </c>
      <c r="J7" s="158">
        <f t="shared" si="0"/>
        <v>-2508</v>
      </c>
      <c r="K7" s="158">
        <f t="shared" si="0"/>
        <v>149192</v>
      </c>
      <c r="L7" s="158">
        <f t="shared" si="0"/>
        <v>0</v>
      </c>
      <c r="M7" s="158">
        <f t="shared" si="0"/>
        <v>149192</v>
      </c>
      <c r="N7" s="158">
        <f t="shared" si="0"/>
        <v>4795</v>
      </c>
      <c r="O7" s="158">
        <f t="shared" si="0"/>
        <v>153987</v>
      </c>
      <c r="P7" s="158">
        <f t="shared" si="0"/>
        <v>13035</v>
      </c>
      <c r="Q7" s="158">
        <f t="shared" si="0"/>
        <v>167022</v>
      </c>
      <c r="R7" s="158">
        <f t="shared" si="0"/>
        <v>0</v>
      </c>
      <c r="S7" s="158">
        <f t="shared" si="0"/>
        <v>167022</v>
      </c>
    </row>
    <row r="8" spans="1:19" s="6" customFormat="1" ht="21.75" customHeight="1">
      <c r="A8" s="159"/>
      <c r="B8" s="159" t="s">
        <v>100</v>
      </c>
      <c r="C8" s="160"/>
      <c r="D8" s="161" t="s">
        <v>101</v>
      </c>
      <c r="E8" s="158">
        <f aca="true" t="shared" si="1" ref="E8:Q8">SUM(E9,E21,E34,E40)</f>
        <v>155300</v>
      </c>
      <c r="F8" s="158">
        <f t="shared" si="1"/>
        <v>-3600</v>
      </c>
      <c r="G8" s="158">
        <f t="shared" si="1"/>
        <v>151700</v>
      </c>
      <c r="H8" s="158">
        <f t="shared" si="1"/>
        <v>0</v>
      </c>
      <c r="I8" s="158">
        <f t="shared" si="1"/>
        <v>151700</v>
      </c>
      <c r="J8" s="158">
        <f t="shared" si="1"/>
        <v>-2508</v>
      </c>
      <c r="K8" s="158">
        <f t="shared" si="1"/>
        <v>149192</v>
      </c>
      <c r="L8" s="158">
        <f t="shared" si="1"/>
        <v>0</v>
      </c>
      <c r="M8" s="158">
        <f t="shared" si="1"/>
        <v>149192</v>
      </c>
      <c r="N8" s="158">
        <f t="shared" si="1"/>
        <v>4795</v>
      </c>
      <c r="O8" s="158">
        <f t="shared" si="1"/>
        <v>153987</v>
      </c>
      <c r="P8" s="158">
        <f t="shared" si="1"/>
        <v>13035</v>
      </c>
      <c r="Q8" s="158">
        <f t="shared" si="1"/>
        <v>167022</v>
      </c>
      <c r="R8" s="158">
        <f>SUM(R9,R21,R34,R40)</f>
        <v>0</v>
      </c>
      <c r="S8" s="158">
        <f>SUM(S9,S21,S34,S40)</f>
        <v>167022</v>
      </c>
    </row>
    <row r="9" spans="1:19" s="22" customFormat="1" ht="21.75" customHeight="1">
      <c r="A9" s="162"/>
      <c r="B9" s="163"/>
      <c r="C9" s="162">
        <v>4210</v>
      </c>
      <c r="D9" s="164" t="s">
        <v>96</v>
      </c>
      <c r="E9" s="165">
        <f aca="true" t="shared" si="2" ref="E9:Q9">SUM(E10:E20)</f>
        <v>31780</v>
      </c>
      <c r="F9" s="165">
        <f t="shared" si="2"/>
        <v>0</v>
      </c>
      <c r="G9" s="165">
        <f t="shared" si="2"/>
        <v>31780</v>
      </c>
      <c r="H9" s="165">
        <f t="shared" si="2"/>
        <v>0</v>
      </c>
      <c r="I9" s="165">
        <f t="shared" si="2"/>
        <v>31780</v>
      </c>
      <c r="J9" s="165">
        <f t="shared" si="2"/>
        <v>-3008</v>
      </c>
      <c r="K9" s="165">
        <f t="shared" si="2"/>
        <v>28772</v>
      </c>
      <c r="L9" s="165">
        <f t="shared" si="2"/>
        <v>-500</v>
      </c>
      <c r="M9" s="165">
        <f t="shared" si="2"/>
        <v>28272</v>
      </c>
      <c r="N9" s="165">
        <f t="shared" si="2"/>
        <v>-1200</v>
      </c>
      <c r="O9" s="165">
        <f t="shared" si="2"/>
        <v>27072</v>
      </c>
      <c r="P9" s="165">
        <f t="shared" si="2"/>
        <v>14985</v>
      </c>
      <c r="Q9" s="165">
        <f t="shared" si="2"/>
        <v>42057</v>
      </c>
      <c r="R9" s="165">
        <f>SUM(R10:R20)</f>
        <v>0</v>
      </c>
      <c r="S9" s="165">
        <f>SUM(S10:S20)</f>
        <v>42057</v>
      </c>
    </row>
    <row r="10" spans="1:19" s="22" customFormat="1" ht="21.75" customHeight="1">
      <c r="A10" s="166"/>
      <c r="B10" s="166"/>
      <c r="C10" s="162"/>
      <c r="D10" s="167" t="s">
        <v>426</v>
      </c>
      <c r="E10" s="168">
        <v>4000</v>
      </c>
      <c r="F10" s="168"/>
      <c r="G10" s="168">
        <f aca="true" t="shared" si="3" ref="G10:G20">SUM(E10:F10)</f>
        <v>4000</v>
      </c>
      <c r="H10" s="168"/>
      <c r="I10" s="168">
        <f aca="true" t="shared" si="4" ref="I10:I20">SUM(G10:H10)</f>
        <v>4000</v>
      </c>
      <c r="J10" s="168"/>
      <c r="K10" s="168">
        <f aca="true" t="shared" si="5" ref="K10:K20">SUM(I10:J10)</f>
        <v>4000</v>
      </c>
      <c r="L10" s="168"/>
      <c r="M10" s="168">
        <f aca="true" t="shared" si="6" ref="M10:M20">SUM(K10:L10)</f>
        <v>4000</v>
      </c>
      <c r="N10" s="168"/>
      <c r="O10" s="168">
        <f aca="true" t="shared" si="7" ref="O10:O20">SUM(M10:N10)</f>
        <v>4000</v>
      </c>
      <c r="P10" s="168"/>
      <c r="Q10" s="168">
        <f aca="true" t="shared" si="8" ref="Q10:Q20">SUM(O10:P10)</f>
        <v>4000</v>
      </c>
      <c r="R10" s="168"/>
      <c r="S10" s="168">
        <f aca="true" t="shared" si="9" ref="S10:S20">SUM(Q10:R10)</f>
        <v>4000</v>
      </c>
    </row>
    <row r="11" spans="1:19" s="22" customFormat="1" ht="21.75" customHeight="1">
      <c r="A11" s="166"/>
      <c r="B11" s="166"/>
      <c r="C11" s="162"/>
      <c r="D11" s="167" t="s">
        <v>427</v>
      </c>
      <c r="E11" s="168">
        <v>1200</v>
      </c>
      <c r="F11" s="168"/>
      <c r="G11" s="168">
        <f t="shared" si="3"/>
        <v>1200</v>
      </c>
      <c r="H11" s="168"/>
      <c r="I11" s="168">
        <f t="shared" si="4"/>
        <v>1200</v>
      </c>
      <c r="J11" s="168"/>
      <c r="K11" s="168">
        <f t="shared" si="5"/>
        <v>1200</v>
      </c>
      <c r="L11" s="168"/>
      <c r="M11" s="168">
        <f t="shared" si="6"/>
        <v>1200</v>
      </c>
      <c r="N11" s="168"/>
      <c r="O11" s="168">
        <f t="shared" si="7"/>
        <v>1200</v>
      </c>
      <c r="P11" s="168"/>
      <c r="Q11" s="168">
        <f t="shared" si="8"/>
        <v>1200</v>
      </c>
      <c r="R11" s="168"/>
      <c r="S11" s="168">
        <f t="shared" si="9"/>
        <v>1200</v>
      </c>
    </row>
    <row r="12" spans="1:19" s="22" customFormat="1" ht="21.75" customHeight="1">
      <c r="A12" s="166"/>
      <c r="B12" s="166"/>
      <c r="C12" s="162"/>
      <c r="D12" s="167" t="s">
        <v>428</v>
      </c>
      <c r="E12" s="168">
        <v>100</v>
      </c>
      <c r="F12" s="168"/>
      <c r="G12" s="168">
        <f t="shared" si="3"/>
        <v>100</v>
      </c>
      <c r="H12" s="168"/>
      <c r="I12" s="168">
        <f t="shared" si="4"/>
        <v>100</v>
      </c>
      <c r="J12" s="168"/>
      <c r="K12" s="168">
        <f t="shared" si="5"/>
        <v>100</v>
      </c>
      <c r="L12" s="168"/>
      <c r="M12" s="168">
        <f t="shared" si="6"/>
        <v>100</v>
      </c>
      <c r="N12" s="168"/>
      <c r="O12" s="168">
        <f t="shared" si="7"/>
        <v>100</v>
      </c>
      <c r="P12" s="168"/>
      <c r="Q12" s="168">
        <f t="shared" si="8"/>
        <v>100</v>
      </c>
      <c r="R12" s="168"/>
      <c r="S12" s="168">
        <f t="shared" si="9"/>
        <v>100</v>
      </c>
    </row>
    <row r="13" spans="1:19" s="22" customFormat="1" ht="21.75" customHeight="1">
      <c r="A13" s="166"/>
      <c r="B13" s="166"/>
      <c r="C13" s="162"/>
      <c r="D13" s="167" t="s">
        <v>429</v>
      </c>
      <c r="E13" s="168">
        <v>3900</v>
      </c>
      <c r="F13" s="168"/>
      <c r="G13" s="168">
        <f t="shared" si="3"/>
        <v>3900</v>
      </c>
      <c r="H13" s="168"/>
      <c r="I13" s="168">
        <f t="shared" si="4"/>
        <v>3900</v>
      </c>
      <c r="J13" s="168"/>
      <c r="K13" s="168">
        <f t="shared" si="5"/>
        <v>3900</v>
      </c>
      <c r="L13" s="168"/>
      <c r="M13" s="168">
        <f t="shared" si="6"/>
        <v>3900</v>
      </c>
      <c r="N13" s="168"/>
      <c r="O13" s="168">
        <f t="shared" si="7"/>
        <v>3900</v>
      </c>
      <c r="P13" s="168"/>
      <c r="Q13" s="168">
        <f t="shared" si="8"/>
        <v>3900</v>
      </c>
      <c r="R13" s="168"/>
      <c r="S13" s="168">
        <f t="shared" si="9"/>
        <v>3900</v>
      </c>
    </row>
    <row r="14" spans="1:19" s="22" customFormat="1" ht="21.75" customHeight="1">
      <c r="A14" s="166"/>
      <c r="B14" s="166"/>
      <c r="C14" s="162"/>
      <c r="D14" s="167" t="s">
        <v>430</v>
      </c>
      <c r="E14" s="168">
        <v>2000</v>
      </c>
      <c r="F14" s="168"/>
      <c r="G14" s="168">
        <f t="shared" si="3"/>
        <v>2000</v>
      </c>
      <c r="H14" s="168"/>
      <c r="I14" s="168">
        <f t="shared" si="4"/>
        <v>2000</v>
      </c>
      <c r="J14" s="168"/>
      <c r="K14" s="168">
        <f t="shared" si="5"/>
        <v>2000</v>
      </c>
      <c r="L14" s="168"/>
      <c r="M14" s="168">
        <f t="shared" si="6"/>
        <v>2000</v>
      </c>
      <c r="N14" s="168"/>
      <c r="O14" s="168">
        <f t="shared" si="7"/>
        <v>2000</v>
      </c>
      <c r="P14" s="168"/>
      <c r="Q14" s="168">
        <f t="shared" si="8"/>
        <v>2000</v>
      </c>
      <c r="R14" s="168"/>
      <c r="S14" s="168">
        <f t="shared" si="9"/>
        <v>2000</v>
      </c>
    </row>
    <row r="15" spans="1:19" s="22" customFormat="1" ht="21.75" customHeight="1">
      <c r="A15" s="166"/>
      <c r="B15" s="166"/>
      <c r="C15" s="162"/>
      <c r="D15" s="167" t="s">
        <v>431</v>
      </c>
      <c r="E15" s="168">
        <v>1500</v>
      </c>
      <c r="F15" s="168"/>
      <c r="G15" s="168">
        <f t="shared" si="3"/>
        <v>1500</v>
      </c>
      <c r="H15" s="168"/>
      <c r="I15" s="168">
        <f t="shared" si="4"/>
        <v>1500</v>
      </c>
      <c r="J15" s="168"/>
      <c r="K15" s="168">
        <f t="shared" si="5"/>
        <v>1500</v>
      </c>
      <c r="L15" s="168"/>
      <c r="M15" s="168">
        <f t="shared" si="6"/>
        <v>1500</v>
      </c>
      <c r="N15" s="168"/>
      <c r="O15" s="168">
        <f t="shared" si="7"/>
        <v>1500</v>
      </c>
      <c r="P15" s="168"/>
      <c r="Q15" s="168">
        <f t="shared" si="8"/>
        <v>1500</v>
      </c>
      <c r="R15" s="168"/>
      <c r="S15" s="168">
        <f t="shared" si="9"/>
        <v>1500</v>
      </c>
    </row>
    <row r="16" spans="1:19" s="22" customFormat="1" ht="21.75" customHeight="1">
      <c r="A16" s="166"/>
      <c r="B16" s="166"/>
      <c r="C16" s="162"/>
      <c r="D16" s="167" t="s">
        <v>432</v>
      </c>
      <c r="E16" s="168">
        <v>1000</v>
      </c>
      <c r="F16" s="168"/>
      <c r="G16" s="168">
        <f t="shared" si="3"/>
        <v>1000</v>
      </c>
      <c r="H16" s="168"/>
      <c r="I16" s="168">
        <f t="shared" si="4"/>
        <v>1000</v>
      </c>
      <c r="J16" s="168"/>
      <c r="K16" s="168">
        <f t="shared" si="5"/>
        <v>1000</v>
      </c>
      <c r="L16" s="168"/>
      <c r="M16" s="168">
        <f t="shared" si="6"/>
        <v>1000</v>
      </c>
      <c r="N16" s="168"/>
      <c r="O16" s="168">
        <f t="shared" si="7"/>
        <v>1000</v>
      </c>
      <c r="P16" s="168">
        <f>4985+10000</f>
        <v>14985</v>
      </c>
      <c r="Q16" s="168">
        <f t="shared" si="8"/>
        <v>15985</v>
      </c>
      <c r="R16" s="168"/>
      <c r="S16" s="168">
        <f t="shared" si="9"/>
        <v>15985</v>
      </c>
    </row>
    <row r="17" spans="1:19" s="22" customFormat="1" ht="21.75" customHeight="1">
      <c r="A17" s="166"/>
      <c r="B17" s="166"/>
      <c r="C17" s="162"/>
      <c r="D17" s="167" t="s">
        <v>433</v>
      </c>
      <c r="E17" s="168">
        <v>3950</v>
      </c>
      <c r="F17" s="168"/>
      <c r="G17" s="168">
        <f t="shared" si="3"/>
        <v>3950</v>
      </c>
      <c r="H17" s="168"/>
      <c r="I17" s="168">
        <f t="shared" si="4"/>
        <v>3950</v>
      </c>
      <c r="J17" s="168">
        <v>-2750</v>
      </c>
      <c r="K17" s="168">
        <f t="shared" si="5"/>
        <v>1200</v>
      </c>
      <c r="L17" s="168"/>
      <c r="M17" s="168">
        <f t="shared" si="6"/>
        <v>1200</v>
      </c>
      <c r="N17" s="168">
        <v>-1200</v>
      </c>
      <c r="O17" s="168">
        <f t="shared" si="7"/>
        <v>0</v>
      </c>
      <c r="P17" s="168"/>
      <c r="Q17" s="168">
        <f t="shared" si="8"/>
        <v>0</v>
      </c>
      <c r="R17" s="168"/>
      <c r="S17" s="168">
        <f t="shared" si="9"/>
        <v>0</v>
      </c>
    </row>
    <row r="18" spans="1:19" s="22" customFormat="1" ht="21.75" customHeight="1">
      <c r="A18" s="166"/>
      <c r="B18" s="166"/>
      <c r="C18" s="162"/>
      <c r="D18" s="167" t="s">
        <v>434</v>
      </c>
      <c r="E18" s="168">
        <v>10000</v>
      </c>
      <c r="F18" s="168"/>
      <c r="G18" s="168">
        <f t="shared" si="3"/>
        <v>10000</v>
      </c>
      <c r="H18" s="168"/>
      <c r="I18" s="168">
        <f t="shared" si="4"/>
        <v>10000</v>
      </c>
      <c r="J18" s="168">
        <v>-258</v>
      </c>
      <c r="K18" s="168">
        <f t="shared" si="5"/>
        <v>9742</v>
      </c>
      <c r="L18" s="168"/>
      <c r="M18" s="168">
        <f t="shared" si="6"/>
        <v>9742</v>
      </c>
      <c r="N18" s="168"/>
      <c r="O18" s="168">
        <f t="shared" si="7"/>
        <v>9742</v>
      </c>
      <c r="P18" s="168"/>
      <c r="Q18" s="168">
        <f t="shared" si="8"/>
        <v>9742</v>
      </c>
      <c r="R18" s="168"/>
      <c r="S18" s="168">
        <f t="shared" si="9"/>
        <v>9742</v>
      </c>
    </row>
    <row r="19" spans="1:19" s="22" customFormat="1" ht="21.75" customHeight="1">
      <c r="A19" s="166"/>
      <c r="B19" s="166"/>
      <c r="C19" s="162"/>
      <c r="D19" s="167" t="s">
        <v>435</v>
      </c>
      <c r="E19" s="168">
        <v>3330</v>
      </c>
      <c r="F19" s="168"/>
      <c r="G19" s="168">
        <f t="shared" si="3"/>
        <v>3330</v>
      </c>
      <c r="H19" s="168"/>
      <c r="I19" s="168">
        <f t="shared" si="4"/>
        <v>3330</v>
      </c>
      <c r="J19" s="168"/>
      <c r="K19" s="168">
        <f t="shared" si="5"/>
        <v>3330</v>
      </c>
      <c r="L19" s="168">
        <v>-500</v>
      </c>
      <c r="M19" s="168">
        <f t="shared" si="6"/>
        <v>2830</v>
      </c>
      <c r="N19" s="168"/>
      <c r="O19" s="168">
        <f t="shared" si="7"/>
        <v>2830</v>
      </c>
      <c r="P19" s="168"/>
      <c r="Q19" s="168">
        <f t="shared" si="8"/>
        <v>2830</v>
      </c>
      <c r="R19" s="168"/>
      <c r="S19" s="168">
        <f t="shared" si="9"/>
        <v>2830</v>
      </c>
    </row>
    <row r="20" spans="1:19" s="22" customFormat="1" ht="21.75" customHeight="1">
      <c r="A20" s="166"/>
      <c r="B20" s="166"/>
      <c r="C20" s="162"/>
      <c r="D20" s="167" t="s">
        <v>436</v>
      </c>
      <c r="E20" s="168">
        <v>800</v>
      </c>
      <c r="F20" s="168"/>
      <c r="G20" s="168">
        <f t="shared" si="3"/>
        <v>800</v>
      </c>
      <c r="H20" s="168"/>
      <c r="I20" s="168">
        <f t="shared" si="4"/>
        <v>800</v>
      </c>
      <c r="J20" s="168"/>
      <c r="K20" s="168">
        <f t="shared" si="5"/>
        <v>800</v>
      </c>
      <c r="L20" s="168"/>
      <c r="M20" s="168">
        <f t="shared" si="6"/>
        <v>800</v>
      </c>
      <c r="N20" s="168"/>
      <c r="O20" s="168">
        <f t="shared" si="7"/>
        <v>800</v>
      </c>
      <c r="P20" s="168"/>
      <c r="Q20" s="168">
        <f t="shared" si="8"/>
        <v>800</v>
      </c>
      <c r="R20" s="168"/>
      <c r="S20" s="168">
        <f t="shared" si="9"/>
        <v>800</v>
      </c>
    </row>
    <row r="21" spans="1:19" s="22" customFormat="1" ht="21.75" customHeight="1">
      <c r="A21" s="162"/>
      <c r="B21" s="163"/>
      <c r="C21" s="162">
        <v>4300</v>
      </c>
      <c r="D21" s="164" t="s">
        <v>103</v>
      </c>
      <c r="E21" s="165">
        <f aca="true" t="shared" si="10" ref="E21:Q21">SUM(E22:E33)</f>
        <v>51650</v>
      </c>
      <c r="F21" s="165">
        <f t="shared" si="10"/>
        <v>5550</v>
      </c>
      <c r="G21" s="165">
        <f t="shared" si="10"/>
        <v>57200</v>
      </c>
      <c r="H21" s="165">
        <f t="shared" si="10"/>
        <v>0</v>
      </c>
      <c r="I21" s="165">
        <f t="shared" si="10"/>
        <v>57200</v>
      </c>
      <c r="J21" s="165">
        <f t="shared" si="10"/>
        <v>-2500</v>
      </c>
      <c r="K21" s="165">
        <f t="shared" si="10"/>
        <v>54700</v>
      </c>
      <c r="L21" s="165">
        <f t="shared" si="10"/>
        <v>500</v>
      </c>
      <c r="M21" s="165">
        <f t="shared" si="10"/>
        <v>55200</v>
      </c>
      <c r="N21" s="165">
        <f t="shared" si="10"/>
        <v>2200</v>
      </c>
      <c r="O21" s="165">
        <f t="shared" si="10"/>
        <v>57400</v>
      </c>
      <c r="P21" s="165">
        <f t="shared" si="10"/>
        <v>-2450</v>
      </c>
      <c r="Q21" s="165">
        <f t="shared" si="10"/>
        <v>54950</v>
      </c>
      <c r="R21" s="165">
        <f>SUM(R22:R33)</f>
        <v>0</v>
      </c>
      <c r="S21" s="165">
        <f>SUM(S22:S33)</f>
        <v>54950</v>
      </c>
    </row>
    <row r="22" spans="1:19" s="22" customFormat="1" ht="21.75" customHeight="1">
      <c r="A22" s="166"/>
      <c r="B22" s="166"/>
      <c r="C22" s="166"/>
      <c r="D22" s="167" t="s">
        <v>437</v>
      </c>
      <c r="E22" s="168">
        <v>18500</v>
      </c>
      <c r="F22" s="168"/>
      <c r="G22" s="168">
        <f aca="true" t="shared" si="11" ref="G22:G27">SUM(E22:F22)</f>
        <v>18500</v>
      </c>
      <c r="H22" s="168"/>
      <c r="I22" s="168">
        <f aca="true" t="shared" si="12" ref="I22:I27">SUM(G22:H22)</f>
        <v>18500</v>
      </c>
      <c r="J22" s="168">
        <v>-2500</v>
      </c>
      <c r="K22" s="168">
        <f aca="true" t="shared" si="13" ref="K22:K27">SUM(I22:J22)</f>
        <v>16000</v>
      </c>
      <c r="L22" s="168"/>
      <c r="M22" s="168">
        <f aca="true" t="shared" si="14" ref="M22:M27">SUM(K22:L22)</f>
        <v>16000</v>
      </c>
      <c r="N22" s="168"/>
      <c r="O22" s="168">
        <f aca="true" t="shared" si="15" ref="O22:O27">SUM(M22:N22)</f>
        <v>16000</v>
      </c>
      <c r="P22" s="168"/>
      <c r="Q22" s="168">
        <f aca="true" t="shared" si="16" ref="Q22:Q33">SUM(O22:P22)</f>
        <v>16000</v>
      </c>
      <c r="R22" s="168"/>
      <c r="S22" s="168">
        <f aca="true" t="shared" si="17" ref="S22:S33">SUM(Q22:R22)</f>
        <v>16000</v>
      </c>
    </row>
    <row r="23" spans="1:19" s="22" customFormat="1" ht="21.75" customHeight="1">
      <c r="A23" s="166"/>
      <c r="B23" s="166"/>
      <c r="C23" s="166"/>
      <c r="D23" s="167" t="s">
        <v>438</v>
      </c>
      <c r="E23" s="168">
        <v>0</v>
      </c>
      <c r="F23" s="168">
        <v>9150</v>
      </c>
      <c r="G23" s="168">
        <f t="shared" si="11"/>
        <v>9150</v>
      </c>
      <c r="H23" s="168"/>
      <c r="I23" s="168">
        <f t="shared" si="12"/>
        <v>9150</v>
      </c>
      <c r="J23" s="168"/>
      <c r="K23" s="168">
        <f t="shared" si="13"/>
        <v>9150</v>
      </c>
      <c r="L23" s="168"/>
      <c r="M23" s="168">
        <f t="shared" si="14"/>
        <v>9150</v>
      </c>
      <c r="N23" s="168"/>
      <c r="O23" s="168">
        <f t="shared" si="15"/>
        <v>9150</v>
      </c>
      <c r="P23" s="168"/>
      <c r="Q23" s="168">
        <f t="shared" si="16"/>
        <v>9150</v>
      </c>
      <c r="R23" s="168"/>
      <c r="S23" s="168">
        <f t="shared" si="17"/>
        <v>9150</v>
      </c>
    </row>
    <row r="24" spans="1:19" s="102" customFormat="1" ht="21.75" customHeight="1">
      <c r="A24" s="169"/>
      <c r="B24" s="169"/>
      <c r="C24" s="169"/>
      <c r="D24" s="170" t="s">
        <v>427</v>
      </c>
      <c r="E24" s="168">
        <v>8800</v>
      </c>
      <c r="F24" s="168"/>
      <c r="G24" s="168">
        <f t="shared" si="11"/>
        <v>8800</v>
      </c>
      <c r="H24" s="168"/>
      <c r="I24" s="168">
        <f t="shared" si="12"/>
        <v>8800</v>
      </c>
      <c r="J24" s="168"/>
      <c r="K24" s="168">
        <f t="shared" si="13"/>
        <v>8800</v>
      </c>
      <c r="L24" s="168"/>
      <c r="M24" s="168">
        <f t="shared" si="14"/>
        <v>8800</v>
      </c>
      <c r="N24" s="168"/>
      <c r="O24" s="168">
        <f t="shared" si="15"/>
        <v>8800</v>
      </c>
      <c r="P24" s="168">
        <f>-800-2000-2000</f>
        <v>-4800</v>
      </c>
      <c r="Q24" s="168">
        <f t="shared" si="16"/>
        <v>4000</v>
      </c>
      <c r="R24" s="168"/>
      <c r="S24" s="168">
        <f t="shared" si="17"/>
        <v>4000</v>
      </c>
    </row>
    <row r="25" spans="1:19" s="102" customFormat="1" ht="21.75" customHeight="1">
      <c r="A25" s="169"/>
      <c r="B25" s="169"/>
      <c r="C25" s="169"/>
      <c r="D25" s="170" t="s">
        <v>439</v>
      </c>
      <c r="E25" s="168">
        <v>4650</v>
      </c>
      <c r="F25" s="168"/>
      <c r="G25" s="168">
        <f t="shared" si="11"/>
        <v>4650</v>
      </c>
      <c r="H25" s="168"/>
      <c r="I25" s="168">
        <f t="shared" si="12"/>
        <v>4650</v>
      </c>
      <c r="J25" s="168"/>
      <c r="K25" s="168">
        <f t="shared" si="13"/>
        <v>4650</v>
      </c>
      <c r="L25" s="168"/>
      <c r="M25" s="168">
        <f t="shared" si="14"/>
        <v>4650</v>
      </c>
      <c r="N25" s="168"/>
      <c r="O25" s="168">
        <f t="shared" si="15"/>
        <v>4650</v>
      </c>
      <c r="P25" s="168"/>
      <c r="Q25" s="168">
        <f t="shared" si="16"/>
        <v>4650</v>
      </c>
      <c r="R25" s="168"/>
      <c r="S25" s="168">
        <f t="shared" si="17"/>
        <v>4650</v>
      </c>
    </row>
    <row r="26" spans="1:19" s="102" customFormat="1" ht="21.75" customHeight="1">
      <c r="A26" s="169"/>
      <c r="B26" s="169"/>
      <c r="C26" s="169"/>
      <c r="D26" s="170" t="s">
        <v>428</v>
      </c>
      <c r="E26" s="168">
        <v>1000</v>
      </c>
      <c r="F26" s="168"/>
      <c r="G26" s="168">
        <f t="shared" si="11"/>
        <v>1000</v>
      </c>
      <c r="H26" s="168"/>
      <c r="I26" s="168">
        <f t="shared" si="12"/>
        <v>1000</v>
      </c>
      <c r="J26" s="168"/>
      <c r="K26" s="168">
        <f t="shared" si="13"/>
        <v>1000</v>
      </c>
      <c r="L26" s="168"/>
      <c r="M26" s="168">
        <f t="shared" si="14"/>
        <v>1000</v>
      </c>
      <c r="N26" s="168">
        <v>2200</v>
      </c>
      <c r="O26" s="168">
        <f t="shared" si="15"/>
        <v>3200</v>
      </c>
      <c r="P26" s="168"/>
      <c r="Q26" s="168">
        <f t="shared" si="16"/>
        <v>3200</v>
      </c>
      <c r="R26" s="168"/>
      <c r="S26" s="168">
        <f t="shared" si="17"/>
        <v>3200</v>
      </c>
    </row>
    <row r="27" spans="1:19" s="102" customFormat="1" ht="21.75" customHeight="1">
      <c r="A27" s="169"/>
      <c r="B27" s="169"/>
      <c r="C27" s="169"/>
      <c r="D27" s="170" t="s">
        <v>430</v>
      </c>
      <c r="E27" s="168">
        <v>1500</v>
      </c>
      <c r="F27" s="168"/>
      <c r="G27" s="168">
        <f t="shared" si="11"/>
        <v>1500</v>
      </c>
      <c r="H27" s="168"/>
      <c r="I27" s="168">
        <f t="shared" si="12"/>
        <v>1500</v>
      </c>
      <c r="J27" s="168"/>
      <c r="K27" s="168">
        <f t="shared" si="13"/>
        <v>1500</v>
      </c>
      <c r="L27" s="168"/>
      <c r="M27" s="168">
        <f t="shared" si="14"/>
        <v>1500</v>
      </c>
      <c r="N27" s="168"/>
      <c r="O27" s="168">
        <f t="shared" si="15"/>
        <v>1500</v>
      </c>
      <c r="P27" s="168"/>
      <c r="Q27" s="168">
        <f t="shared" si="16"/>
        <v>1500</v>
      </c>
      <c r="R27" s="168"/>
      <c r="S27" s="168">
        <f t="shared" si="17"/>
        <v>1500</v>
      </c>
    </row>
    <row r="28" spans="1:19" s="102" customFormat="1" ht="21.75" customHeight="1">
      <c r="A28" s="169"/>
      <c r="B28" s="169"/>
      <c r="C28" s="169"/>
      <c r="D28" s="170" t="s">
        <v>440</v>
      </c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>
        <v>0</v>
      </c>
      <c r="P28" s="168">
        <v>1500</v>
      </c>
      <c r="Q28" s="168">
        <f t="shared" si="16"/>
        <v>1500</v>
      </c>
      <c r="R28" s="168"/>
      <c r="S28" s="168">
        <f t="shared" si="17"/>
        <v>1500</v>
      </c>
    </row>
    <row r="29" spans="1:19" s="102" customFormat="1" ht="21.75" customHeight="1">
      <c r="A29" s="169"/>
      <c r="B29" s="169"/>
      <c r="C29" s="169"/>
      <c r="D29" s="170" t="s">
        <v>434</v>
      </c>
      <c r="E29" s="168">
        <v>7000</v>
      </c>
      <c r="F29" s="168"/>
      <c r="G29" s="168">
        <f>SUM(E29:F29)</f>
        <v>7000</v>
      </c>
      <c r="H29" s="168"/>
      <c r="I29" s="168">
        <f>SUM(G29:H29)</f>
        <v>7000</v>
      </c>
      <c r="J29" s="168"/>
      <c r="K29" s="168">
        <f>SUM(I29:J29)</f>
        <v>7000</v>
      </c>
      <c r="L29" s="168"/>
      <c r="M29" s="168">
        <f>SUM(K29:L29)</f>
        <v>7000</v>
      </c>
      <c r="N29" s="168"/>
      <c r="O29" s="168">
        <f>SUM(M29:N29)</f>
        <v>7000</v>
      </c>
      <c r="P29" s="168"/>
      <c r="Q29" s="168">
        <f t="shared" si="16"/>
        <v>7000</v>
      </c>
      <c r="R29" s="168"/>
      <c r="S29" s="168">
        <f t="shared" si="17"/>
        <v>7000</v>
      </c>
    </row>
    <row r="30" spans="1:19" s="102" customFormat="1" ht="21.75" customHeight="1">
      <c r="A30" s="169"/>
      <c r="B30" s="169"/>
      <c r="C30" s="169"/>
      <c r="D30" s="170" t="s">
        <v>435</v>
      </c>
      <c r="E30" s="168">
        <v>300</v>
      </c>
      <c r="F30" s="168"/>
      <c r="G30" s="168">
        <f>SUM(E30:F30)</f>
        <v>300</v>
      </c>
      <c r="H30" s="168"/>
      <c r="I30" s="168">
        <f>SUM(G30:H30)</f>
        <v>300</v>
      </c>
      <c r="J30" s="168"/>
      <c r="K30" s="168">
        <f>SUM(I30:J30)</f>
        <v>300</v>
      </c>
      <c r="L30" s="168">
        <v>500</v>
      </c>
      <c r="M30" s="168">
        <f>SUM(K30:L30)</f>
        <v>800</v>
      </c>
      <c r="N30" s="168"/>
      <c r="O30" s="168">
        <f>SUM(M30:N30)</f>
        <v>800</v>
      </c>
      <c r="P30" s="168">
        <f>-300+600+550</f>
        <v>850</v>
      </c>
      <c r="Q30" s="168">
        <f t="shared" si="16"/>
        <v>1650</v>
      </c>
      <c r="R30" s="168"/>
      <c r="S30" s="168">
        <f t="shared" si="17"/>
        <v>1650</v>
      </c>
    </row>
    <row r="31" spans="1:19" s="102" customFormat="1" ht="21.75" customHeight="1">
      <c r="A31" s="169"/>
      <c r="B31" s="169"/>
      <c r="C31" s="169"/>
      <c r="D31" s="170" t="s">
        <v>441</v>
      </c>
      <c r="E31" s="168">
        <v>5100</v>
      </c>
      <c r="F31" s="168">
        <v>-3600</v>
      </c>
      <c r="G31" s="168">
        <f>SUM(E31:F31)</f>
        <v>1500</v>
      </c>
      <c r="H31" s="168"/>
      <c r="I31" s="168">
        <f>SUM(G31:H31)</f>
        <v>1500</v>
      </c>
      <c r="J31" s="168"/>
      <c r="K31" s="168">
        <f>SUM(I31:J31)</f>
        <v>1500</v>
      </c>
      <c r="L31" s="168"/>
      <c r="M31" s="168">
        <f>SUM(K31:L31)</f>
        <v>1500</v>
      </c>
      <c r="N31" s="168"/>
      <c r="O31" s="168">
        <f>SUM(M31:N31)</f>
        <v>1500</v>
      </c>
      <c r="P31" s="168"/>
      <c r="Q31" s="168">
        <f t="shared" si="16"/>
        <v>1500</v>
      </c>
      <c r="R31" s="168"/>
      <c r="S31" s="168">
        <f t="shared" si="17"/>
        <v>1500</v>
      </c>
    </row>
    <row r="32" spans="1:19" s="102" customFormat="1" ht="21.75" customHeight="1">
      <c r="A32" s="169"/>
      <c r="B32" s="169"/>
      <c r="C32" s="169"/>
      <c r="D32" s="170" t="s">
        <v>442</v>
      </c>
      <c r="E32" s="168">
        <v>1000</v>
      </c>
      <c r="F32" s="168"/>
      <c r="G32" s="168">
        <f>SUM(E32:F32)</f>
        <v>1000</v>
      </c>
      <c r="H32" s="168"/>
      <c r="I32" s="168">
        <f>SUM(G32:H32)</f>
        <v>1000</v>
      </c>
      <c r="J32" s="168"/>
      <c r="K32" s="168">
        <f>SUM(I32:J32)</f>
        <v>1000</v>
      </c>
      <c r="L32" s="168"/>
      <c r="M32" s="168">
        <f>SUM(K32:L32)</f>
        <v>1000</v>
      </c>
      <c r="N32" s="168"/>
      <c r="O32" s="168">
        <f>SUM(M32:N32)</f>
        <v>1000</v>
      </c>
      <c r="P32" s="168"/>
      <c r="Q32" s="168">
        <f t="shared" si="16"/>
        <v>1000</v>
      </c>
      <c r="R32" s="168"/>
      <c r="S32" s="168">
        <f t="shared" si="17"/>
        <v>1000</v>
      </c>
    </row>
    <row r="33" spans="1:19" s="22" customFormat="1" ht="21.75" customHeight="1">
      <c r="A33" s="166"/>
      <c r="B33" s="166"/>
      <c r="C33" s="166"/>
      <c r="D33" s="167" t="s">
        <v>436</v>
      </c>
      <c r="E33" s="168">
        <v>3800</v>
      </c>
      <c r="F33" s="168"/>
      <c r="G33" s="168">
        <f>SUM(E33:F33)</f>
        <v>3800</v>
      </c>
      <c r="H33" s="168"/>
      <c r="I33" s="168">
        <f>SUM(G33:H33)</f>
        <v>3800</v>
      </c>
      <c r="J33" s="168"/>
      <c r="K33" s="168">
        <f>SUM(I33:J33)</f>
        <v>3800</v>
      </c>
      <c r="L33" s="168"/>
      <c r="M33" s="168">
        <f>SUM(K33:L33)</f>
        <v>3800</v>
      </c>
      <c r="N33" s="168"/>
      <c r="O33" s="168">
        <f>SUM(M33:N33)</f>
        <v>3800</v>
      </c>
      <c r="P33" s="168"/>
      <c r="Q33" s="168">
        <f t="shared" si="16"/>
        <v>3800</v>
      </c>
      <c r="R33" s="168"/>
      <c r="S33" s="168">
        <f t="shared" si="17"/>
        <v>3800</v>
      </c>
    </row>
    <row r="34" spans="1:19" s="22" customFormat="1" ht="21.75" customHeight="1">
      <c r="A34" s="162"/>
      <c r="B34" s="163"/>
      <c r="C34" s="162">
        <v>6050</v>
      </c>
      <c r="D34" s="164" t="s">
        <v>97</v>
      </c>
      <c r="E34" s="165">
        <f aca="true" t="shared" si="18" ref="E34:Q34">SUM(E35:E39)</f>
        <v>66270</v>
      </c>
      <c r="F34" s="165">
        <f t="shared" si="18"/>
        <v>-9150</v>
      </c>
      <c r="G34" s="165">
        <f t="shared" si="18"/>
        <v>57120</v>
      </c>
      <c r="H34" s="165">
        <f t="shared" si="18"/>
        <v>0</v>
      </c>
      <c r="I34" s="165">
        <f t="shared" si="18"/>
        <v>57120</v>
      </c>
      <c r="J34" s="165">
        <f t="shared" si="18"/>
        <v>3000</v>
      </c>
      <c r="K34" s="165">
        <f t="shared" si="18"/>
        <v>60120</v>
      </c>
      <c r="L34" s="165">
        <f t="shared" si="18"/>
        <v>0</v>
      </c>
      <c r="M34" s="165">
        <f t="shared" si="18"/>
        <v>60120</v>
      </c>
      <c r="N34" s="165">
        <f t="shared" si="18"/>
        <v>3795</v>
      </c>
      <c r="O34" s="165">
        <f t="shared" si="18"/>
        <v>63915</v>
      </c>
      <c r="P34" s="165">
        <f t="shared" si="18"/>
        <v>500</v>
      </c>
      <c r="Q34" s="165">
        <f t="shared" si="18"/>
        <v>64415</v>
      </c>
      <c r="R34" s="165">
        <f>SUM(R35:R39)</f>
        <v>0</v>
      </c>
      <c r="S34" s="165">
        <f>SUM(S35:S39)</f>
        <v>64415</v>
      </c>
    </row>
    <row r="35" spans="1:19" s="22" customFormat="1" ht="21.75" customHeight="1">
      <c r="A35" s="166"/>
      <c r="B35" s="166"/>
      <c r="C35" s="166"/>
      <c r="D35" s="167" t="s">
        <v>437</v>
      </c>
      <c r="E35" s="168">
        <v>26980</v>
      </c>
      <c r="F35" s="168"/>
      <c r="G35" s="168">
        <f>SUM(E35:F35)</f>
        <v>26980</v>
      </c>
      <c r="H35" s="168"/>
      <c r="I35" s="168">
        <f>SUM(G35:H35)</f>
        <v>26980</v>
      </c>
      <c r="J35" s="168">
        <v>3000</v>
      </c>
      <c r="K35" s="168">
        <f>SUM(I35:J35)</f>
        <v>29980</v>
      </c>
      <c r="L35" s="168"/>
      <c r="M35" s="168">
        <f>SUM(K35:L35)</f>
        <v>29980</v>
      </c>
      <c r="N35" s="168"/>
      <c r="O35" s="168">
        <f>SUM(M35:N35)</f>
        <v>29980</v>
      </c>
      <c r="P35" s="168"/>
      <c r="Q35" s="168">
        <f>SUM(O35:P35)</f>
        <v>29980</v>
      </c>
      <c r="R35" s="168"/>
      <c r="S35" s="168">
        <f>SUM(Q35:R35)</f>
        <v>29980</v>
      </c>
    </row>
    <row r="36" spans="1:19" s="22" customFormat="1" ht="21.75" customHeight="1">
      <c r="A36" s="166"/>
      <c r="B36" s="166"/>
      <c r="C36" s="166"/>
      <c r="D36" s="167" t="s">
        <v>438</v>
      </c>
      <c r="E36" s="168">
        <v>9150</v>
      </c>
      <c r="F36" s="168">
        <v>-9150</v>
      </c>
      <c r="G36" s="168">
        <f>SUM(E36:F36)</f>
        <v>0</v>
      </c>
      <c r="H36" s="168"/>
      <c r="I36" s="168">
        <f>SUM(G36:H36)</f>
        <v>0</v>
      </c>
      <c r="J36" s="168"/>
      <c r="K36" s="168">
        <f>SUM(I36:J36)</f>
        <v>0</v>
      </c>
      <c r="L36" s="168"/>
      <c r="M36" s="168">
        <f>SUM(K36:L36)</f>
        <v>0</v>
      </c>
      <c r="N36" s="168"/>
      <c r="O36" s="168">
        <f>SUM(M36:N36)</f>
        <v>0</v>
      </c>
      <c r="P36" s="168"/>
      <c r="Q36" s="168">
        <f>SUM(O36:P36)</f>
        <v>0</v>
      </c>
      <c r="R36" s="168"/>
      <c r="S36" s="168">
        <f>SUM(Q36:R36)</f>
        <v>0</v>
      </c>
    </row>
    <row r="37" spans="1:19" s="22" customFormat="1" ht="21.75" customHeight="1">
      <c r="A37" s="166"/>
      <c r="B37" s="166"/>
      <c r="C37" s="166"/>
      <c r="D37" s="167" t="s">
        <v>428</v>
      </c>
      <c r="E37" s="168">
        <v>9000</v>
      </c>
      <c r="F37" s="168"/>
      <c r="G37" s="168">
        <f>SUM(E37:F37)</f>
        <v>9000</v>
      </c>
      <c r="H37" s="168"/>
      <c r="I37" s="168">
        <f>SUM(G37:H37)</f>
        <v>9000</v>
      </c>
      <c r="J37" s="168"/>
      <c r="K37" s="168">
        <f>SUM(I37:J37)</f>
        <v>9000</v>
      </c>
      <c r="L37" s="168"/>
      <c r="M37" s="168">
        <f>SUM(K37:L37)</f>
        <v>9000</v>
      </c>
      <c r="N37" s="168">
        <v>3795</v>
      </c>
      <c r="O37" s="168">
        <f>SUM(M37:N37)</f>
        <v>12795</v>
      </c>
      <c r="P37" s="168">
        <v>500</v>
      </c>
      <c r="Q37" s="168">
        <f>SUM(O37:P37)</f>
        <v>13295</v>
      </c>
      <c r="R37" s="168"/>
      <c r="S37" s="168">
        <f>SUM(Q37:R37)</f>
        <v>13295</v>
      </c>
    </row>
    <row r="38" spans="1:19" s="22" customFormat="1" ht="21.75" customHeight="1">
      <c r="A38" s="166"/>
      <c r="B38" s="166"/>
      <c r="C38" s="166"/>
      <c r="D38" s="167" t="s">
        <v>440</v>
      </c>
      <c r="E38" s="168">
        <v>7640</v>
      </c>
      <c r="F38" s="168"/>
      <c r="G38" s="168">
        <f>SUM(E38:F38)</f>
        <v>7640</v>
      </c>
      <c r="H38" s="168"/>
      <c r="I38" s="168">
        <f>SUM(G38:H38)</f>
        <v>7640</v>
      </c>
      <c r="J38" s="168"/>
      <c r="K38" s="168">
        <f>SUM(I38:J38)</f>
        <v>7640</v>
      </c>
      <c r="L38" s="168"/>
      <c r="M38" s="168">
        <f>SUM(K38:L38)</f>
        <v>7640</v>
      </c>
      <c r="N38" s="168"/>
      <c r="O38" s="168">
        <f>SUM(M38:N38)</f>
        <v>7640</v>
      </c>
      <c r="P38" s="168"/>
      <c r="Q38" s="168">
        <f>SUM(O38:P38)</f>
        <v>7640</v>
      </c>
      <c r="R38" s="168"/>
      <c r="S38" s="168">
        <f>SUM(Q38:R38)</f>
        <v>7640</v>
      </c>
    </row>
    <row r="39" spans="1:19" s="22" customFormat="1" ht="21.75" customHeight="1">
      <c r="A39" s="166"/>
      <c r="B39" s="166"/>
      <c r="C39" s="166"/>
      <c r="D39" s="167" t="s">
        <v>434</v>
      </c>
      <c r="E39" s="168">
        <v>13500</v>
      </c>
      <c r="F39" s="168"/>
      <c r="G39" s="168">
        <f>SUM(E39:F39)</f>
        <v>13500</v>
      </c>
      <c r="H39" s="168"/>
      <c r="I39" s="168">
        <f>SUM(G39:H39)</f>
        <v>13500</v>
      </c>
      <c r="J39" s="168"/>
      <c r="K39" s="168">
        <f>SUM(I39:J39)</f>
        <v>13500</v>
      </c>
      <c r="L39" s="168"/>
      <c r="M39" s="168">
        <f>SUM(K39:L39)</f>
        <v>13500</v>
      </c>
      <c r="N39" s="168"/>
      <c r="O39" s="168">
        <f>SUM(M39:N39)</f>
        <v>13500</v>
      </c>
      <c r="P39" s="168"/>
      <c r="Q39" s="168">
        <f>SUM(O39:P39)</f>
        <v>13500</v>
      </c>
      <c r="R39" s="168"/>
      <c r="S39" s="168">
        <f>SUM(Q39:R39)</f>
        <v>13500</v>
      </c>
    </row>
    <row r="40" spans="1:19" s="22" customFormat="1" ht="21.75" customHeight="1">
      <c r="A40" s="162"/>
      <c r="B40" s="163"/>
      <c r="C40" s="162">
        <v>6060</v>
      </c>
      <c r="D40" s="164" t="s">
        <v>120</v>
      </c>
      <c r="E40" s="165">
        <f aca="true" t="shared" si="19" ref="E40:S40">SUM(E41:E41)</f>
        <v>5600</v>
      </c>
      <c r="F40" s="165">
        <f t="shared" si="19"/>
        <v>0</v>
      </c>
      <c r="G40" s="165">
        <f t="shared" si="19"/>
        <v>5600</v>
      </c>
      <c r="H40" s="165">
        <f t="shared" si="19"/>
        <v>0</v>
      </c>
      <c r="I40" s="165">
        <f t="shared" si="19"/>
        <v>5600</v>
      </c>
      <c r="J40" s="165">
        <f t="shared" si="19"/>
        <v>0</v>
      </c>
      <c r="K40" s="165">
        <f t="shared" si="19"/>
        <v>5600</v>
      </c>
      <c r="L40" s="165">
        <f t="shared" si="19"/>
        <v>0</v>
      </c>
      <c r="M40" s="165">
        <f t="shared" si="19"/>
        <v>5600</v>
      </c>
      <c r="N40" s="165">
        <f t="shared" si="19"/>
        <v>0</v>
      </c>
      <c r="O40" s="165">
        <f t="shared" si="19"/>
        <v>5600</v>
      </c>
      <c r="P40" s="165">
        <f t="shared" si="19"/>
        <v>0</v>
      </c>
      <c r="Q40" s="165">
        <f t="shared" si="19"/>
        <v>5600</v>
      </c>
      <c r="R40" s="165">
        <f t="shared" si="19"/>
        <v>0</v>
      </c>
      <c r="S40" s="165">
        <f t="shared" si="19"/>
        <v>5600</v>
      </c>
    </row>
    <row r="41" spans="1:19" s="22" customFormat="1" ht="21.75" customHeight="1">
      <c r="A41" s="166"/>
      <c r="B41" s="166"/>
      <c r="C41" s="162"/>
      <c r="D41" s="167" t="s">
        <v>443</v>
      </c>
      <c r="E41" s="168">
        <v>5600</v>
      </c>
      <c r="F41" s="168"/>
      <c r="G41" s="168">
        <f>SUM(E41:F41)</f>
        <v>5600</v>
      </c>
      <c r="H41" s="168"/>
      <c r="I41" s="168">
        <f>SUM(G41:H41)</f>
        <v>5600</v>
      </c>
      <c r="J41" s="168"/>
      <c r="K41" s="168">
        <f>SUM(I41:J41)</f>
        <v>5600</v>
      </c>
      <c r="L41" s="168"/>
      <c r="M41" s="168">
        <f>SUM(K41:L41)</f>
        <v>5600</v>
      </c>
      <c r="N41" s="168"/>
      <c r="O41" s="168">
        <f>SUM(M41:N41)</f>
        <v>5600</v>
      </c>
      <c r="P41" s="168"/>
      <c r="Q41" s="168">
        <f>SUM(O41:P41)</f>
        <v>5600</v>
      </c>
      <c r="R41" s="168"/>
      <c r="S41" s="168">
        <f>SUM(Q41:R41)</f>
        <v>5600</v>
      </c>
    </row>
    <row r="42" spans="1:19" s="6" customFormat="1" ht="19.5" customHeight="1">
      <c r="A42" s="155">
        <v>700</v>
      </c>
      <c r="B42" s="156"/>
      <c r="C42" s="156"/>
      <c r="D42" s="157" t="s">
        <v>20</v>
      </c>
      <c r="E42" s="158">
        <f aca="true" t="shared" si="20" ref="E42:S42">SUM(E43)</f>
        <v>460</v>
      </c>
      <c r="F42" s="158">
        <f t="shared" si="20"/>
        <v>0</v>
      </c>
      <c r="G42" s="158">
        <f t="shared" si="20"/>
        <v>460</v>
      </c>
      <c r="H42" s="158">
        <f t="shared" si="20"/>
        <v>0</v>
      </c>
      <c r="I42" s="158">
        <f t="shared" si="20"/>
        <v>460</v>
      </c>
      <c r="J42" s="158">
        <f t="shared" si="20"/>
        <v>0</v>
      </c>
      <c r="K42" s="158">
        <f t="shared" si="20"/>
        <v>460</v>
      </c>
      <c r="L42" s="158">
        <f t="shared" si="20"/>
        <v>0</v>
      </c>
      <c r="M42" s="158">
        <f t="shared" si="20"/>
        <v>460</v>
      </c>
      <c r="N42" s="158">
        <f t="shared" si="20"/>
        <v>1500</v>
      </c>
      <c r="O42" s="158">
        <f t="shared" si="20"/>
        <v>1960</v>
      </c>
      <c r="P42" s="158">
        <f t="shared" si="20"/>
        <v>5</v>
      </c>
      <c r="Q42" s="158">
        <f t="shared" si="20"/>
        <v>1965</v>
      </c>
      <c r="R42" s="158">
        <f t="shared" si="20"/>
        <v>0</v>
      </c>
      <c r="S42" s="158">
        <f t="shared" si="20"/>
        <v>1965</v>
      </c>
    </row>
    <row r="43" spans="1:19" s="6" customFormat="1" ht="21" customHeight="1">
      <c r="A43" s="160"/>
      <c r="B43" s="159">
        <v>70095</v>
      </c>
      <c r="C43" s="160"/>
      <c r="D43" s="161" t="s">
        <v>17</v>
      </c>
      <c r="E43" s="158">
        <f aca="true" t="shared" si="21" ref="E43:L43">SUM(E44,E48)</f>
        <v>460</v>
      </c>
      <c r="F43" s="158">
        <f t="shared" si="21"/>
        <v>0</v>
      </c>
      <c r="G43" s="158">
        <f t="shared" si="21"/>
        <v>460</v>
      </c>
      <c r="H43" s="158">
        <f t="shared" si="21"/>
        <v>0</v>
      </c>
      <c r="I43" s="158">
        <f t="shared" si="21"/>
        <v>460</v>
      </c>
      <c r="J43" s="158">
        <f t="shared" si="21"/>
        <v>0</v>
      </c>
      <c r="K43" s="158">
        <f t="shared" si="21"/>
        <v>460</v>
      </c>
      <c r="L43" s="158">
        <f t="shared" si="21"/>
        <v>0</v>
      </c>
      <c r="M43" s="158">
        <f aca="true" t="shared" si="22" ref="M43:S43">SUM(M44,M48,M46)</f>
        <v>460</v>
      </c>
      <c r="N43" s="158">
        <f t="shared" si="22"/>
        <v>1500</v>
      </c>
      <c r="O43" s="158">
        <f t="shared" si="22"/>
        <v>1960</v>
      </c>
      <c r="P43" s="158">
        <f t="shared" si="22"/>
        <v>5</v>
      </c>
      <c r="Q43" s="158">
        <f t="shared" si="22"/>
        <v>1965</v>
      </c>
      <c r="R43" s="158">
        <f t="shared" si="22"/>
        <v>0</v>
      </c>
      <c r="S43" s="158">
        <f t="shared" si="22"/>
        <v>1965</v>
      </c>
    </row>
    <row r="44" spans="1:19" s="22" customFormat="1" ht="21.75" customHeight="1">
      <c r="A44" s="163"/>
      <c r="B44" s="162"/>
      <c r="C44" s="162">
        <v>4260</v>
      </c>
      <c r="D44" s="164" t="s">
        <v>119</v>
      </c>
      <c r="E44" s="165">
        <f aca="true" t="shared" si="23" ref="E44:S44">SUM(E45)</f>
        <v>400</v>
      </c>
      <c r="F44" s="165">
        <f t="shared" si="23"/>
        <v>0</v>
      </c>
      <c r="G44" s="165">
        <f t="shared" si="23"/>
        <v>400</v>
      </c>
      <c r="H44" s="165">
        <f t="shared" si="23"/>
        <v>0</v>
      </c>
      <c r="I44" s="165">
        <f t="shared" si="23"/>
        <v>400</v>
      </c>
      <c r="J44" s="165">
        <f t="shared" si="23"/>
        <v>0</v>
      </c>
      <c r="K44" s="165">
        <f t="shared" si="23"/>
        <v>400</v>
      </c>
      <c r="L44" s="165">
        <f t="shared" si="23"/>
        <v>-5</v>
      </c>
      <c r="M44" s="165">
        <f t="shared" si="23"/>
        <v>395</v>
      </c>
      <c r="N44" s="165">
        <f t="shared" si="23"/>
        <v>0</v>
      </c>
      <c r="O44" s="165">
        <f t="shared" si="23"/>
        <v>395</v>
      </c>
      <c r="P44" s="165">
        <f t="shared" si="23"/>
        <v>5</v>
      </c>
      <c r="Q44" s="165">
        <f t="shared" si="23"/>
        <v>400</v>
      </c>
      <c r="R44" s="165">
        <f t="shared" si="23"/>
        <v>0</v>
      </c>
      <c r="S44" s="165">
        <f t="shared" si="23"/>
        <v>400</v>
      </c>
    </row>
    <row r="45" spans="1:19" s="22" customFormat="1" ht="21.75" customHeight="1">
      <c r="A45" s="166"/>
      <c r="B45" s="166"/>
      <c r="C45" s="166"/>
      <c r="D45" s="167" t="s">
        <v>441</v>
      </c>
      <c r="E45" s="168">
        <v>400</v>
      </c>
      <c r="F45" s="168"/>
      <c r="G45" s="168">
        <f>SUM(E45:F45)</f>
        <v>400</v>
      </c>
      <c r="H45" s="168"/>
      <c r="I45" s="168">
        <f>SUM(G45:H45)</f>
        <v>400</v>
      </c>
      <c r="J45" s="168"/>
      <c r="K45" s="168">
        <f>SUM(I45:J45)</f>
        <v>400</v>
      </c>
      <c r="L45" s="168">
        <v>-5</v>
      </c>
      <c r="M45" s="168">
        <f>SUM(K45:L45)</f>
        <v>395</v>
      </c>
      <c r="N45" s="168"/>
      <c r="O45" s="168">
        <f>SUM(M45:N45)</f>
        <v>395</v>
      </c>
      <c r="P45" s="168">
        <v>5</v>
      </c>
      <c r="Q45" s="168">
        <f>SUM(O45:P45)</f>
        <v>400</v>
      </c>
      <c r="R45" s="168"/>
      <c r="S45" s="168">
        <f>SUM(Q45:R45)</f>
        <v>400</v>
      </c>
    </row>
    <row r="46" spans="1:19" s="22" customFormat="1" ht="21.75" customHeight="1">
      <c r="A46" s="171"/>
      <c r="B46" s="171"/>
      <c r="C46" s="171">
        <v>4270</v>
      </c>
      <c r="D46" s="164" t="s">
        <v>102</v>
      </c>
      <c r="E46" s="165"/>
      <c r="F46" s="165"/>
      <c r="G46" s="165"/>
      <c r="H46" s="165"/>
      <c r="I46" s="165"/>
      <c r="J46" s="165"/>
      <c r="K46" s="165"/>
      <c r="L46" s="165"/>
      <c r="M46" s="165">
        <f aca="true" t="shared" si="24" ref="M46:S46">SUM(M47)</f>
        <v>0</v>
      </c>
      <c r="N46" s="165">
        <f t="shared" si="24"/>
        <v>1500</v>
      </c>
      <c r="O46" s="165">
        <f t="shared" si="24"/>
        <v>1500</v>
      </c>
      <c r="P46" s="165">
        <f t="shared" si="24"/>
        <v>0</v>
      </c>
      <c r="Q46" s="165">
        <f t="shared" si="24"/>
        <v>1500</v>
      </c>
      <c r="R46" s="165">
        <f t="shared" si="24"/>
        <v>0</v>
      </c>
      <c r="S46" s="165">
        <f t="shared" si="24"/>
        <v>1500</v>
      </c>
    </row>
    <row r="47" spans="1:19" s="22" customFormat="1" ht="21.75" customHeight="1">
      <c r="A47" s="166"/>
      <c r="B47" s="166"/>
      <c r="C47" s="166"/>
      <c r="D47" s="167" t="s">
        <v>441</v>
      </c>
      <c r="E47" s="168"/>
      <c r="F47" s="168"/>
      <c r="G47" s="168"/>
      <c r="H47" s="168"/>
      <c r="I47" s="168"/>
      <c r="J47" s="168"/>
      <c r="K47" s="168"/>
      <c r="L47" s="168"/>
      <c r="M47" s="168">
        <v>0</v>
      </c>
      <c r="N47" s="168">
        <v>1500</v>
      </c>
      <c r="O47" s="168">
        <f>SUM(M47:N47)</f>
        <v>1500</v>
      </c>
      <c r="P47" s="168"/>
      <c r="Q47" s="168">
        <f>SUM(O47:P47)</f>
        <v>1500</v>
      </c>
      <c r="R47" s="168"/>
      <c r="S47" s="168">
        <f>SUM(Q47:R47)</f>
        <v>1500</v>
      </c>
    </row>
    <row r="48" spans="1:19" s="22" customFormat="1" ht="21.75" customHeight="1">
      <c r="A48" s="171"/>
      <c r="B48" s="171"/>
      <c r="C48" s="162">
        <v>4300</v>
      </c>
      <c r="D48" s="164" t="s">
        <v>103</v>
      </c>
      <c r="E48" s="165">
        <f aca="true" t="shared" si="25" ref="E48:S48">SUM(E49)</f>
        <v>60</v>
      </c>
      <c r="F48" s="165">
        <f t="shared" si="25"/>
        <v>0</v>
      </c>
      <c r="G48" s="165">
        <f t="shared" si="25"/>
        <v>60</v>
      </c>
      <c r="H48" s="165">
        <f t="shared" si="25"/>
        <v>0</v>
      </c>
      <c r="I48" s="165">
        <f t="shared" si="25"/>
        <v>60</v>
      </c>
      <c r="J48" s="165">
        <f t="shared" si="25"/>
        <v>0</v>
      </c>
      <c r="K48" s="165">
        <f t="shared" si="25"/>
        <v>60</v>
      </c>
      <c r="L48" s="165">
        <f t="shared" si="25"/>
        <v>5</v>
      </c>
      <c r="M48" s="165">
        <f t="shared" si="25"/>
        <v>65</v>
      </c>
      <c r="N48" s="165">
        <f t="shared" si="25"/>
        <v>0</v>
      </c>
      <c r="O48" s="165">
        <f t="shared" si="25"/>
        <v>65</v>
      </c>
      <c r="P48" s="165">
        <f t="shared" si="25"/>
        <v>0</v>
      </c>
      <c r="Q48" s="165">
        <f t="shared" si="25"/>
        <v>65</v>
      </c>
      <c r="R48" s="165">
        <f t="shared" si="25"/>
        <v>0</v>
      </c>
      <c r="S48" s="165">
        <f t="shared" si="25"/>
        <v>65</v>
      </c>
    </row>
    <row r="49" spans="1:19" s="22" customFormat="1" ht="21.75" customHeight="1">
      <c r="A49" s="166"/>
      <c r="B49" s="166"/>
      <c r="C49" s="166"/>
      <c r="D49" s="167" t="s">
        <v>441</v>
      </c>
      <c r="E49" s="168">
        <v>60</v>
      </c>
      <c r="F49" s="168"/>
      <c r="G49" s="168">
        <f>SUM(E49:F49)</f>
        <v>60</v>
      </c>
      <c r="H49" s="168"/>
      <c r="I49" s="168">
        <f>SUM(G49:H49)</f>
        <v>60</v>
      </c>
      <c r="J49" s="168"/>
      <c r="K49" s="168">
        <f>SUM(I49:J49)</f>
        <v>60</v>
      </c>
      <c r="L49" s="168">
        <v>5</v>
      </c>
      <c r="M49" s="168">
        <f>SUM(K49:L49)</f>
        <v>65</v>
      </c>
      <c r="N49" s="168"/>
      <c r="O49" s="168">
        <f>SUM(M49:N49)</f>
        <v>65</v>
      </c>
      <c r="P49" s="168"/>
      <c r="Q49" s="168">
        <f>SUM(O49:P49)</f>
        <v>65</v>
      </c>
      <c r="R49" s="168"/>
      <c r="S49" s="168">
        <f>SUM(Q49:R49)</f>
        <v>65</v>
      </c>
    </row>
    <row r="50" spans="1:19" s="6" customFormat="1" ht="21" customHeight="1">
      <c r="A50" s="155">
        <v>710</v>
      </c>
      <c r="B50" s="156"/>
      <c r="C50" s="156"/>
      <c r="D50" s="157" t="s">
        <v>104</v>
      </c>
      <c r="E50" s="158">
        <f aca="true" t="shared" si="26" ref="E50:S50">SUM(E51)</f>
        <v>3500</v>
      </c>
      <c r="F50" s="158">
        <f t="shared" si="26"/>
        <v>6120</v>
      </c>
      <c r="G50" s="158">
        <f t="shared" si="26"/>
        <v>9620</v>
      </c>
      <c r="H50" s="158">
        <f t="shared" si="26"/>
        <v>0</v>
      </c>
      <c r="I50" s="158">
        <f t="shared" si="26"/>
        <v>9620</v>
      </c>
      <c r="J50" s="158">
        <f t="shared" si="26"/>
        <v>0</v>
      </c>
      <c r="K50" s="158">
        <f t="shared" si="26"/>
        <v>9620</v>
      </c>
      <c r="L50" s="158">
        <f t="shared" si="26"/>
        <v>0</v>
      </c>
      <c r="M50" s="158">
        <f t="shared" si="26"/>
        <v>9620</v>
      </c>
      <c r="N50" s="158">
        <f t="shared" si="26"/>
        <v>0</v>
      </c>
      <c r="O50" s="158">
        <f t="shared" si="26"/>
        <v>9620</v>
      </c>
      <c r="P50" s="158">
        <f t="shared" si="26"/>
        <v>-3000</v>
      </c>
      <c r="Q50" s="158">
        <f t="shared" si="26"/>
        <v>6620</v>
      </c>
      <c r="R50" s="158">
        <f t="shared" si="26"/>
        <v>0</v>
      </c>
      <c r="S50" s="158">
        <f t="shared" si="26"/>
        <v>6620</v>
      </c>
    </row>
    <row r="51" spans="1:19" s="6" customFormat="1" ht="19.5" customHeight="1">
      <c r="A51" s="160"/>
      <c r="B51" s="159">
        <v>71035</v>
      </c>
      <c r="C51" s="160"/>
      <c r="D51" s="161" t="s">
        <v>25</v>
      </c>
      <c r="E51" s="158">
        <f aca="true" t="shared" si="27" ref="E51:Q51">SUM(E52,E55,E57)</f>
        <v>3500</v>
      </c>
      <c r="F51" s="158">
        <f t="shared" si="27"/>
        <v>6120</v>
      </c>
      <c r="G51" s="158">
        <f t="shared" si="27"/>
        <v>9620</v>
      </c>
      <c r="H51" s="158">
        <f t="shared" si="27"/>
        <v>0</v>
      </c>
      <c r="I51" s="158">
        <f t="shared" si="27"/>
        <v>9620</v>
      </c>
      <c r="J51" s="158">
        <f t="shared" si="27"/>
        <v>0</v>
      </c>
      <c r="K51" s="158">
        <f t="shared" si="27"/>
        <v>9620</v>
      </c>
      <c r="L51" s="158">
        <f t="shared" si="27"/>
        <v>0</v>
      </c>
      <c r="M51" s="158">
        <f t="shared" si="27"/>
        <v>9620</v>
      </c>
      <c r="N51" s="158">
        <f t="shared" si="27"/>
        <v>0</v>
      </c>
      <c r="O51" s="158">
        <f t="shared" si="27"/>
        <v>9620</v>
      </c>
      <c r="P51" s="158">
        <f t="shared" si="27"/>
        <v>-3000</v>
      </c>
      <c r="Q51" s="158">
        <f t="shared" si="27"/>
        <v>6620</v>
      </c>
      <c r="R51" s="158">
        <f>SUM(R52,R55,R57)</f>
        <v>0</v>
      </c>
      <c r="S51" s="158">
        <f>SUM(S52,S55,S57)</f>
        <v>6620</v>
      </c>
    </row>
    <row r="52" spans="1:19" s="22" customFormat="1" ht="21.75" customHeight="1">
      <c r="A52" s="163"/>
      <c r="B52" s="162"/>
      <c r="C52" s="162">
        <v>4260</v>
      </c>
      <c r="D52" s="164" t="s">
        <v>119</v>
      </c>
      <c r="E52" s="165">
        <f aca="true" t="shared" si="28" ref="E52:Q52">SUM(E53:E54)</f>
        <v>500</v>
      </c>
      <c r="F52" s="165">
        <f t="shared" si="28"/>
        <v>0</v>
      </c>
      <c r="G52" s="165">
        <f t="shared" si="28"/>
        <v>500</v>
      </c>
      <c r="H52" s="165">
        <f t="shared" si="28"/>
        <v>0</v>
      </c>
      <c r="I52" s="165">
        <f t="shared" si="28"/>
        <v>500</v>
      </c>
      <c r="J52" s="165">
        <f t="shared" si="28"/>
        <v>0</v>
      </c>
      <c r="K52" s="165">
        <f t="shared" si="28"/>
        <v>500</v>
      </c>
      <c r="L52" s="165">
        <f t="shared" si="28"/>
        <v>0</v>
      </c>
      <c r="M52" s="165">
        <f t="shared" si="28"/>
        <v>500</v>
      </c>
      <c r="N52" s="165">
        <f t="shared" si="28"/>
        <v>0</v>
      </c>
      <c r="O52" s="165">
        <f t="shared" si="28"/>
        <v>500</v>
      </c>
      <c r="P52" s="165">
        <f t="shared" si="28"/>
        <v>0</v>
      </c>
      <c r="Q52" s="165">
        <f t="shared" si="28"/>
        <v>500</v>
      </c>
      <c r="R52" s="165">
        <f>SUM(R53:R54)</f>
        <v>0</v>
      </c>
      <c r="S52" s="165">
        <f>SUM(S53:S54)</f>
        <v>500</v>
      </c>
    </row>
    <row r="53" spans="1:19" s="24" customFormat="1" ht="21.75" customHeight="1">
      <c r="A53" s="172"/>
      <c r="B53" s="173"/>
      <c r="C53" s="173"/>
      <c r="D53" s="167" t="s">
        <v>437</v>
      </c>
      <c r="E53" s="168">
        <v>200</v>
      </c>
      <c r="F53" s="168"/>
      <c r="G53" s="168">
        <f>SUM(E53:F53)</f>
        <v>200</v>
      </c>
      <c r="H53" s="168"/>
      <c r="I53" s="168">
        <f>SUM(G53:H53)</f>
        <v>200</v>
      </c>
      <c r="J53" s="168"/>
      <c r="K53" s="168">
        <f>SUM(I53:J53)</f>
        <v>200</v>
      </c>
      <c r="L53" s="168"/>
      <c r="M53" s="168">
        <f>SUM(K53:L53)</f>
        <v>200</v>
      </c>
      <c r="N53" s="168"/>
      <c r="O53" s="168">
        <f>SUM(M53:N53)</f>
        <v>200</v>
      </c>
      <c r="P53" s="168"/>
      <c r="Q53" s="168">
        <f>SUM(O53:P53)</f>
        <v>200</v>
      </c>
      <c r="R53" s="168"/>
      <c r="S53" s="168">
        <f>SUM(Q53:R53)</f>
        <v>200</v>
      </c>
    </row>
    <row r="54" spans="1:19" s="24" customFormat="1" ht="21.75" customHeight="1">
      <c r="A54" s="166"/>
      <c r="B54" s="166"/>
      <c r="C54" s="166"/>
      <c r="D54" s="167" t="s">
        <v>441</v>
      </c>
      <c r="E54" s="168">
        <v>300</v>
      </c>
      <c r="F54" s="168"/>
      <c r="G54" s="168">
        <f>SUM(E54:F54)</f>
        <v>300</v>
      </c>
      <c r="H54" s="168"/>
      <c r="I54" s="168">
        <f>SUM(G54:H54)</f>
        <v>300</v>
      </c>
      <c r="J54" s="168"/>
      <c r="K54" s="168">
        <f>SUM(I54:J54)</f>
        <v>300</v>
      </c>
      <c r="L54" s="168"/>
      <c r="M54" s="168">
        <f>SUM(K54:L54)</f>
        <v>300</v>
      </c>
      <c r="N54" s="168"/>
      <c r="O54" s="168">
        <f>SUM(M54:N54)</f>
        <v>300</v>
      </c>
      <c r="P54" s="168"/>
      <c r="Q54" s="168">
        <f>SUM(O54:P54)</f>
        <v>300</v>
      </c>
      <c r="R54" s="168"/>
      <c r="S54" s="168">
        <f>SUM(Q54:R54)</f>
        <v>300</v>
      </c>
    </row>
    <row r="55" spans="1:19" s="22" customFormat="1" ht="21.75" customHeight="1">
      <c r="A55" s="171"/>
      <c r="B55" s="171"/>
      <c r="C55" s="171">
        <v>4270</v>
      </c>
      <c r="D55" s="164" t="s">
        <v>102</v>
      </c>
      <c r="E55" s="165">
        <f aca="true" t="shared" si="29" ref="E55:S55">SUM(E56)</f>
        <v>3000</v>
      </c>
      <c r="F55" s="165">
        <f t="shared" si="29"/>
        <v>0</v>
      </c>
      <c r="G55" s="165">
        <f t="shared" si="29"/>
        <v>3000</v>
      </c>
      <c r="H55" s="165">
        <f t="shared" si="29"/>
        <v>0</v>
      </c>
      <c r="I55" s="165">
        <f t="shared" si="29"/>
        <v>3000</v>
      </c>
      <c r="J55" s="165">
        <f t="shared" si="29"/>
        <v>0</v>
      </c>
      <c r="K55" s="165">
        <f t="shared" si="29"/>
        <v>3000</v>
      </c>
      <c r="L55" s="165">
        <f t="shared" si="29"/>
        <v>0</v>
      </c>
      <c r="M55" s="165">
        <f t="shared" si="29"/>
        <v>3000</v>
      </c>
      <c r="N55" s="165">
        <f t="shared" si="29"/>
        <v>0</v>
      </c>
      <c r="O55" s="165">
        <f t="shared" si="29"/>
        <v>3000</v>
      </c>
      <c r="P55" s="165">
        <f t="shared" si="29"/>
        <v>-3000</v>
      </c>
      <c r="Q55" s="165">
        <f t="shared" si="29"/>
        <v>0</v>
      </c>
      <c r="R55" s="165">
        <f t="shared" si="29"/>
        <v>0</v>
      </c>
      <c r="S55" s="165">
        <f t="shared" si="29"/>
        <v>0</v>
      </c>
    </row>
    <row r="56" spans="1:19" s="22" customFormat="1" ht="21.75" customHeight="1">
      <c r="A56" s="166"/>
      <c r="B56" s="166"/>
      <c r="C56" s="166"/>
      <c r="D56" s="167" t="s">
        <v>437</v>
      </c>
      <c r="E56" s="168">
        <v>3000</v>
      </c>
      <c r="F56" s="168"/>
      <c r="G56" s="168">
        <f>SUM(E56:F56)</f>
        <v>3000</v>
      </c>
      <c r="H56" s="168"/>
      <c r="I56" s="168">
        <f>SUM(G56:H56)</f>
        <v>3000</v>
      </c>
      <c r="J56" s="168"/>
      <c r="K56" s="168">
        <f>SUM(I56:J56)</f>
        <v>3000</v>
      </c>
      <c r="L56" s="168"/>
      <c r="M56" s="168">
        <f>SUM(K56:L56)</f>
        <v>3000</v>
      </c>
      <c r="N56" s="168"/>
      <c r="O56" s="168">
        <f>SUM(M56:N56)</f>
        <v>3000</v>
      </c>
      <c r="P56" s="168">
        <v>-3000</v>
      </c>
      <c r="Q56" s="168">
        <f>SUM(O56:P56)</f>
        <v>0</v>
      </c>
      <c r="R56" s="168"/>
      <c r="S56" s="168">
        <f>SUM(Q56:R56)</f>
        <v>0</v>
      </c>
    </row>
    <row r="57" spans="1:19" s="22" customFormat="1" ht="21.75" customHeight="1">
      <c r="A57" s="171"/>
      <c r="B57" s="171"/>
      <c r="C57" s="171">
        <v>6050</v>
      </c>
      <c r="D57" s="164" t="s">
        <v>97</v>
      </c>
      <c r="E57" s="165">
        <f aca="true" t="shared" si="30" ref="E57:S57">SUM(E58)</f>
        <v>0</v>
      </c>
      <c r="F57" s="165">
        <f t="shared" si="30"/>
        <v>6120</v>
      </c>
      <c r="G57" s="165">
        <f t="shared" si="30"/>
        <v>6120</v>
      </c>
      <c r="H57" s="165">
        <f t="shared" si="30"/>
        <v>0</v>
      </c>
      <c r="I57" s="165">
        <f t="shared" si="30"/>
        <v>6120</v>
      </c>
      <c r="J57" s="165">
        <f t="shared" si="30"/>
        <v>0</v>
      </c>
      <c r="K57" s="165">
        <f t="shared" si="30"/>
        <v>6120</v>
      </c>
      <c r="L57" s="165">
        <f t="shared" si="30"/>
        <v>0</v>
      </c>
      <c r="M57" s="165">
        <f t="shared" si="30"/>
        <v>6120</v>
      </c>
      <c r="N57" s="165">
        <f t="shared" si="30"/>
        <v>0</v>
      </c>
      <c r="O57" s="165">
        <f t="shared" si="30"/>
        <v>6120</v>
      </c>
      <c r="P57" s="165">
        <f t="shared" si="30"/>
        <v>0</v>
      </c>
      <c r="Q57" s="165">
        <f t="shared" si="30"/>
        <v>6120</v>
      </c>
      <c r="R57" s="165">
        <f t="shared" si="30"/>
        <v>0</v>
      </c>
      <c r="S57" s="165">
        <f t="shared" si="30"/>
        <v>6120</v>
      </c>
    </row>
    <row r="58" spans="1:19" s="22" customFormat="1" ht="21.75" customHeight="1">
      <c r="A58" s="166"/>
      <c r="B58" s="166"/>
      <c r="C58" s="166"/>
      <c r="D58" s="167" t="s">
        <v>441</v>
      </c>
      <c r="E58" s="168">
        <v>0</v>
      </c>
      <c r="F58" s="168">
        <v>6120</v>
      </c>
      <c r="G58" s="168">
        <f>SUM(E58:F58)</f>
        <v>6120</v>
      </c>
      <c r="H58" s="168"/>
      <c r="I58" s="168">
        <f>SUM(G58:H58)</f>
        <v>6120</v>
      </c>
      <c r="J58" s="168"/>
      <c r="K58" s="168">
        <f>SUM(I58:J58)</f>
        <v>6120</v>
      </c>
      <c r="L58" s="168"/>
      <c r="M58" s="168">
        <f>SUM(K58:L58)</f>
        <v>6120</v>
      </c>
      <c r="N58" s="168"/>
      <c r="O58" s="168">
        <f>SUM(M58:N58)</f>
        <v>6120</v>
      </c>
      <c r="P58" s="168"/>
      <c r="Q58" s="168">
        <f>SUM(O58:P58)</f>
        <v>6120</v>
      </c>
      <c r="R58" s="168"/>
      <c r="S58" s="168">
        <f>SUM(Q58:R58)</f>
        <v>6120</v>
      </c>
    </row>
    <row r="59" spans="1:19" s="6" customFormat="1" ht="20.25" customHeight="1">
      <c r="A59" s="155" t="s">
        <v>26</v>
      </c>
      <c r="B59" s="156"/>
      <c r="C59" s="156"/>
      <c r="D59" s="157" t="s">
        <v>107</v>
      </c>
      <c r="E59" s="158">
        <f aca="true" t="shared" si="31" ref="E59:Q59">SUM(E60,E82)</f>
        <v>26920</v>
      </c>
      <c r="F59" s="158">
        <f t="shared" si="31"/>
        <v>0</v>
      </c>
      <c r="G59" s="158">
        <f t="shared" si="31"/>
        <v>26920</v>
      </c>
      <c r="H59" s="158">
        <f t="shared" si="31"/>
        <v>0</v>
      </c>
      <c r="I59" s="158">
        <f t="shared" si="31"/>
        <v>26920</v>
      </c>
      <c r="J59" s="158">
        <f t="shared" si="31"/>
        <v>-3000</v>
      </c>
      <c r="K59" s="158">
        <f t="shared" si="31"/>
        <v>23920</v>
      </c>
      <c r="L59" s="158">
        <f t="shared" si="31"/>
        <v>0</v>
      </c>
      <c r="M59" s="158">
        <f t="shared" si="31"/>
        <v>23920</v>
      </c>
      <c r="N59" s="158">
        <f t="shared" si="31"/>
        <v>0</v>
      </c>
      <c r="O59" s="158">
        <f t="shared" si="31"/>
        <v>23920</v>
      </c>
      <c r="P59" s="158">
        <f t="shared" si="31"/>
        <v>-4103</v>
      </c>
      <c r="Q59" s="158">
        <f t="shared" si="31"/>
        <v>19817</v>
      </c>
      <c r="R59" s="158">
        <f>SUM(R60,R82)</f>
        <v>0</v>
      </c>
      <c r="S59" s="158">
        <f>SUM(S60,S82)</f>
        <v>19817</v>
      </c>
    </row>
    <row r="60" spans="1:19" s="6" customFormat="1" ht="24" customHeight="1">
      <c r="A60" s="160"/>
      <c r="B60" s="159" t="s">
        <v>29</v>
      </c>
      <c r="C60" s="160"/>
      <c r="D60" s="161" t="s">
        <v>30</v>
      </c>
      <c r="E60" s="158">
        <f aca="true" t="shared" si="32" ref="E60:S60">SUM(E61)</f>
        <v>1600</v>
      </c>
      <c r="F60" s="158">
        <f t="shared" si="32"/>
        <v>0</v>
      </c>
      <c r="G60" s="158">
        <f t="shared" si="32"/>
        <v>1600</v>
      </c>
      <c r="H60" s="158">
        <f t="shared" si="32"/>
        <v>0</v>
      </c>
      <c r="I60" s="158">
        <f t="shared" si="32"/>
        <v>1600</v>
      </c>
      <c r="J60" s="158">
        <f t="shared" si="32"/>
        <v>0</v>
      </c>
      <c r="K60" s="158">
        <f t="shared" si="32"/>
        <v>1600</v>
      </c>
      <c r="L60" s="158">
        <f t="shared" si="32"/>
        <v>0</v>
      </c>
      <c r="M60" s="158">
        <f t="shared" si="32"/>
        <v>1600</v>
      </c>
      <c r="N60" s="158">
        <f t="shared" si="32"/>
        <v>0</v>
      </c>
      <c r="O60" s="158">
        <f t="shared" si="32"/>
        <v>1600</v>
      </c>
      <c r="P60" s="158">
        <f t="shared" si="32"/>
        <v>-3</v>
      </c>
      <c r="Q60" s="158">
        <f t="shared" si="32"/>
        <v>1597</v>
      </c>
      <c r="R60" s="158">
        <f t="shared" si="32"/>
        <v>0</v>
      </c>
      <c r="S60" s="158">
        <f t="shared" si="32"/>
        <v>1597</v>
      </c>
    </row>
    <row r="61" spans="1:19" s="22" customFormat="1" ht="21.75" customHeight="1">
      <c r="A61" s="163"/>
      <c r="B61" s="162"/>
      <c r="C61" s="162" t="s">
        <v>444</v>
      </c>
      <c r="D61" s="164" t="s">
        <v>116</v>
      </c>
      <c r="E61" s="165">
        <f aca="true" t="shared" si="33" ref="E61:Q61">SUM(E62:E81)</f>
        <v>1600</v>
      </c>
      <c r="F61" s="165">
        <f t="shared" si="33"/>
        <v>0</v>
      </c>
      <c r="G61" s="165">
        <f t="shared" si="33"/>
        <v>1600</v>
      </c>
      <c r="H61" s="165">
        <f t="shared" si="33"/>
        <v>0</v>
      </c>
      <c r="I61" s="165">
        <f t="shared" si="33"/>
        <v>1600</v>
      </c>
      <c r="J61" s="165">
        <f t="shared" si="33"/>
        <v>0</v>
      </c>
      <c r="K61" s="165">
        <f t="shared" si="33"/>
        <v>1600</v>
      </c>
      <c r="L61" s="165">
        <f t="shared" si="33"/>
        <v>0</v>
      </c>
      <c r="M61" s="165">
        <f t="shared" si="33"/>
        <v>1600</v>
      </c>
      <c r="N61" s="165">
        <f t="shared" si="33"/>
        <v>0</v>
      </c>
      <c r="O61" s="165">
        <f t="shared" si="33"/>
        <v>1600</v>
      </c>
      <c r="P61" s="165">
        <f t="shared" si="33"/>
        <v>-3</v>
      </c>
      <c r="Q61" s="165">
        <f t="shared" si="33"/>
        <v>1597</v>
      </c>
      <c r="R61" s="165">
        <f>SUM(R62:R81)</f>
        <v>0</v>
      </c>
      <c r="S61" s="165">
        <f>SUM(S62:S81)</f>
        <v>1597</v>
      </c>
    </row>
    <row r="62" spans="1:19" s="22" customFormat="1" ht="21.75" customHeight="1">
      <c r="A62" s="166"/>
      <c r="B62" s="166"/>
      <c r="C62" s="166"/>
      <c r="D62" s="167" t="s">
        <v>437</v>
      </c>
      <c r="E62" s="168">
        <v>80</v>
      </c>
      <c r="F62" s="168"/>
      <c r="G62" s="168">
        <f aca="true" t="shared" si="34" ref="G62:G81">SUM(E62:F62)</f>
        <v>80</v>
      </c>
      <c r="H62" s="168"/>
      <c r="I62" s="168">
        <f aca="true" t="shared" si="35" ref="I62:I81">SUM(G62:H62)</f>
        <v>80</v>
      </c>
      <c r="J62" s="168"/>
      <c r="K62" s="168">
        <f aca="true" t="shared" si="36" ref="K62:K81">SUM(I62:J62)</f>
        <v>80</v>
      </c>
      <c r="L62" s="168"/>
      <c r="M62" s="168">
        <f aca="true" t="shared" si="37" ref="M62:M81">SUM(K62:L62)</f>
        <v>80</v>
      </c>
      <c r="N62" s="168"/>
      <c r="O62" s="168">
        <f aca="true" t="shared" si="38" ref="O62:O81">SUM(M62:N62)</f>
        <v>80</v>
      </c>
      <c r="P62" s="168"/>
      <c r="Q62" s="168">
        <f aca="true" t="shared" si="39" ref="Q62:Q81">SUM(O62:P62)</f>
        <v>80</v>
      </c>
      <c r="R62" s="168"/>
      <c r="S62" s="168">
        <f aca="true" t="shared" si="40" ref="S62:S81">SUM(Q62:R62)</f>
        <v>80</v>
      </c>
    </row>
    <row r="63" spans="1:19" s="22" customFormat="1" ht="21.75" customHeight="1">
      <c r="A63" s="166"/>
      <c r="B63" s="166"/>
      <c r="C63" s="166"/>
      <c r="D63" s="167" t="s">
        <v>438</v>
      </c>
      <c r="E63" s="168">
        <v>80</v>
      </c>
      <c r="F63" s="168"/>
      <c r="G63" s="168">
        <f t="shared" si="34"/>
        <v>80</v>
      </c>
      <c r="H63" s="168"/>
      <c r="I63" s="168">
        <f t="shared" si="35"/>
        <v>80</v>
      </c>
      <c r="J63" s="168"/>
      <c r="K63" s="168">
        <f t="shared" si="36"/>
        <v>80</v>
      </c>
      <c r="L63" s="168"/>
      <c r="M63" s="168">
        <f t="shared" si="37"/>
        <v>80</v>
      </c>
      <c r="N63" s="168"/>
      <c r="O63" s="168">
        <f t="shared" si="38"/>
        <v>80</v>
      </c>
      <c r="P63" s="168"/>
      <c r="Q63" s="168">
        <f t="shared" si="39"/>
        <v>80</v>
      </c>
      <c r="R63" s="168"/>
      <c r="S63" s="168">
        <f t="shared" si="40"/>
        <v>80</v>
      </c>
    </row>
    <row r="64" spans="1:19" s="22" customFormat="1" ht="21.75" customHeight="1">
      <c r="A64" s="166"/>
      <c r="B64" s="166"/>
      <c r="C64" s="166"/>
      <c r="D64" s="167" t="s">
        <v>426</v>
      </c>
      <c r="E64" s="168">
        <v>80</v>
      </c>
      <c r="F64" s="168"/>
      <c r="G64" s="168">
        <f t="shared" si="34"/>
        <v>80</v>
      </c>
      <c r="H64" s="168"/>
      <c r="I64" s="168">
        <f t="shared" si="35"/>
        <v>80</v>
      </c>
      <c r="J64" s="168"/>
      <c r="K64" s="168">
        <f t="shared" si="36"/>
        <v>80</v>
      </c>
      <c r="L64" s="168"/>
      <c r="M64" s="168">
        <f t="shared" si="37"/>
        <v>80</v>
      </c>
      <c r="N64" s="168"/>
      <c r="O64" s="168">
        <f t="shared" si="38"/>
        <v>80</v>
      </c>
      <c r="P64" s="168"/>
      <c r="Q64" s="168">
        <f t="shared" si="39"/>
        <v>80</v>
      </c>
      <c r="R64" s="168"/>
      <c r="S64" s="168">
        <f t="shared" si="40"/>
        <v>80</v>
      </c>
    </row>
    <row r="65" spans="1:19" s="22" customFormat="1" ht="21.75" customHeight="1">
      <c r="A65" s="166"/>
      <c r="B65" s="166"/>
      <c r="C65" s="166"/>
      <c r="D65" s="167" t="s">
        <v>427</v>
      </c>
      <c r="E65" s="168">
        <v>80</v>
      </c>
      <c r="F65" s="168"/>
      <c r="G65" s="168">
        <f t="shared" si="34"/>
        <v>80</v>
      </c>
      <c r="H65" s="168"/>
      <c r="I65" s="168">
        <f t="shared" si="35"/>
        <v>80</v>
      </c>
      <c r="J65" s="168"/>
      <c r="K65" s="168">
        <f t="shared" si="36"/>
        <v>80</v>
      </c>
      <c r="L65" s="168"/>
      <c r="M65" s="168">
        <f t="shared" si="37"/>
        <v>80</v>
      </c>
      <c r="N65" s="168"/>
      <c r="O65" s="168">
        <f t="shared" si="38"/>
        <v>80</v>
      </c>
      <c r="P65" s="168"/>
      <c r="Q65" s="168">
        <f t="shared" si="39"/>
        <v>80</v>
      </c>
      <c r="R65" s="168"/>
      <c r="S65" s="168">
        <f t="shared" si="40"/>
        <v>80</v>
      </c>
    </row>
    <row r="66" spans="1:19" s="22" customFormat="1" ht="21.75" customHeight="1">
      <c r="A66" s="166"/>
      <c r="B66" s="166"/>
      <c r="C66" s="166"/>
      <c r="D66" s="167" t="s">
        <v>439</v>
      </c>
      <c r="E66" s="168">
        <v>80</v>
      </c>
      <c r="F66" s="168"/>
      <c r="G66" s="168">
        <f t="shared" si="34"/>
        <v>80</v>
      </c>
      <c r="H66" s="168"/>
      <c r="I66" s="168">
        <f t="shared" si="35"/>
        <v>80</v>
      </c>
      <c r="J66" s="168"/>
      <c r="K66" s="168">
        <f t="shared" si="36"/>
        <v>80</v>
      </c>
      <c r="L66" s="168"/>
      <c r="M66" s="168">
        <f t="shared" si="37"/>
        <v>80</v>
      </c>
      <c r="N66" s="168"/>
      <c r="O66" s="168">
        <f t="shared" si="38"/>
        <v>80</v>
      </c>
      <c r="P66" s="168"/>
      <c r="Q66" s="168">
        <f t="shared" si="39"/>
        <v>80</v>
      </c>
      <c r="R66" s="168"/>
      <c r="S66" s="168">
        <f t="shared" si="40"/>
        <v>80</v>
      </c>
    </row>
    <row r="67" spans="1:19" s="22" customFormat="1" ht="21.75" customHeight="1">
      <c r="A67" s="166"/>
      <c r="B67" s="166"/>
      <c r="C67" s="166"/>
      <c r="D67" s="167" t="s">
        <v>428</v>
      </c>
      <c r="E67" s="168">
        <v>80</v>
      </c>
      <c r="F67" s="168"/>
      <c r="G67" s="168">
        <f t="shared" si="34"/>
        <v>80</v>
      </c>
      <c r="H67" s="168"/>
      <c r="I67" s="168">
        <f t="shared" si="35"/>
        <v>80</v>
      </c>
      <c r="J67" s="168"/>
      <c r="K67" s="168">
        <f t="shared" si="36"/>
        <v>80</v>
      </c>
      <c r="L67" s="168"/>
      <c r="M67" s="168">
        <f t="shared" si="37"/>
        <v>80</v>
      </c>
      <c r="N67" s="168"/>
      <c r="O67" s="168">
        <f t="shared" si="38"/>
        <v>80</v>
      </c>
      <c r="P67" s="168"/>
      <c r="Q67" s="168">
        <f t="shared" si="39"/>
        <v>80</v>
      </c>
      <c r="R67" s="168"/>
      <c r="S67" s="168">
        <f t="shared" si="40"/>
        <v>80</v>
      </c>
    </row>
    <row r="68" spans="1:19" s="22" customFormat="1" ht="21.75" customHeight="1">
      <c r="A68" s="166"/>
      <c r="B68" s="166"/>
      <c r="C68" s="166"/>
      <c r="D68" s="167" t="s">
        <v>429</v>
      </c>
      <c r="E68" s="168">
        <v>80</v>
      </c>
      <c r="F68" s="168"/>
      <c r="G68" s="168">
        <f t="shared" si="34"/>
        <v>80</v>
      </c>
      <c r="H68" s="168"/>
      <c r="I68" s="168">
        <f t="shared" si="35"/>
        <v>80</v>
      </c>
      <c r="J68" s="168"/>
      <c r="K68" s="168">
        <f t="shared" si="36"/>
        <v>80</v>
      </c>
      <c r="L68" s="168"/>
      <c r="M68" s="168">
        <f t="shared" si="37"/>
        <v>80</v>
      </c>
      <c r="N68" s="168"/>
      <c r="O68" s="168">
        <f t="shared" si="38"/>
        <v>80</v>
      </c>
      <c r="P68" s="168"/>
      <c r="Q68" s="168">
        <f t="shared" si="39"/>
        <v>80</v>
      </c>
      <c r="R68" s="168"/>
      <c r="S68" s="168">
        <f t="shared" si="40"/>
        <v>80</v>
      </c>
    </row>
    <row r="69" spans="1:19" s="22" customFormat="1" ht="21.75" customHeight="1">
      <c r="A69" s="166"/>
      <c r="B69" s="166"/>
      <c r="C69" s="166"/>
      <c r="D69" s="167" t="s">
        <v>430</v>
      </c>
      <c r="E69" s="168">
        <v>80</v>
      </c>
      <c r="F69" s="168"/>
      <c r="G69" s="168">
        <f t="shared" si="34"/>
        <v>80</v>
      </c>
      <c r="H69" s="168"/>
      <c r="I69" s="168">
        <f t="shared" si="35"/>
        <v>80</v>
      </c>
      <c r="J69" s="168"/>
      <c r="K69" s="168">
        <f t="shared" si="36"/>
        <v>80</v>
      </c>
      <c r="L69" s="168"/>
      <c r="M69" s="168">
        <f t="shared" si="37"/>
        <v>80</v>
      </c>
      <c r="N69" s="168"/>
      <c r="O69" s="168">
        <f t="shared" si="38"/>
        <v>80</v>
      </c>
      <c r="P69" s="168"/>
      <c r="Q69" s="168">
        <f t="shared" si="39"/>
        <v>80</v>
      </c>
      <c r="R69" s="168"/>
      <c r="S69" s="168">
        <f t="shared" si="40"/>
        <v>80</v>
      </c>
    </row>
    <row r="70" spans="1:19" s="22" customFormat="1" ht="21.75" customHeight="1">
      <c r="A70" s="166"/>
      <c r="B70" s="166"/>
      <c r="C70" s="166"/>
      <c r="D70" s="167" t="s">
        <v>440</v>
      </c>
      <c r="E70" s="168">
        <v>80</v>
      </c>
      <c r="F70" s="168"/>
      <c r="G70" s="168">
        <f t="shared" si="34"/>
        <v>80</v>
      </c>
      <c r="H70" s="168"/>
      <c r="I70" s="168">
        <f t="shared" si="35"/>
        <v>80</v>
      </c>
      <c r="J70" s="168"/>
      <c r="K70" s="168">
        <f t="shared" si="36"/>
        <v>80</v>
      </c>
      <c r="L70" s="168"/>
      <c r="M70" s="168">
        <f t="shared" si="37"/>
        <v>80</v>
      </c>
      <c r="N70" s="168"/>
      <c r="O70" s="168">
        <f t="shared" si="38"/>
        <v>80</v>
      </c>
      <c r="P70" s="168"/>
      <c r="Q70" s="168">
        <f t="shared" si="39"/>
        <v>80</v>
      </c>
      <c r="R70" s="168"/>
      <c r="S70" s="168">
        <f t="shared" si="40"/>
        <v>80</v>
      </c>
    </row>
    <row r="71" spans="1:19" s="22" customFormat="1" ht="21.75" customHeight="1">
      <c r="A71" s="166"/>
      <c r="B71" s="166"/>
      <c r="C71" s="166"/>
      <c r="D71" s="167" t="s">
        <v>431</v>
      </c>
      <c r="E71" s="168">
        <v>80</v>
      </c>
      <c r="F71" s="168"/>
      <c r="G71" s="168">
        <f t="shared" si="34"/>
        <v>80</v>
      </c>
      <c r="H71" s="168"/>
      <c r="I71" s="168">
        <f t="shared" si="35"/>
        <v>80</v>
      </c>
      <c r="J71" s="168"/>
      <c r="K71" s="168">
        <f t="shared" si="36"/>
        <v>80</v>
      </c>
      <c r="L71" s="168"/>
      <c r="M71" s="168">
        <f t="shared" si="37"/>
        <v>80</v>
      </c>
      <c r="N71" s="168"/>
      <c r="O71" s="168">
        <f t="shared" si="38"/>
        <v>80</v>
      </c>
      <c r="P71" s="168"/>
      <c r="Q71" s="168">
        <f t="shared" si="39"/>
        <v>80</v>
      </c>
      <c r="R71" s="168"/>
      <c r="S71" s="168">
        <f t="shared" si="40"/>
        <v>80</v>
      </c>
    </row>
    <row r="72" spans="1:19" s="22" customFormat="1" ht="21.75" customHeight="1">
      <c r="A72" s="166"/>
      <c r="B72" s="166"/>
      <c r="C72" s="166"/>
      <c r="D72" s="167" t="s">
        <v>432</v>
      </c>
      <c r="E72" s="168">
        <v>80</v>
      </c>
      <c r="F72" s="168"/>
      <c r="G72" s="168">
        <f t="shared" si="34"/>
        <v>80</v>
      </c>
      <c r="H72" s="168"/>
      <c r="I72" s="168">
        <f t="shared" si="35"/>
        <v>80</v>
      </c>
      <c r="J72" s="168"/>
      <c r="K72" s="168">
        <f t="shared" si="36"/>
        <v>80</v>
      </c>
      <c r="L72" s="168"/>
      <c r="M72" s="168">
        <f t="shared" si="37"/>
        <v>80</v>
      </c>
      <c r="N72" s="168"/>
      <c r="O72" s="168">
        <f t="shared" si="38"/>
        <v>80</v>
      </c>
      <c r="P72" s="168"/>
      <c r="Q72" s="168">
        <f t="shared" si="39"/>
        <v>80</v>
      </c>
      <c r="R72" s="168"/>
      <c r="S72" s="168">
        <f t="shared" si="40"/>
        <v>80</v>
      </c>
    </row>
    <row r="73" spans="1:19" s="22" customFormat="1" ht="21.75" customHeight="1">
      <c r="A73" s="166"/>
      <c r="B73" s="166"/>
      <c r="C73" s="166"/>
      <c r="D73" s="167" t="s">
        <v>433</v>
      </c>
      <c r="E73" s="168">
        <v>80</v>
      </c>
      <c r="F73" s="168"/>
      <c r="G73" s="168">
        <f t="shared" si="34"/>
        <v>80</v>
      </c>
      <c r="H73" s="168"/>
      <c r="I73" s="168">
        <f t="shared" si="35"/>
        <v>80</v>
      </c>
      <c r="J73" s="168"/>
      <c r="K73" s="168">
        <f t="shared" si="36"/>
        <v>80</v>
      </c>
      <c r="L73" s="168"/>
      <c r="M73" s="168">
        <f t="shared" si="37"/>
        <v>80</v>
      </c>
      <c r="N73" s="168"/>
      <c r="O73" s="168">
        <f t="shared" si="38"/>
        <v>80</v>
      </c>
      <c r="P73" s="168"/>
      <c r="Q73" s="168">
        <f t="shared" si="39"/>
        <v>80</v>
      </c>
      <c r="R73" s="168"/>
      <c r="S73" s="168">
        <f t="shared" si="40"/>
        <v>80</v>
      </c>
    </row>
    <row r="74" spans="1:19" s="22" customFormat="1" ht="21.75" customHeight="1">
      <c r="A74" s="166"/>
      <c r="B74" s="166"/>
      <c r="C74" s="166"/>
      <c r="D74" s="167" t="s">
        <v>434</v>
      </c>
      <c r="E74" s="168">
        <v>80</v>
      </c>
      <c r="F74" s="168"/>
      <c r="G74" s="168">
        <f t="shared" si="34"/>
        <v>80</v>
      </c>
      <c r="H74" s="168"/>
      <c r="I74" s="168">
        <f t="shared" si="35"/>
        <v>80</v>
      </c>
      <c r="J74" s="168"/>
      <c r="K74" s="168">
        <f t="shared" si="36"/>
        <v>80</v>
      </c>
      <c r="L74" s="168"/>
      <c r="M74" s="168">
        <f t="shared" si="37"/>
        <v>80</v>
      </c>
      <c r="N74" s="168"/>
      <c r="O74" s="168">
        <f t="shared" si="38"/>
        <v>80</v>
      </c>
      <c r="P74" s="168"/>
      <c r="Q74" s="168">
        <f t="shared" si="39"/>
        <v>80</v>
      </c>
      <c r="R74" s="168"/>
      <c r="S74" s="168">
        <f t="shared" si="40"/>
        <v>80</v>
      </c>
    </row>
    <row r="75" spans="1:19" s="22" customFormat="1" ht="21.75" customHeight="1">
      <c r="A75" s="166"/>
      <c r="B75" s="166"/>
      <c r="C75" s="166"/>
      <c r="D75" s="167" t="s">
        <v>435</v>
      </c>
      <c r="E75" s="168">
        <v>80</v>
      </c>
      <c r="F75" s="168"/>
      <c r="G75" s="168">
        <f t="shared" si="34"/>
        <v>80</v>
      </c>
      <c r="H75" s="168"/>
      <c r="I75" s="168">
        <f t="shared" si="35"/>
        <v>80</v>
      </c>
      <c r="J75" s="168"/>
      <c r="K75" s="168">
        <f t="shared" si="36"/>
        <v>80</v>
      </c>
      <c r="L75" s="168"/>
      <c r="M75" s="168">
        <f t="shared" si="37"/>
        <v>80</v>
      </c>
      <c r="N75" s="168"/>
      <c r="O75" s="168">
        <f t="shared" si="38"/>
        <v>80</v>
      </c>
      <c r="P75" s="168"/>
      <c r="Q75" s="168">
        <f t="shared" si="39"/>
        <v>80</v>
      </c>
      <c r="R75" s="168"/>
      <c r="S75" s="168">
        <f t="shared" si="40"/>
        <v>80</v>
      </c>
    </row>
    <row r="76" spans="1:19" s="22" customFormat="1" ht="21.75" customHeight="1">
      <c r="A76" s="166"/>
      <c r="B76" s="166"/>
      <c r="C76" s="166"/>
      <c r="D76" s="167" t="s">
        <v>441</v>
      </c>
      <c r="E76" s="168">
        <v>80</v>
      </c>
      <c r="F76" s="168"/>
      <c r="G76" s="168">
        <f t="shared" si="34"/>
        <v>80</v>
      </c>
      <c r="H76" s="168"/>
      <c r="I76" s="168">
        <f t="shared" si="35"/>
        <v>80</v>
      </c>
      <c r="J76" s="168"/>
      <c r="K76" s="168">
        <f t="shared" si="36"/>
        <v>80</v>
      </c>
      <c r="L76" s="168"/>
      <c r="M76" s="168">
        <f t="shared" si="37"/>
        <v>80</v>
      </c>
      <c r="N76" s="168"/>
      <c r="O76" s="168">
        <f t="shared" si="38"/>
        <v>80</v>
      </c>
      <c r="P76" s="168">
        <v>-3</v>
      </c>
      <c r="Q76" s="168">
        <f t="shared" si="39"/>
        <v>77</v>
      </c>
      <c r="R76" s="168"/>
      <c r="S76" s="168">
        <f t="shared" si="40"/>
        <v>77</v>
      </c>
    </row>
    <row r="77" spans="1:19" s="22" customFormat="1" ht="21.75" customHeight="1">
      <c r="A77" s="166"/>
      <c r="B77" s="166"/>
      <c r="C77" s="166"/>
      <c r="D77" s="167" t="s">
        <v>442</v>
      </c>
      <c r="E77" s="168">
        <v>80</v>
      </c>
      <c r="F77" s="168"/>
      <c r="G77" s="168">
        <f t="shared" si="34"/>
        <v>80</v>
      </c>
      <c r="H77" s="168"/>
      <c r="I77" s="168">
        <f t="shared" si="35"/>
        <v>80</v>
      </c>
      <c r="J77" s="168"/>
      <c r="K77" s="168">
        <f t="shared" si="36"/>
        <v>80</v>
      </c>
      <c r="L77" s="168"/>
      <c r="M77" s="168">
        <f t="shared" si="37"/>
        <v>80</v>
      </c>
      <c r="N77" s="168"/>
      <c r="O77" s="168">
        <f t="shared" si="38"/>
        <v>80</v>
      </c>
      <c r="P77" s="168"/>
      <c r="Q77" s="168">
        <f t="shared" si="39"/>
        <v>80</v>
      </c>
      <c r="R77" s="168"/>
      <c r="S77" s="168">
        <f t="shared" si="40"/>
        <v>80</v>
      </c>
    </row>
    <row r="78" spans="1:19" s="22" customFormat="1" ht="21.75" customHeight="1">
      <c r="A78" s="166"/>
      <c r="B78" s="166"/>
      <c r="C78" s="166"/>
      <c r="D78" s="167" t="s">
        <v>445</v>
      </c>
      <c r="E78" s="168">
        <v>80</v>
      </c>
      <c r="F78" s="168"/>
      <c r="G78" s="168">
        <f t="shared" si="34"/>
        <v>80</v>
      </c>
      <c r="H78" s="168"/>
      <c r="I78" s="168">
        <f t="shared" si="35"/>
        <v>80</v>
      </c>
      <c r="J78" s="168"/>
      <c r="K78" s="168">
        <f t="shared" si="36"/>
        <v>80</v>
      </c>
      <c r="L78" s="168"/>
      <c r="M78" s="168">
        <f t="shared" si="37"/>
        <v>80</v>
      </c>
      <c r="N78" s="168"/>
      <c r="O78" s="168">
        <f t="shared" si="38"/>
        <v>80</v>
      </c>
      <c r="P78" s="168"/>
      <c r="Q78" s="168">
        <f t="shared" si="39"/>
        <v>80</v>
      </c>
      <c r="R78" s="168"/>
      <c r="S78" s="168">
        <f t="shared" si="40"/>
        <v>80</v>
      </c>
    </row>
    <row r="79" spans="1:19" s="22" customFormat="1" ht="21.75" customHeight="1">
      <c r="A79" s="166"/>
      <c r="B79" s="166"/>
      <c r="C79" s="166"/>
      <c r="D79" s="167" t="s">
        <v>436</v>
      </c>
      <c r="E79" s="168">
        <v>80</v>
      </c>
      <c r="F79" s="168"/>
      <c r="G79" s="168">
        <f t="shared" si="34"/>
        <v>80</v>
      </c>
      <c r="H79" s="168"/>
      <c r="I79" s="168">
        <f t="shared" si="35"/>
        <v>80</v>
      </c>
      <c r="J79" s="168"/>
      <c r="K79" s="168">
        <f t="shared" si="36"/>
        <v>80</v>
      </c>
      <c r="L79" s="168"/>
      <c r="M79" s="168">
        <f t="shared" si="37"/>
        <v>80</v>
      </c>
      <c r="N79" s="168"/>
      <c r="O79" s="168">
        <f t="shared" si="38"/>
        <v>80</v>
      </c>
      <c r="P79" s="168"/>
      <c r="Q79" s="168">
        <f t="shared" si="39"/>
        <v>80</v>
      </c>
      <c r="R79" s="168"/>
      <c r="S79" s="168">
        <f t="shared" si="40"/>
        <v>80</v>
      </c>
    </row>
    <row r="80" spans="1:19" s="22" customFormat="1" ht="21.75" customHeight="1">
      <c r="A80" s="166"/>
      <c r="B80" s="166"/>
      <c r="C80" s="166"/>
      <c r="D80" s="167" t="s">
        <v>443</v>
      </c>
      <c r="E80" s="168">
        <v>80</v>
      </c>
      <c r="F80" s="168"/>
      <c r="G80" s="168">
        <f t="shared" si="34"/>
        <v>80</v>
      </c>
      <c r="H80" s="168"/>
      <c r="I80" s="168">
        <f t="shared" si="35"/>
        <v>80</v>
      </c>
      <c r="J80" s="168"/>
      <c r="K80" s="168">
        <f t="shared" si="36"/>
        <v>80</v>
      </c>
      <c r="L80" s="168"/>
      <c r="M80" s="168">
        <f t="shared" si="37"/>
        <v>80</v>
      </c>
      <c r="N80" s="168"/>
      <c r="O80" s="168">
        <f t="shared" si="38"/>
        <v>80</v>
      </c>
      <c r="P80" s="168"/>
      <c r="Q80" s="168">
        <f t="shared" si="39"/>
        <v>80</v>
      </c>
      <c r="R80" s="168"/>
      <c r="S80" s="168">
        <f t="shared" si="40"/>
        <v>80</v>
      </c>
    </row>
    <row r="81" spans="1:19" s="22" customFormat="1" ht="21.75" customHeight="1">
      <c r="A81" s="166"/>
      <c r="B81" s="166"/>
      <c r="C81" s="166"/>
      <c r="D81" s="167" t="s">
        <v>446</v>
      </c>
      <c r="E81" s="168">
        <v>80</v>
      </c>
      <c r="F81" s="168"/>
      <c r="G81" s="168">
        <f t="shared" si="34"/>
        <v>80</v>
      </c>
      <c r="H81" s="168"/>
      <c r="I81" s="168">
        <f t="shared" si="35"/>
        <v>80</v>
      </c>
      <c r="J81" s="168"/>
      <c r="K81" s="168">
        <f t="shared" si="36"/>
        <v>80</v>
      </c>
      <c r="L81" s="168"/>
      <c r="M81" s="168">
        <f t="shared" si="37"/>
        <v>80</v>
      </c>
      <c r="N81" s="168"/>
      <c r="O81" s="168">
        <f t="shared" si="38"/>
        <v>80</v>
      </c>
      <c r="P81" s="168"/>
      <c r="Q81" s="168">
        <f t="shared" si="39"/>
        <v>80</v>
      </c>
      <c r="R81" s="168"/>
      <c r="S81" s="168">
        <f t="shared" si="40"/>
        <v>80</v>
      </c>
    </row>
    <row r="82" spans="1:19" s="6" customFormat="1" ht="24" customHeight="1">
      <c r="A82" s="160"/>
      <c r="B82" s="159">
        <v>75075</v>
      </c>
      <c r="C82" s="160"/>
      <c r="D82" s="161" t="s">
        <v>243</v>
      </c>
      <c r="E82" s="158">
        <f aca="true" t="shared" si="41" ref="E82:Q82">SUM(E83,E102)</f>
        <v>25320</v>
      </c>
      <c r="F82" s="158">
        <f t="shared" si="41"/>
        <v>0</v>
      </c>
      <c r="G82" s="158">
        <f t="shared" si="41"/>
        <v>25320</v>
      </c>
      <c r="H82" s="158">
        <f t="shared" si="41"/>
        <v>0</v>
      </c>
      <c r="I82" s="158">
        <f t="shared" si="41"/>
        <v>25320</v>
      </c>
      <c r="J82" s="158">
        <f t="shared" si="41"/>
        <v>-3000</v>
      </c>
      <c r="K82" s="158">
        <f t="shared" si="41"/>
        <v>22320</v>
      </c>
      <c r="L82" s="158">
        <f t="shared" si="41"/>
        <v>0</v>
      </c>
      <c r="M82" s="158">
        <f t="shared" si="41"/>
        <v>22320</v>
      </c>
      <c r="N82" s="158">
        <f t="shared" si="41"/>
        <v>0</v>
      </c>
      <c r="O82" s="158">
        <f t="shared" si="41"/>
        <v>22320</v>
      </c>
      <c r="P82" s="158">
        <f t="shared" si="41"/>
        <v>-4100</v>
      </c>
      <c r="Q82" s="158">
        <f t="shared" si="41"/>
        <v>18220</v>
      </c>
      <c r="R82" s="158">
        <f>SUM(R83,R102)</f>
        <v>0</v>
      </c>
      <c r="S82" s="158">
        <f>SUM(S83,S102)</f>
        <v>18220</v>
      </c>
    </row>
    <row r="83" spans="1:19" s="22" customFormat="1" ht="21.75" customHeight="1">
      <c r="A83" s="162"/>
      <c r="B83" s="162"/>
      <c r="C83" s="162" t="s">
        <v>444</v>
      </c>
      <c r="D83" s="164" t="s">
        <v>116</v>
      </c>
      <c r="E83" s="165">
        <f aca="true" t="shared" si="42" ref="E83:Q83">SUM(E84:E101)</f>
        <v>18270</v>
      </c>
      <c r="F83" s="165">
        <f t="shared" si="42"/>
        <v>0</v>
      </c>
      <c r="G83" s="165">
        <f t="shared" si="42"/>
        <v>18270</v>
      </c>
      <c r="H83" s="165">
        <f t="shared" si="42"/>
        <v>0</v>
      </c>
      <c r="I83" s="165">
        <f t="shared" si="42"/>
        <v>18270</v>
      </c>
      <c r="J83" s="165">
        <f t="shared" si="42"/>
        <v>-3000</v>
      </c>
      <c r="K83" s="165">
        <f t="shared" si="42"/>
        <v>15270</v>
      </c>
      <c r="L83" s="165">
        <f t="shared" si="42"/>
        <v>0</v>
      </c>
      <c r="M83" s="165">
        <f t="shared" si="42"/>
        <v>15270</v>
      </c>
      <c r="N83" s="165">
        <f t="shared" si="42"/>
        <v>0</v>
      </c>
      <c r="O83" s="165">
        <f t="shared" si="42"/>
        <v>15270</v>
      </c>
      <c r="P83" s="165">
        <f t="shared" si="42"/>
        <v>-3500</v>
      </c>
      <c r="Q83" s="165">
        <f t="shared" si="42"/>
        <v>11770</v>
      </c>
      <c r="R83" s="165">
        <f>SUM(R84:R101)</f>
        <v>0</v>
      </c>
      <c r="S83" s="165">
        <f>SUM(S84:S101)</f>
        <v>11770</v>
      </c>
    </row>
    <row r="84" spans="1:19" s="22" customFormat="1" ht="21.75" customHeight="1">
      <c r="A84" s="166"/>
      <c r="B84" s="166"/>
      <c r="C84" s="166"/>
      <c r="D84" s="167" t="s">
        <v>437</v>
      </c>
      <c r="E84" s="168">
        <v>1350</v>
      </c>
      <c r="F84" s="168"/>
      <c r="G84" s="168">
        <f aca="true" t="shared" si="43" ref="G84:G101">SUM(E84:F84)</f>
        <v>1350</v>
      </c>
      <c r="H84" s="168"/>
      <c r="I84" s="168">
        <f aca="true" t="shared" si="44" ref="I84:I101">SUM(G84:H84)</f>
        <v>1350</v>
      </c>
      <c r="J84" s="168"/>
      <c r="K84" s="168">
        <f aca="true" t="shared" si="45" ref="K84:K101">SUM(I84:J84)</f>
        <v>1350</v>
      </c>
      <c r="L84" s="168"/>
      <c r="M84" s="168">
        <f aca="true" t="shared" si="46" ref="M84:M101">SUM(K84:L84)</f>
        <v>1350</v>
      </c>
      <c r="N84" s="168"/>
      <c r="O84" s="168">
        <f aca="true" t="shared" si="47" ref="O84:O101">SUM(M84:N84)</f>
        <v>1350</v>
      </c>
      <c r="P84" s="168">
        <v>-1000</v>
      </c>
      <c r="Q84" s="168">
        <f aca="true" t="shared" si="48" ref="Q84:Q101">SUM(O84:P84)</f>
        <v>350</v>
      </c>
      <c r="R84" s="168"/>
      <c r="S84" s="168">
        <f aca="true" t="shared" si="49" ref="S84:S101">SUM(Q84:R84)</f>
        <v>350</v>
      </c>
    </row>
    <row r="85" spans="1:19" s="22" customFormat="1" ht="21.75" customHeight="1">
      <c r="A85" s="166"/>
      <c r="B85" s="166"/>
      <c r="C85" s="166"/>
      <c r="D85" s="167" t="s">
        <v>438</v>
      </c>
      <c r="E85" s="168">
        <v>500</v>
      </c>
      <c r="F85" s="168"/>
      <c r="G85" s="168">
        <f t="shared" si="43"/>
        <v>500</v>
      </c>
      <c r="H85" s="168"/>
      <c r="I85" s="168">
        <f t="shared" si="44"/>
        <v>500</v>
      </c>
      <c r="J85" s="168"/>
      <c r="K85" s="168">
        <f t="shared" si="45"/>
        <v>500</v>
      </c>
      <c r="L85" s="168"/>
      <c r="M85" s="168">
        <f t="shared" si="46"/>
        <v>500</v>
      </c>
      <c r="N85" s="168"/>
      <c r="O85" s="168">
        <f t="shared" si="47"/>
        <v>500</v>
      </c>
      <c r="P85" s="168"/>
      <c r="Q85" s="168">
        <f t="shared" si="48"/>
        <v>500</v>
      </c>
      <c r="R85" s="168"/>
      <c r="S85" s="168">
        <f t="shared" si="49"/>
        <v>500</v>
      </c>
    </row>
    <row r="86" spans="1:19" s="22" customFormat="1" ht="21.75" customHeight="1">
      <c r="A86" s="166"/>
      <c r="B86" s="166"/>
      <c r="C86" s="166"/>
      <c r="D86" s="167" t="s">
        <v>426</v>
      </c>
      <c r="E86" s="168">
        <v>500</v>
      </c>
      <c r="F86" s="168"/>
      <c r="G86" s="168">
        <f t="shared" si="43"/>
        <v>500</v>
      </c>
      <c r="H86" s="168"/>
      <c r="I86" s="168">
        <f t="shared" si="44"/>
        <v>500</v>
      </c>
      <c r="J86" s="168"/>
      <c r="K86" s="168">
        <f t="shared" si="45"/>
        <v>500</v>
      </c>
      <c r="L86" s="168"/>
      <c r="M86" s="168">
        <f t="shared" si="46"/>
        <v>500</v>
      </c>
      <c r="N86" s="168"/>
      <c r="O86" s="168">
        <f t="shared" si="47"/>
        <v>500</v>
      </c>
      <c r="P86" s="168"/>
      <c r="Q86" s="168">
        <f t="shared" si="48"/>
        <v>500</v>
      </c>
      <c r="R86" s="168"/>
      <c r="S86" s="168">
        <f t="shared" si="49"/>
        <v>500</v>
      </c>
    </row>
    <row r="87" spans="1:19" s="22" customFormat="1" ht="21.75" customHeight="1">
      <c r="A87" s="166"/>
      <c r="B87" s="166"/>
      <c r="C87" s="166"/>
      <c r="D87" s="167" t="s">
        <v>427</v>
      </c>
      <c r="E87" s="168">
        <v>1000</v>
      </c>
      <c r="F87" s="168"/>
      <c r="G87" s="168">
        <f t="shared" si="43"/>
        <v>1000</v>
      </c>
      <c r="H87" s="168"/>
      <c r="I87" s="168">
        <f t="shared" si="44"/>
        <v>1000</v>
      </c>
      <c r="J87" s="168">
        <v>-1000</v>
      </c>
      <c r="K87" s="168">
        <f t="shared" si="45"/>
        <v>0</v>
      </c>
      <c r="L87" s="168"/>
      <c r="M87" s="168">
        <f t="shared" si="46"/>
        <v>0</v>
      </c>
      <c r="N87" s="168"/>
      <c r="O87" s="168">
        <f t="shared" si="47"/>
        <v>0</v>
      </c>
      <c r="P87" s="168"/>
      <c r="Q87" s="168">
        <f t="shared" si="48"/>
        <v>0</v>
      </c>
      <c r="R87" s="168"/>
      <c r="S87" s="168">
        <f t="shared" si="49"/>
        <v>0</v>
      </c>
    </row>
    <row r="88" spans="1:19" s="22" customFormat="1" ht="21.75" customHeight="1">
      <c r="A88" s="166"/>
      <c r="B88" s="166"/>
      <c r="C88" s="166"/>
      <c r="D88" s="167" t="s">
        <v>439</v>
      </c>
      <c r="E88" s="168">
        <v>1400</v>
      </c>
      <c r="F88" s="168"/>
      <c r="G88" s="168">
        <f t="shared" si="43"/>
        <v>1400</v>
      </c>
      <c r="H88" s="168"/>
      <c r="I88" s="168">
        <f t="shared" si="44"/>
        <v>1400</v>
      </c>
      <c r="J88" s="168"/>
      <c r="K88" s="168">
        <f t="shared" si="45"/>
        <v>1400</v>
      </c>
      <c r="L88" s="168"/>
      <c r="M88" s="168">
        <f t="shared" si="46"/>
        <v>1400</v>
      </c>
      <c r="N88" s="168"/>
      <c r="O88" s="168">
        <f t="shared" si="47"/>
        <v>1400</v>
      </c>
      <c r="P88" s="168"/>
      <c r="Q88" s="168">
        <f t="shared" si="48"/>
        <v>1400</v>
      </c>
      <c r="R88" s="168"/>
      <c r="S88" s="168">
        <f t="shared" si="49"/>
        <v>1400</v>
      </c>
    </row>
    <row r="89" spans="1:19" s="22" customFormat="1" ht="21.75" customHeight="1">
      <c r="A89" s="166"/>
      <c r="B89" s="166"/>
      <c r="C89" s="166"/>
      <c r="D89" s="167" t="s">
        <v>428</v>
      </c>
      <c r="E89" s="168">
        <v>500</v>
      </c>
      <c r="F89" s="168"/>
      <c r="G89" s="168">
        <f t="shared" si="43"/>
        <v>500</v>
      </c>
      <c r="H89" s="168"/>
      <c r="I89" s="168">
        <f t="shared" si="44"/>
        <v>500</v>
      </c>
      <c r="J89" s="168">
        <v>-500</v>
      </c>
      <c r="K89" s="168">
        <f t="shared" si="45"/>
        <v>0</v>
      </c>
      <c r="L89" s="168"/>
      <c r="M89" s="168">
        <f t="shared" si="46"/>
        <v>0</v>
      </c>
      <c r="N89" s="168"/>
      <c r="O89" s="168">
        <f t="shared" si="47"/>
        <v>0</v>
      </c>
      <c r="P89" s="168"/>
      <c r="Q89" s="168">
        <f t="shared" si="48"/>
        <v>0</v>
      </c>
      <c r="R89" s="168"/>
      <c r="S89" s="168">
        <f t="shared" si="49"/>
        <v>0</v>
      </c>
    </row>
    <row r="90" spans="1:19" s="22" customFormat="1" ht="21.75" customHeight="1">
      <c r="A90" s="166"/>
      <c r="B90" s="166"/>
      <c r="C90" s="166"/>
      <c r="D90" s="167" t="s">
        <v>429</v>
      </c>
      <c r="E90" s="168">
        <v>2000</v>
      </c>
      <c r="F90" s="168"/>
      <c r="G90" s="168">
        <f t="shared" si="43"/>
        <v>2000</v>
      </c>
      <c r="H90" s="168"/>
      <c r="I90" s="168">
        <f t="shared" si="44"/>
        <v>2000</v>
      </c>
      <c r="J90" s="168"/>
      <c r="K90" s="168">
        <f t="shared" si="45"/>
        <v>2000</v>
      </c>
      <c r="L90" s="168"/>
      <c r="M90" s="168">
        <f t="shared" si="46"/>
        <v>2000</v>
      </c>
      <c r="N90" s="168"/>
      <c r="O90" s="168">
        <f t="shared" si="47"/>
        <v>2000</v>
      </c>
      <c r="P90" s="168"/>
      <c r="Q90" s="168">
        <f t="shared" si="48"/>
        <v>2000</v>
      </c>
      <c r="R90" s="168"/>
      <c r="S90" s="168">
        <f t="shared" si="49"/>
        <v>2000</v>
      </c>
    </row>
    <row r="91" spans="1:19" s="22" customFormat="1" ht="21.75" customHeight="1">
      <c r="A91" s="166"/>
      <c r="B91" s="166"/>
      <c r="C91" s="166"/>
      <c r="D91" s="167" t="s">
        <v>430</v>
      </c>
      <c r="E91" s="168">
        <v>1300</v>
      </c>
      <c r="F91" s="168"/>
      <c r="G91" s="168">
        <f t="shared" si="43"/>
        <v>1300</v>
      </c>
      <c r="H91" s="168"/>
      <c r="I91" s="168">
        <f t="shared" si="44"/>
        <v>1300</v>
      </c>
      <c r="J91" s="168"/>
      <c r="K91" s="168">
        <f t="shared" si="45"/>
        <v>1300</v>
      </c>
      <c r="L91" s="168"/>
      <c r="M91" s="168">
        <f t="shared" si="46"/>
        <v>1300</v>
      </c>
      <c r="N91" s="168"/>
      <c r="O91" s="168">
        <f t="shared" si="47"/>
        <v>1300</v>
      </c>
      <c r="P91" s="168"/>
      <c r="Q91" s="168">
        <f t="shared" si="48"/>
        <v>1300</v>
      </c>
      <c r="R91" s="168"/>
      <c r="S91" s="168">
        <f t="shared" si="49"/>
        <v>1300</v>
      </c>
    </row>
    <row r="92" spans="1:19" s="22" customFormat="1" ht="21.75" customHeight="1">
      <c r="A92" s="166"/>
      <c r="B92" s="166"/>
      <c r="C92" s="166"/>
      <c r="D92" s="167" t="s">
        <v>440</v>
      </c>
      <c r="E92" s="168">
        <v>1900</v>
      </c>
      <c r="F92" s="168"/>
      <c r="G92" s="168">
        <f t="shared" si="43"/>
        <v>1900</v>
      </c>
      <c r="H92" s="168"/>
      <c r="I92" s="168">
        <f t="shared" si="44"/>
        <v>1900</v>
      </c>
      <c r="J92" s="168"/>
      <c r="K92" s="168">
        <f t="shared" si="45"/>
        <v>1900</v>
      </c>
      <c r="L92" s="168"/>
      <c r="M92" s="168">
        <f t="shared" si="46"/>
        <v>1900</v>
      </c>
      <c r="N92" s="168"/>
      <c r="O92" s="168">
        <f t="shared" si="47"/>
        <v>1900</v>
      </c>
      <c r="P92" s="168">
        <v>-1900</v>
      </c>
      <c r="Q92" s="168">
        <f t="shared" si="48"/>
        <v>0</v>
      </c>
      <c r="R92" s="168"/>
      <c r="S92" s="168">
        <f t="shared" si="49"/>
        <v>0</v>
      </c>
    </row>
    <row r="93" spans="1:19" s="22" customFormat="1" ht="21.75" customHeight="1">
      <c r="A93" s="166"/>
      <c r="B93" s="166"/>
      <c r="C93" s="166"/>
      <c r="D93" s="167" t="s">
        <v>431</v>
      </c>
      <c r="E93" s="168">
        <v>300</v>
      </c>
      <c r="F93" s="168"/>
      <c r="G93" s="168">
        <f t="shared" si="43"/>
        <v>300</v>
      </c>
      <c r="H93" s="168"/>
      <c r="I93" s="168">
        <f t="shared" si="44"/>
        <v>300</v>
      </c>
      <c r="J93" s="168"/>
      <c r="K93" s="168">
        <f t="shared" si="45"/>
        <v>300</v>
      </c>
      <c r="L93" s="168"/>
      <c r="M93" s="168">
        <f t="shared" si="46"/>
        <v>300</v>
      </c>
      <c r="N93" s="168"/>
      <c r="O93" s="168">
        <f t="shared" si="47"/>
        <v>300</v>
      </c>
      <c r="P93" s="168"/>
      <c r="Q93" s="168">
        <f t="shared" si="48"/>
        <v>300</v>
      </c>
      <c r="R93" s="168"/>
      <c r="S93" s="168">
        <f t="shared" si="49"/>
        <v>300</v>
      </c>
    </row>
    <row r="94" spans="1:19" s="22" customFormat="1" ht="21.75" customHeight="1">
      <c r="A94" s="166"/>
      <c r="B94" s="166"/>
      <c r="C94" s="166"/>
      <c r="D94" s="167" t="s">
        <v>432</v>
      </c>
      <c r="E94" s="168">
        <v>1000</v>
      </c>
      <c r="F94" s="168"/>
      <c r="G94" s="168">
        <f t="shared" si="43"/>
        <v>1000</v>
      </c>
      <c r="H94" s="168"/>
      <c r="I94" s="168">
        <f t="shared" si="44"/>
        <v>1000</v>
      </c>
      <c r="J94" s="168"/>
      <c r="K94" s="168">
        <f t="shared" si="45"/>
        <v>1000</v>
      </c>
      <c r="L94" s="168"/>
      <c r="M94" s="168">
        <f t="shared" si="46"/>
        <v>1000</v>
      </c>
      <c r="N94" s="168"/>
      <c r="O94" s="168">
        <f t="shared" si="47"/>
        <v>1000</v>
      </c>
      <c r="P94" s="168"/>
      <c r="Q94" s="168">
        <f t="shared" si="48"/>
        <v>1000</v>
      </c>
      <c r="R94" s="168"/>
      <c r="S94" s="168">
        <f t="shared" si="49"/>
        <v>1000</v>
      </c>
    </row>
    <row r="95" spans="1:19" s="22" customFormat="1" ht="21.75" customHeight="1">
      <c r="A95" s="166"/>
      <c r="B95" s="166"/>
      <c r="C95" s="166"/>
      <c r="D95" s="167" t="s">
        <v>434</v>
      </c>
      <c r="E95" s="168">
        <v>720</v>
      </c>
      <c r="F95" s="168"/>
      <c r="G95" s="168">
        <f t="shared" si="43"/>
        <v>720</v>
      </c>
      <c r="H95" s="168"/>
      <c r="I95" s="168">
        <f t="shared" si="44"/>
        <v>720</v>
      </c>
      <c r="J95" s="168"/>
      <c r="K95" s="168">
        <f t="shared" si="45"/>
        <v>720</v>
      </c>
      <c r="L95" s="168"/>
      <c r="M95" s="168">
        <f t="shared" si="46"/>
        <v>720</v>
      </c>
      <c r="N95" s="168"/>
      <c r="O95" s="168">
        <f t="shared" si="47"/>
        <v>720</v>
      </c>
      <c r="P95" s="168"/>
      <c r="Q95" s="168">
        <f t="shared" si="48"/>
        <v>720</v>
      </c>
      <c r="R95" s="168"/>
      <c r="S95" s="168">
        <f t="shared" si="49"/>
        <v>720</v>
      </c>
    </row>
    <row r="96" spans="1:19" s="22" customFormat="1" ht="21.75" customHeight="1">
      <c r="A96" s="166"/>
      <c r="B96" s="166"/>
      <c r="C96" s="166"/>
      <c r="D96" s="167" t="s">
        <v>435</v>
      </c>
      <c r="E96" s="168">
        <v>600</v>
      </c>
      <c r="F96" s="168"/>
      <c r="G96" s="168">
        <f t="shared" si="43"/>
        <v>600</v>
      </c>
      <c r="H96" s="168"/>
      <c r="I96" s="168">
        <f t="shared" si="44"/>
        <v>600</v>
      </c>
      <c r="J96" s="168"/>
      <c r="K96" s="168">
        <f t="shared" si="45"/>
        <v>600</v>
      </c>
      <c r="L96" s="168"/>
      <c r="M96" s="168">
        <f t="shared" si="46"/>
        <v>600</v>
      </c>
      <c r="N96" s="168"/>
      <c r="O96" s="168">
        <f t="shared" si="47"/>
        <v>600</v>
      </c>
      <c r="P96" s="168">
        <v>-600</v>
      </c>
      <c r="Q96" s="168">
        <f t="shared" si="48"/>
        <v>0</v>
      </c>
      <c r="R96" s="168"/>
      <c r="S96" s="168">
        <f t="shared" si="49"/>
        <v>0</v>
      </c>
    </row>
    <row r="97" spans="1:19" s="22" customFormat="1" ht="21.75" customHeight="1">
      <c r="A97" s="166"/>
      <c r="B97" s="166"/>
      <c r="C97" s="166"/>
      <c r="D97" s="167" t="s">
        <v>441</v>
      </c>
      <c r="E97" s="168">
        <v>1500</v>
      </c>
      <c r="F97" s="168"/>
      <c r="G97" s="168">
        <f t="shared" si="43"/>
        <v>1500</v>
      </c>
      <c r="H97" s="168"/>
      <c r="I97" s="168">
        <f t="shared" si="44"/>
        <v>1500</v>
      </c>
      <c r="J97" s="168">
        <v>-1500</v>
      </c>
      <c r="K97" s="168">
        <f t="shared" si="45"/>
        <v>0</v>
      </c>
      <c r="L97" s="168"/>
      <c r="M97" s="168">
        <f t="shared" si="46"/>
        <v>0</v>
      </c>
      <c r="N97" s="168"/>
      <c r="O97" s="168">
        <f t="shared" si="47"/>
        <v>0</v>
      </c>
      <c r="P97" s="168"/>
      <c r="Q97" s="168">
        <f t="shared" si="48"/>
        <v>0</v>
      </c>
      <c r="R97" s="168"/>
      <c r="S97" s="168">
        <f t="shared" si="49"/>
        <v>0</v>
      </c>
    </row>
    <row r="98" spans="1:19" s="22" customFormat="1" ht="21.75" customHeight="1">
      <c r="A98" s="166"/>
      <c r="B98" s="166"/>
      <c r="C98" s="166"/>
      <c r="D98" s="167" t="s">
        <v>442</v>
      </c>
      <c r="E98" s="168">
        <v>1500</v>
      </c>
      <c r="F98" s="168"/>
      <c r="G98" s="168">
        <f t="shared" si="43"/>
        <v>1500</v>
      </c>
      <c r="H98" s="168"/>
      <c r="I98" s="168">
        <f t="shared" si="44"/>
        <v>1500</v>
      </c>
      <c r="J98" s="168"/>
      <c r="K98" s="168">
        <f t="shared" si="45"/>
        <v>1500</v>
      </c>
      <c r="L98" s="168"/>
      <c r="M98" s="168">
        <f t="shared" si="46"/>
        <v>1500</v>
      </c>
      <c r="N98" s="168"/>
      <c r="O98" s="168">
        <f t="shared" si="47"/>
        <v>1500</v>
      </c>
      <c r="P98" s="168"/>
      <c r="Q98" s="168">
        <f t="shared" si="48"/>
        <v>1500</v>
      </c>
      <c r="R98" s="168"/>
      <c r="S98" s="168">
        <f t="shared" si="49"/>
        <v>1500</v>
      </c>
    </row>
    <row r="99" spans="1:19" s="22" customFormat="1" ht="21.75" customHeight="1">
      <c r="A99" s="166"/>
      <c r="B99" s="166"/>
      <c r="C99" s="166"/>
      <c r="D99" s="167" t="s">
        <v>445</v>
      </c>
      <c r="E99" s="168">
        <v>1500</v>
      </c>
      <c r="F99" s="168"/>
      <c r="G99" s="168">
        <f t="shared" si="43"/>
        <v>1500</v>
      </c>
      <c r="H99" s="168"/>
      <c r="I99" s="168">
        <f t="shared" si="44"/>
        <v>1500</v>
      </c>
      <c r="J99" s="168"/>
      <c r="K99" s="168">
        <f t="shared" si="45"/>
        <v>1500</v>
      </c>
      <c r="L99" s="168"/>
      <c r="M99" s="168">
        <f t="shared" si="46"/>
        <v>1500</v>
      </c>
      <c r="N99" s="168"/>
      <c r="O99" s="168">
        <f t="shared" si="47"/>
        <v>1500</v>
      </c>
      <c r="P99" s="168"/>
      <c r="Q99" s="168">
        <f t="shared" si="48"/>
        <v>1500</v>
      </c>
      <c r="R99" s="168"/>
      <c r="S99" s="168">
        <f t="shared" si="49"/>
        <v>1500</v>
      </c>
    </row>
    <row r="100" spans="1:19" s="22" customFormat="1" ht="21.75" customHeight="1">
      <c r="A100" s="166"/>
      <c r="B100" s="166"/>
      <c r="C100" s="166"/>
      <c r="D100" s="167" t="s">
        <v>443</v>
      </c>
      <c r="E100" s="168">
        <v>200</v>
      </c>
      <c r="F100" s="168"/>
      <c r="G100" s="168">
        <f t="shared" si="43"/>
        <v>200</v>
      </c>
      <c r="H100" s="168"/>
      <c r="I100" s="168">
        <f t="shared" si="44"/>
        <v>200</v>
      </c>
      <c r="J100" s="168"/>
      <c r="K100" s="168">
        <f t="shared" si="45"/>
        <v>200</v>
      </c>
      <c r="L100" s="168"/>
      <c r="M100" s="168">
        <f t="shared" si="46"/>
        <v>200</v>
      </c>
      <c r="N100" s="168"/>
      <c r="O100" s="168">
        <f t="shared" si="47"/>
        <v>200</v>
      </c>
      <c r="P100" s="168"/>
      <c r="Q100" s="168">
        <f t="shared" si="48"/>
        <v>200</v>
      </c>
      <c r="R100" s="168"/>
      <c r="S100" s="168">
        <f t="shared" si="49"/>
        <v>200</v>
      </c>
    </row>
    <row r="101" spans="1:19" s="22" customFormat="1" ht="21.75" customHeight="1">
      <c r="A101" s="166"/>
      <c r="B101" s="166"/>
      <c r="C101" s="166"/>
      <c r="D101" s="167" t="s">
        <v>446</v>
      </c>
      <c r="E101" s="168">
        <v>500</v>
      </c>
      <c r="F101" s="168"/>
      <c r="G101" s="168">
        <f t="shared" si="43"/>
        <v>500</v>
      </c>
      <c r="H101" s="168"/>
      <c r="I101" s="168">
        <f t="shared" si="44"/>
        <v>500</v>
      </c>
      <c r="J101" s="168"/>
      <c r="K101" s="168">
        <f t="shared" si="45"/>
        <v>500</v>
      </c>
      <c r="L101" s="168"/>
      <c r="M101" s="168">
        <f t="shared" si="46"/>
        <v>500</v>
      </c>
      <c r="N101" s="168"/>
      <c r="O101" s="168">
        <f t="shared" si="47"/>
        <v>500</v>
      </c>
      <c r="P101" s="168"/>
      <c r="Q101" s="168">
        <f t="shared" si="48"/>
        <v>500</v>
      </c>
      <c r="R101" s="168"/>
      <c r="S101" s="168">
        <f t="shared" si="49"/>
        <v>500</v>
      </c>
    </row>
    <row r="102" spans="1:19" s="22" customFormat="1" ht="21.75" customHeight="1">
      <c r="A102" s="162"/>
      <c r="B102" s="162"/>
      <c r="C102" s="162">
        <v>4300</v>
      </c>
      <c r="D102" s="164" t="s">
        <v>103</v>
      </c>
      <c r="E102" s="165">
        <f aca="true" t="shared" si="50" ref="E102:Q102">SUM(E103:E107)</f>
        <v>7050</v>
      </c>
      <c r="F102" s="165">
        <f t="shared" si="50"/>
        <v>0</v>
      </c>
      <c r="G102" s="165">
        <f t="shared" si="50"/>
        <v>7050</v>
      </c>
      <c r="H102" s="165">
        <f t="shared" si="50"/>
        <v>0</v>
      </c>
      <c r="I102" s="165">
        <f t="shared" si="50"/>
        <v>7050</v>
      </c>
      <c r="J102" s="165">
        <f t="shared" si="50"/>
        <v>0</v>
      </c>
      <c r="K102" s="165">
        <f t="shared" si="50"/>
        <v>7050</v>
      </c>
      <c r="L102" s="165">
        <f t="shared" si="50"/>
        <v>0</v>
      </c>
      <c r="M102" s="165">
        <f t="shared" si="50"/>
        <v>7050</v>
      </c>
      <c r="N102" s="165">
        <f t="shared" si="50"/>
        <v>0</v>
      </c>
      <c r="O102" s="165">
        <f t="shared" si="50"/>
        <v>7050</v>
      </c>
      <c r="P102" s="165">
        <f t="shared" si="50"/>
        <v>-600</v>
      </c>
      <c r="Q102" s="165">
        <f t="shared" si="50"/>
        <v>6450</v>
      </c>
      <c r="R102" s="165">
        <f>SUM(R103:R107)</f>
        <v>0</v>
      </c>
      <c r="S102" s="165">
        <f>SUM(S103:S107)</f>
        <v>6450</v>
      </c>
    </row>
    <row r="103" spans="1:19" s="22" customFormat="1" ht="21.75" customHeight="1">
      <c r="A103" s="162"/>
      <c r="B103" s="162"/>
      <c r="C103" s="162"/>
      <c r="D103" s="167" t="s">
        <v>429</v>
      </c>
      <c r="E103" s="165">
        <v>900</v>
      </c>
      <c r="F103" s="165"/>
      <c r="G103" s="165">
        <f>SUM(E103:F103)</f>
        <v>900</v>
      </c>
      <c r="H103" s="165"/>
      <c r="I103" s="165">
        <f>SUM(G103:H103)</f>
        <v>900</v>
      </c>
      <c r="J103" s="165"/>
      <c r="K103" s="165">
        <f>SUM(I103:J103)</f>
        <v>900</v>
      </c>
      <c r="L103" s="165"/>
      <c r="M103" s="165">
        <f>SUM(K103:L103)</f>
        <v>900</v>
      </c>
      <c r="N103" s="165"/>
      <c r="O103" s="165">
        <f>SUM(M103:N103)</f>
        <v>900</v>
      </c>
      <c r="P103" s="165"/>
      <c r="Q103" s="165">
        <f>SUM(O103:P103)</f>
        <v>900</v>
      </c>
      <c r="R103" s="165"/>
      <c r="S103" s="165">
        <f>SUM(Q103:R103)</f>
        <v>900</v>
      </c>
    </row>
    <row r="104" spans="1:19" s="22" customFormat="1" ht="21.75" customHeight="1">
      <c r="A104" s="153"/>
      <c r="B104" s="174"/>
      <c r="C104" s="166"/>
      <c r="D104" s="167" t="s">
        <v>430</v>
      </c>
      <c r="E104" s="168">
        <v>800</v>
      </c>
      <c r="F104" s="168"/>
      <c r="G104" s="165">
        <f>SUM(E104:F104)</f>
        <v>800</v>
      </c>
      <c r="H104" s="168"/>
      <c r="I104" s="165">
        <f>SUM(G104:H104)</f>
        <v>800</v>
      </c>
      <c r="J104" s="168"/>
      <c r="K104" s="165">
        <f>SUM(I104:J104)</f>
        <v>800</v>
      </c>
      <c r="L104" s="168"/>
      <c r="M104" s="165">
        <f>SUM(K104:L104)</f>
        <v>800</v>
      </c>
      <c r="N104" s="168"/>
      <c r="O104" s="165">
        <f>SUM(M104:N104)</f>
        <v>800</v>
      </c>
      <c r="P104" s="168"/>
      <c r="Q104" s="165">
        <f>SUM(O104:P104)</f>
        <v>800</v>
      </c>
      <c r="R104" s="168"/>
      <c r="S104" s="165">
        <f>SUM(Q104:R104)</f>
        <v>800</v>
      </c>
    </row>
    <row r="105" spans="1:19" s="22" customFormat="1" ht="21.75" customHeight="1">
      <c r="A105" s="153"/>
      <c r="B105" s="174"/>
      <c r="C105" s="166"/>
      <c r="D105" s="167" t="s">
        <v>440</v>
      </c>
      <c r="E105" s="168">
        <v>600</v>
      </c>
      <c r="F105" s="168"/>
      <c r="G105" s="165">
        <f>SUM(E105:F105)</f>
        <v>600</v>
      </c>
      <c r="H105" s="168"/>
      <c r="I105" s="165">
        <f>SUM(G105:H105)</f>
        <v>600</v>
      </c>
      <c r="J105" s="168"/>
      <c r="K105" s="165">
        <f>SUM(I105:J105)</f>
        <v>600</v>
      </c>
      <c r="L105" s="168"/>
      <c r="M105" s="165">
        <f>SUM(K105:L105)</f>
        <v>600</v>
      </c>
      <c r="N105" s="168"/>
      <c r="O105" s="165">
        <f>SUM(M105:N105)</f>
        <v>600</v>
      </c>
      <c r="P105" s="168">
        <v>-600</v>
      </c>
      <c r="Q105" s="165">
        <f>SUM(O105:P105)</f>
        <v>0</v>
      </c>
      <c r="R105" s="168"/>
      <c r="S105" s="165">
        <f>SUM(Q105:R105)</f>
        <v>0</v>
      </c>
    </row>
    <row r="106" spans="1:19" s="22" customFormat="1" ht="21.75" customHeight="1">
      <c r="A106" s="166"/>
      <c r="B106" s="166"/>
      <c r="C106" s="166"/>
      <c r="D106" s="167" t="s">
        <v>431</v>
      </c>
      <c r="E106" s="168">
        <v>1600</v>
      </c>
      <c r="F106" s="168"/>
      <c r="G106" s="165">
        <f>SUM(E106:F106)</f>
        <v>1600</v>
      </c>
      <c r="H106" s="168"/>
      <c r="I106" s="165">
        <f>SUM(G106:H106)</f>
        <v>1600</v>
      </c>
      <c r="J106" s="168"/>
      <c r="K106" s="165">
        <f>SUM(I106:J106)</f>
        <v>1600</v>
      </c>
      <c r="L106" s="168"/>
      <c r="M106" s="165">
        <f>SUM(K106:L106)</f>
        <v>1600</v>
      </c>
      <c r="N106" s="168"/>
      <c r="O106" s="165">
        <f>SUM(M106:N106)</f>
        <v>1600</v>
      </c>
      <c r="P106" s="168"/>
      <c r="Q106" s="165">
        <f>SUM(O106:P106)</f>
        <v>1600</v>
      </c>
      <c r="R106" s="168"/>
      <c r="S106" s="165">
        <f>SUM(Q106:R106)</f>
        <v>1600</v>
      </c>
    </row>
    <row r="107" spans="1:19" s="22" customFormat="1" ht="21.75" customHeight="1">
      <c r="A107" s="153"/>
      <c r="B107" s="174"/>
      <c r="C107" s="166"/>
      <c r="D107" s="167" t="s">
        <v>434</v>
      </c>
      <c r="E107" s="168">
        <v>3150</v>
      </c>
      <c r="F107" s="168"/>
      <c r="G107" s="165">
        <f>SUM(E107:F107)</f>
        <v>3150</v>
      </c>
      <c r="H107" s="168"/>
      <c r="I107" s="165">
        <f>SUM(G107:H107)</f>
        <v>3150</v>
      </c>
      <c r="J107" s="168"/>
      <c r="K107" s="165">
        <f>SUM(I107:J107)</f>
        <v>3150</v>
      </c>
      <c r="L107" s="168"/>
      <c r="M107" s="165">
        <f>SUM(K107:L107)</f>
        <v>3150</v>
      </c>
      <c r="N107" s="168"/>
      <c r="O107" s="165">
        <f>SUM(M107:N107)</f>
        <v>3150</v>
      </c>
      <c r="P107" s="168"/>
      <c r="Q107" s="165">
        <f>SUM(O107:P107)</f>
        <v>3150</v>
      </c>
      <c r="R107" s="168"/>
      <c r="S107" s="165">
        <f>SUM(Q107:R107)</f>
        <v>3150</v>
      </c>
    </row>
    <row r="108" spans="1:19" s="6" customFormat="1" ht="24" customHeight="1">
      <c r="A108" s="155">
        <v>754</v>
      </c>
      <c r="B108" s="156"/>
      <c r="C108" s="156"/>
      <c r="D108" s="157" t="s">
        <v>34</v>
      </c>
      <c r="E108" s="158">
        <f aca="true" t="shared" si="51" ref="E108:S109">SUM(E109)</f>
        <v>7100</v>
      </c>
      <c r="F108" s="158">
        <f t="shared" si="51"/>
        <v>0</v>
      </c>
      <c r="G108" s="158">
        <f t="shared" si="51"/>
        <v>7100</v>
      </c>
      <c r="H108" s="158">
        <f t="shared" si="51"/>
        <v>0</v>
      </c>
      <c r="I108" s="158">
        <f t="shared" si="51"/>
        <v>7100</v>
      </c>
      <c r="J108" s="158">
        <f t="shared" si="51"/>
        <v>0</v>
      </c>
      <c r="K108" s="158">
        <f t="shared" si="51"/>
        <v>7100</v>
      </c>
      <c r="L108" s="158">
        <f t="shared" si="51"/>
        <v>0</v>
      </c>
      <c r="M108" s="158">
        <f t="shared" si="51"/>
        <v>7100</v>
      </c>
      <c r="N108" s="158">
        <f t="shared" si="51"/>
        <v>0</v>
      </c>
      <c r="O108" s="158">
        <f t="shared" si="51"/>
        <v>7100</v>
      </c>
      <c r="P108" s="158">
        <f t="shared" si="51"/>
        <v>0</v>
      </c>
      <c r="Q108" s="158">
        <f t="shared" si="51"/>
        <v>7100</v>
      </c>
      <c r="R108" s="158">
        <f t="shared" si="51"/>
        <v>0</v>
      </c>
      <c r="S108" s="158">
        <f t="shared" si="51"/>
        <v>7100</v>
      </c>
    </row>
    <row r="109" spans="1:19" s="6" customFormat="1" ht="24" customHeight="1">
      <c r="A109" s="159"/>
      <c r="B109" s="159">
        <v>75412</v>
      </c>
      <c r="C109" s="160"/>
      <c r="D109" s="161" t="s">
        <v>128</v>
      </c>
      <c r="E109" s="158">
        <f t="shared" si="51"/>
        <v>7100</v>
      </c>
      <c r="F109" s="158">
        <f t="shared" si="51"/>
        <v>0</v>
      </c>
      <c r="G109" s="158">
        <f t="shared" si="51"/>
        <v>7100</v>
      </c>
      <c r="H109" s="158">
        <f t="shared" si="51"/>
        <v>0</v>
      </c>
      <c r="I109" s="158">
        <f t="shared" si="51"/>
        <v>7100</v>
      </c>
      <c r="J109" s="158">
        <f t="shared" si="51"/>
        <v>0</v>
      </c>
      <c r="K109" s="158">
        <f t="shared" si="51"/>
        <v>7100</v>
      </c>
      <c r="L109" s="158">
        <f t="shared" si="51"/>
        <v>0</v>
      </c>
      <c r="M109" s="158">
        <f t="shared" si="51"/>
        <v>7100</v>
      </c>
      <c r="N109" s="158">
        <f t="shared" si="51"/>
        <v>0</v>
      </c>
      <c r="O109" s="158">
        <f t="shared" si="51"/>
        <v>7100</v>
      </c>
      <c r="P109" s="158">
        <f t="shared" si="51"/>
        <v>0</v>
      </c>
      <c r="Q109" s="158">
        <f t="shared" si="51"/>
        <v>7100</v>
      </c>
      <c r="R109" s="158">
        <f t="shared" si="51"/>
        <v>0</v>
      </c>
      <c r="S109" s="158">
        <f t="shared" si="51"/>
        <v>7100</v>
      </c>
    </row>
    <row r="110" spans="1:19" s="22" customFormat="1" ht="21.75" customHeight="1">
      <c r="A110" s="162"/>
      <c r="B110" s="163"/>
      <c r="C110" s="162">
        <v>4210</v>
      </c>
      <c r="D110" s="164" t="s">
        <v>447</v>
      </c>
      <c r="E110" s="165">
        <f aca="true" t="shared" si="52" ref="E110:Q110">SUM(E111:E116)</f>
        <v>7100</v>
      </c>
      <c r="F110" s="165">
        <f t="shared" si="52"/>
        <v>0</v>
      </c>
      <c r="G110" s="165">
        <f t="shared" si="52"/>
        <v>7100</v>
      </c>
      <c r="H110" s="165">
        <f t="shared" si="52"/>
        <v>0</v>
      </c>
      <c r="I110" s="165">
        <f t="shared" si="52"/>
        <v>7100</v>
      </c>
      <c r="J110" s="165">
        <f t="shared" si="52"/>
        <v>0</v>
      </c>
      <c r="K110" s="165">
        <f t="shared" si="52"/>
        <v>7100</v>
      </c>
      <c r="L110" s="165">
        <f t="shared" si="52"/>
        <v>0</v>
      </c>
      <c r="M110" s="165">
        <f t="shared" si="52"/>
        <v>7100</v>
      </c>
      <c r="N110" s="165">
        <f t="shared" si="52"/>
        <v>0</v>
      </c>
      <c r="O110" s="165">
        <f t="shared" si="52"/>
        <v>7100</v>
      </c>
      <c r="P110" s="165">
        <f t="shared" si="52"/>
        <v>0</v>
      </c>
      <c r="Q110" s="165">
        <f t="shared" si="52"/>
        <v>7100</v>
      </c>
      <c r="R110" s="165">
        <f>SUM(R111:R116)</f>
        <v>0</v>
      </c>
      <c r="S110" s="165">
        <f>SUM(S111:S116)</f>
        <v>7100</v>
      </c>
    </row>
    <row r="111" spans="1:19" s="22" customFormat="1" ht="21.75" customHeight="1">
      <c r="A111" s="166"/>
      <c r="B111" s="166"/>
      <c r="C111" s="166"/>
      <c r="D111" s="167" t="s">
        <v>439</v>
      </c>
      <c r="E111" s="168">
        <v>2000</v>
      </c>
      <c r="F111" s="168"/>
      <c r="G111" s="168">
        <f aca="true" t="shared" si="53" ref="G111:G116">SUM(E111:F111)</f>
        <v>2000</v>
      </c>
      <c r="H111" s="168"/>
      <c r="I111" s="168">
        <f aca="true" t="shared" si="54" ref="I111:I116">SUM(G111:H111)</f>
        <v>2000</v>
      </c>
      <c r="J111" s="168"/>
      <c r="K111" s="168">
        <f aca="true" t="shared" si="55" ref="K111:K116">SUM(I111:J111)</f>
        <v>2000</v>
      </c>
      <c r="L111" s="168"/>
      <c r="M111" s="168">
        <f aca="true" t="shared" si="56" ref="M111:M116">SUM(K111:L111)</f>
        <v>2000</v>
      </c>
      <c r="N111" s="168"/>
      <c r="O111" s="168">
        <f aca="true" t="shared" si="57" ref="O111:O116">SUM(M111:N111)</f>
        <v>2000</v>
      </c>
      <c r="P111" s="168"/>
      <c r="Q111" s="168">
        <f aca="true" t="shared" si="58" ref="Q111:Q116">SUM(O111:P111)</f>
        <v>2000</v>
      </c>
      <c r="R111" s="168"/>
      <c r="S111" s="168">
        <f aca="true" t="shared" si="59" ref="S111:S116">SUM(Q111:R111)</f>
        <v>2000</v>
      </c>
    </row>
    <row r="112" spans="1:19" s="22" customFormat="1" ht="21.75" customHeight="1">
      <c r="A112" s="166"/>
      <c r="B112" s="166"/>
      <c r="C112" s="166"/>
      <c r="D112" s="167" t="s">
        <v>428</v>
      </c>
      <c r="E112" s="168">
        <v>500</v>
      </c>
      <c r="F112" s="168"/>
      <c r="G112" s="168">
        <f t="shared" si="53"/>
        <v>500</v>
      </c>
      <c r="H112" s="168"/>
      <c r="I112" s="168">
        <f t="shared" si="54"/>
        <v>500</v>
      </c>
      <c r="J112" s="168"/>
      <c r="K112" s="168">
        <f t="shared" si="55"/>
        <v>500</v>
      </c>
      <c r="L112" s="168"/>
      <c r="M112" s="168">
        <f t="shared" si="56"/>
        <v>500</v>
      </c>
      <c r="N112" s="168"/>
      <c r="O112" s="168">
        <f t="shared" si="57"/>
        <v>500</v>
      </c>
      <c r="P112" s="168"/>
      <c r="Q112" s="168">
        <f t="shared" si="58"/>
        <v>500</v>
      </c>
      <c r="R112" s="168"/>
      <c r="S112" s="168">
        <f t="shared" si="59"/>
        <v>500</v>
      </c>
    </row>
    <row r="113" spans="1:19" s="22" customFormat="1" ht="21.75" customHeight="1">
      <c r="A113" s="166"/>
      <c r="B113" s="166"/>
      <c r="C113" s="166"/>
      <c r="D113" s="167" t="s">
        <v>431</v>
      </c>
      <c r="E113" s="168">
        <v>500</v>
      </c>
      <c r="F113" s="168"/>
      <c r="G113" s="168">
        <f t="shared" si="53"/>
        <v>500</v>
      </c>
      <c r="H113" s="168"/>
      <c r="I113" s="168">
        <f t="shared" si="54"/>
        <v>500</v>
      </c>
      <c r="J113" s="168"/>
      <c r="K113" s="168">
        <f t="shared" si="55"/>
        <v>500</v>
      </c>
      <c r="L113" s="168"/>
      <c r="M113" s="168">
        <f t="shared" si="56"/>
        <v>500</v>
      </c>
      <c r="N113" s="168"/>
      <c r="O113" s="168">
        <f t="shared" si="57"/>
        <v>500</v>
      </c>
      <c r="P113" s="168"/>
      <c r="Q113" s="168">
        <f t="shared" si="58"/>
        <v>500</v>
      </c>
      <c r="R113" s="168"/>
      <c r="S113" s="168">
        <f t="shared" si="59"/>
        <v>500</v>
      </c>
    </row>
    <row r="114" spans="1:19" s="22" customFormat="1" ht="21.75" customHeight="1">
      <c r="A114" s="166"/>
      <c r="B114" s="166"/>
      <c r="C114" s="166"/>
      <c r="D114" s="167" t="s">
        <v>432</v>
      </c>
      <c r="E114" s="168">
        <v>500</v>
      </c>
      <c r="F114" s="168"/>
      <c r="G114" s="168">
        <f t="shared" si="53"/>
        <v>500</v>
      </c>
      <c r="H114" s="168"/>
      <c r="I114" s="168">
        <f t="shared" si="54"/>
        <v>500</v>
      </c>
      <c r="J114" s="168"/>
      <c r="K114" s="168">
        <f t="shared" si="55"/>
        <v>500</v>
      </c>
      <c r="L114" s="168"/>
      <c r="M114" s="168">
        <f t="shared" si="56"/>
        <v>500</v>
      </c>
      <c r="N114" s="168"/>
      <c r="O114" s="168">
        <f t="shared" si="57"/>
        <v>500</v>
      </c>
      <c r="P114" s="168"/>
      <c r="Q114" s="168">
        <f t="shared" si="58"/>
        <v>500</v>
      </c>
      <c r="R114" s="168"/>
      <c r="S114" s="168">
        <f t="shared" si="59"/>
        <v>500</v>
      </c>
    </row>
    <row r="115" spans="1:19" s="22" customFormat="1" ht="21.75" customHeight="1">
      <c r="A115" s="166"/>
      <c r="B115" s="166"/>
      <c r="C115" s="166"/>
      <c r="D115" s="167" t="s">
        <v>441</v>
      </c>
      <c r="E115" s="168">
        <v>600</v>
      </c>
      <c r="F115" s="168"/>
      <c r="G115" s="168">
        <f t="shared" si="53"/>
        <v>600</v>
      </c>
      <c r="H115" s="168"/>
      <c r="I115" s="168">
        <f t="shared" si="54"/>
        <v>600</v>
      </c>
      <c r="J115" s="168"/>
      <c r="K115" s="168">
        <f t="shared" si="55"/>
        <v>600</v>
      </c>
      <c r="L115" s="168"/>
      <c r="M115" s="168">
        <f t="shared" si="56"/>
        <v>600</v>
      </c>
      <c r="N115" s="168"/>
      <c r="O115" s="168">
        <f t="shared" si="57"/>
        <v>600</v>
      </c>
      <c r="P115" s="168"/>
      <c r="Q115" s="168">
        <f t="shared" si="58"/>
        <v>600</v>
      </c>
      <c r="R115" s="168"/>
      <c r="S115" s="168">
        <f t="shared" si="59"/>
        <v>600</v>
      </c>
    </row>
    <row r="116" spans="1:19" s="22" customFormat="1" ht="21.75" customHeight="1">
      <c r="A116" s="166"/>
      <c r="B116" s="166"/>
      <c r="C116" s="166"/>
      <c r="D116" s="167" t="s">
        <v>434</v>
      </c>
      <c r="E116" s="168">
        <v>3000</v>
      </c>
      <c r="F116" s="168"/>
      <c r="G116" s="168">
        <f t="shared" si="53"/>
        <v>3000</v>
      </c>
      <c r="H116" s="168"/>
      <c r="I116" s="168">
        <f t="shared" si="54"/>
        <v>3000</v>
      </c>
      <c r="J116" s="168"/>
      <c r="K116" s="168">
        <f t="shared" si="55"/>
        <v>3000</v>
      </c>
      <c r="L116" s="168"/>
      <c r="M116" s="168">
        <f t="shared" si="56"/>
        <v>3000</v>
      </c>
      <c r="N116" s="168"/>
      <c r="O116" s="168">
        <f t="shared" si="57"/>
        <v>3000</v>
      </c>
      <c r="P116" s="168"/>
      <c r="Q116" s="168">
        <f t="shared" si="58"/>
        <v>3000</v>
      </c>
      <c r="R116" s="168"/>
      <c r="S116" s="168">
        <f t="shared" si="59"/>
        <v>3000</v>
      </c>
    </row>
    <row r="117" spans="1:19" s="6" customFormat="1" ht="21" customHeight="1">
      <c r="A117" s="155" t="s">
        <v>137</v>
      </c>
      <c r="B117" s="156"/>
      <c r="C117" s="156"/>
      <c r="D117" s="157" t="s">
        <v>138</v>
      </c>
      <c r="E117" s="158">
        <f aca="true" t="shared" si="60" ref="E117:Q117">SUM(E118,E127,E133,E136)</f>
        <v>9700</v>
      </c>
      <c r="F117" s="158">
        <f t="shared" si="60"/>
        <v>0</v>
      </c>
      <c r="G117" s="158">
        <f t="shared" si="60"/>
        <v>9700</v>
      </c>
      <c r="H117" s="158">
        <f t="shared" si="60"/>
        <v>0</v>
      </c>
      <c r="I117" s="158">
        <f t="shared" si="60"/>
        <v>9700</v>
      </c>
      <c r="J117" s="158">
        <f t="shared" si="60"/>
        <v>-400</v>
      </c>
      <c r="K117" s="158">
        <f t="shared" si="60"/>
        <v>9300</v>
      </c>
      <c r="L117" s="158">
        <f t="shared" si="60"/>
        <v>0</v>
      </c>
      <c r="M117" s="158">
        <f t="shared" si="60"/>
        <v>9300</v>
      </c>
      <c r="N117" s="158">
        <f t="shared" si="60"/>
        <v>0</v>
      </c>
      <c r="O117" s="158">
        <f t="shared" si="60"/>
        <v>9300</v>
      </c>
      <c r="P117" s="158">
        <f t="shared" si="60"/>
        <v>0</v>
      </c>
      <c r="Q117" s="158">
        <f t="shared" si="60"/>
        <v>9300</v>
      </c>
      <c r="R117" s="158">
        <f>SUM(R118,R127,R133,R136)</f>
        <v>0</v>
      </c>
      <c r="S117" s="158">
        <f>SUM(S118,S127,S133,S136)</f>
        <v>9300</v>
      </c>
    </row>
    <row r="118" spans="1:19" s="22" customFormat="1" ht="19.5" customHeight="1">
      <c r="A118" s="162"/>
      <c r="B118" s="162" t="s">
        <v>139</v>
      </c>
      <c r="C118" s="163"/>
      <c r="D118" s="164" t="s">
        <v>74</v>
      </c>
      <c r="E118" s="165">
        <f aca="true" t="shared" si="61" ref="E118:S118">SUM(E119)</f>
        <v>6500</v>
      </c>
      <c r="F118" s="165">
        <f t="shared" si="61"/>
        <v>0</v>
      </c>
      <c r="G118" s="165">
        <f t="shared" si="61"/>
        <v>6500</v>
      </c>
      <c r="H118" s="165">
        <f t="shared" si="61"/>
        <v>0</v>
      </c>
      <c r="I118" s="165">
        <f t="shared" si="61"/>
        <v>6500</v>
      </c>
      <c r="J118" s="165">
        <f t="shared" si="61"/>
        <v>0</v>
      </c>
      <c r="K118" s="165">
        <f t="shared" si="61"/>
        <v>6500</v>
      </c>
      <c r="L118" s="165">
        <f t="shared" si="61"/>
        <v>0</v>
      </c>
      <c r="M118" s="165">
        <f t="shared" si="61"/>
        <v>6500</v>
      </c>
      <c r="N118" s="165">
        <f t="shared" si="61"/>
        <v>0</v>
      </c>
      <c r="O118" s="165">
        <f t="shared" si="61"/>
        <v>6500</v>
      </c>
      <c r="P118" s="165">
        <f t="shared" si="61"/>
        <v>0</v>
      </c>
      <c r="Q118" s="165">
        <f t="shared" si="61"/>
        <v>6500</v>
      </c>
      <c r="R118" s="165">
        <f t="shared" si="61"/>
        <v>0</v>
      </c>
      <c r="S118" s="165">
        <f t="shared" si="61"/>
        <v>6500</v>
      </c>
    </row>
    <row r="119" spans="1:19" s="22" customFormat="1" ht="17.25" customHeight="1">
      <c r="A119" s="174"/>
      <c r="B119" s="174"/>
      <c r="C119" s="162">
        <v>4210</v>
      </c>
      <c r="D119" s="164" t="s">
        <v>447</v>
      </c>
      <c r="E119" s="165">
        <f aca="true" t="shared" si="62" ref="E119:Q119">SUM(E120:E126)</f>
        <v>6500</v>
      </c>
      <c r="F119" s="165">
        <f t="shared" si="62"/>
        <v>0</v>
      </c>
      <c r="G119" s="165">
        <f t="shared" si="62"/>
        <v>6500</v>
      </c>
      <c r="H119" s="165">
        <f t="shared" si="62"/>
        <v>0</v>
      </c>
      <c r="I119" s="165">
        <f t="shared" si="62"/>
        <v>6500</v>
      </c>
      <c r="J119" s="165">
        <f t="shared" si="62"/>
        <v>0</v>
      </c>
      <c r="K119" s="165">
        <f t="shared" si="62"/>
        <v>6500</v>
      </c>
      <c r="L119" s="165">
        <f t="shared" si="62"/>
        <v>0</v>
      </c>
      <c r="M119" s="165">
        <f t="shared" si="62"/>
        <v>6500</v>
      </c>
      <c r="N119" s="165">
        <f t="shared" si="62"/>
        <v>0</v>
      </c>
      <c r="O119" s="165">
        <f t="shared" si="62"/>
        <v>6500</v>
      </c>
      <c r="P119" s="165">
        <f t="shared" si="62"/>
        <v>0</v>
      </c>
      <c r="Q119" s="165">
        <f t="shared" si="62"/>
        <v>6500</v>
      </c>
      <c r="R119" s="165">
        <f>SUM(R120:R126)</f>
        <v>0</v>
      </c>
      <c r="S119" s="165">
        <f>SUM(S120:S126)</f>
        <v>6500</v>
      </c>
    </row>
    <row r="120" spans="1:19" s="22" customFormat="1" ht="21.75" customHeight="1">
      <c r="A120" s="174"/>
      <c r="B120" s="174"/>
      <c r="C120" s="166"/>
      <c r="D120" s="167" t="s">
        <v>434</v>
      </c>
      <c r="E120" s="168">
        <v>900</v>
      </c>
      <c r="F120" s="168"/>
      <c r="G120" s="168">
        <f aca="true" t="shared" si="63" ref="G120:G126">SUM(E120:F120)</f>
        <v>900</v>
      </c>
      <c r="H120" s="168"/>
      <c r="I120" s="168">
        <f aca="true" t="shared" si="64" ref="I120:I126">SUM(G120:H120)</f>
        <v>900</v>
      </c>
      <c r="J120" s="168"/>
      <c r="K120" s="168">
        <f aca="true" t="shared" si="65" ref="K120:K126">SUM(I120:J120)</f>
        <v>900</v>
      </c>
      <c r="L120" s="168"/>
      <c r="M120" s="168">
        <f aca="true" t="shared" si="66" ref="M120:M126">SUM(K120:L120)</f>
        <v>900</v>
      </c>
      <c r="N120" s="168"/>
      <c r="O120" s="168">
        <f aca="true" t="shared" si="67" ref="O120:O126">SUM(M120:N120)</f>
        <v>900</v>
      </c>
      <c r="P120" s="168"/>
      <c r="Q120" s="168">
        <f aca="true" t="shared" si="68" ref="Q120:Q126">SUM(O120:P120)</f>
        <v>900</v>
      </c>
      <c r="R120" s="168"/>
      <c r="S120" s="168">
        <f aca="true" t="shared" si="69" ref="S120:S126">SUM(Q120:R120)</f>
        <v>900</v>
      </c>
    </row>
    <row r="121" spans="1:19" s="22" customFormat="1" ht="21.75" customHeight="1">
      <c r="A121" s="166"/>
      <c r="B121" s="166"/>
      <c r="C121" s="166"/>
      <c r="D121" s="167" t="s">
        <v>427</v>
      </c>
      <c r="E121" s="168">
        <v>2000</v>
      </c>
      <c r="F121" s="168"/>
      <c r="G121" s="168">
        <f t="shared" si="63"/>
        <v>2000</v>
      </c>
      <c r="H121" s="168"/>
      <c r="I121" s="168">
        <f t="shared" si="64"/>
        <v>2000</v>
      </c>
      <c r="J121" s="168"/>
      <c r="K121" s="168">
        <f t="shared" si="65"/>
        <v>2000</v>
      </c>
      <c r="L121" s="168"/>
      <c r="M121" s="168">
        <f t="shared" si="66"/>
        <v>2000</v>
      </c>
      <c r="N121" s="168"/>
      <c r="O121" s="168">
        <f t="shared" si="67"/>
        <v>2000</v>
      </c>
      <c r="P121" s="168"/>
      <c r="Q121" s="168">
        <f t="shared" si="68"/>
        <v>2000</v>
      </c>
      <c r="R121" s="168"/>
      <c r="S121" s="168">
        <f t="shared" si="69"/>
        <v>2000</v>
      </c>
    </row>
    <row r="122" spans="1:19" s="22" customFormat="1" ht="21.75" customHeight="1">
      <c r="A122" s="166"/>
      <c r="B122" s="166"/>
      <c r="C122" s="166"/>
      <c r="D122" s="167" t="s">
        <v>439</v>
      </c>
      <c r="E122" s="168">
        <v>2000</v>
      </c>
      <c r="F122" s="168"/>
      <c r="G122" s="168">
        <f t="shared" si="63"/>
        <v>2000</v>
      </c>
      <c r="H122" s="168"/>
      <c r="I122" s="168">
        <f t="shared" si="64"/>
        <v>2000</v>
      </c>
      <c r="J122" s="168"/>
      <c r="K122" s="168">
        <f t="shared" si="65"/>
        <v>2000</v>
      </c>
      <c r="L122" s="168"/>
      <c r="M122" s="168">
        <f t="shared" si="66"/>
        <v>2000</v>
      </c>
      <c r="N122" s="168"/>
      <c r="O122" s="168">
        <f t="shared" si="67"/>
        <v>2000</v>
      </c>
      <c r="P122" s="168"/>
      <c r="Q122" s="168">
        <f t="shared" si="68"/>
        <v>2000</v>
      </c>
      <c r="R122" s="168"/>
      <c r="S122" s="168">
        <f t="shared" si="69"/>
        <v>2000</v>
      </c>
    </row>
    <row r="123" spans="1:19" s="22" customFormat="1" ht="21.75" customHeight="1">
      <c r="A123" s="166"/>
      <c r="B123" s="166"/>
      <c r="C123" s="166"/>
      <c r="D123" s="167" t="s">
        <v>428</v>
      </c>
      <c r="E123" s="168">
        <v>200</v>
      </c>
      <c r="F123" s="168"/>
      <c r="G123" s="168">
        <f t="shared" si="63"/>
        <v>200</v>
      </c>
      <c r="H123" s="168"/>
      <c r="I123" s="168">
        <f t="shared" si="64"/>
        <v>200</v>
      </c>
      <c r="J123" s="168"/>
      <c r="K123" s="168">
        <f t="shared" si="65"/>
        <v>200</v>
      </c>
      <c r="L123" s="168"/>
      <c r="M123" s="168">
        <f t="shared" si="66"/>
        <v>200</v>
      </c>
      <c r="N123" s="168"/>
      <c r="O123" s="168">
        <f t="shared" si="67"/>
        <v>200</v>
      </c>
      <c r="P123" s="168"/>
      <c r="Q123" s="168">
        <f t="shared" si="68"/>
        <v>200</v>
      </c>
      <c r="R123" s="168"/>
      <c r="S123" s="168">
        <f t="shared" si="69"/>
        <v>200</v>
      </c>
    </row>
    <row r="124" spans="1:19" s="22" customFormat="1" ht="21.75" customHeight="1">
      <c r="A124" s="166"/>
      <c r="B124" s="166"/>
      <c r="C124" s="166"/>
      <c r="D124" s="167" t="s">
        <v>429</v>
      </c>
      <c r="E124" s="168">
        <v>700</v>
      </c>
      <c r="F124" s="168"/>
      <c r="G124" s="168">
        <f t="shared" si="63"/>
        <v>700</v>
      </c>
      <c r="H124" s="168"/>
      <c r="I124" s="168">
        <f t="shared" si="64"/>
        <v>700</v>
      </c>
      <c r="J124" s="168"/>
      <c r="K124" s="168">
        <f t="shared" si="65"/>
        <v>700</v>
      </c>
      <c r="L124" s="168"/>
      <c r="M124" s="168">
        <f t="shared" si="66"/>
        <v>700</v>
      </c>
      <c r="N124" s="168"/>
      <c r="O124" s="168">
        <f t="shared" si="67"/>
        <v>700</v>
      </c>
      <c r="P124" s="168"/>
      <c r="Q124" s="168">
        <f t="shared" si="68"/>
        <v>700</v>
      </c>
      <c r="R124" s="168"/>
      <c r="S124" s="168">
        <f t="shared" si="69"/>
        <v>700</v>
      </c>
    </row>
    <row r="125" spans="1:19" s="22" customFormat="1" ht="21.75" customHeight="1">
      <c r="A125" s="166"/>
      <c r="B125" s="166"/>
      <c r="C125" s="166"/>
      <c r="D125" s="167" t="s">
        <v>440</v>
      </c>
      <c r="E125" s="168">
        <v>500</v>
      </c>
      <c r="F125" s="168"/>
      <c r="G125" s="168">
        <f t="shared" si="63"/>
        <v>500</v>
      </c>
      <c r="H125" s="168"/>
      <c r="I125" s="168">
        <f t="shared" si="64"/>
        <v>500</v>
      </c>
      <c r="J125" s="168"/>
      <c r="K125" s="168">
        <f t="shared" si="65"/>
        <v>500</v>
      </c>
      <c r="L125" s="168"/>
      <c r="M125" s="168">
        <f t="shared" si="66"/>
        <v>500</v>
      </c>
      <c r="N125" s="168"/>
      <c r="O125" s="168">
        <f t="shared" si="67"/>
        <v>500</v>
      </c>
      <c r="P125" s="168"/>
      <c r="Q125" s="168">
        <f t="shared" si="68"/>
        <v>500</v>
      </c>
      <c r="R125" s="168"/>
      <c r="S125" s="168">
        <f t="shared" si="69"/>
        <v>500</v>
      </c>
    </row>
    <row r="126" spans="1:19" s="22" customFormat="1" ht="21.75" customHeight="1">
      <c r="A126" s="166"/>
      <c r="B126" s="166"/>
      <c r="C126" s="166"/>
      <c r="D126" s="167" t="s">
        <v>441</v>
      </c>
      <c r="E126" s="168">
        <v>200</v>
      </c>
      <c r="F126" s="168"/>
      <c r="G126" s="168">
        <f t="shared" si="63"/>
        <v>200</v>
      </c>
      <c r="H126" s="168"/>
      <c r="I126" s="168">
        <f t="shared" si="64"/>
        <v>200</v>
      </c>
      <c r="J126" s="168"/>
      <c r="K126" s="168">
        <f t="shared" si="65"/>
        <v>200</v>
      </c>
      <c r="L126" s="168"/>
      <c r="M126" s="168">
        <f t="shared" si="66"/>
        <v>200</v>
      </c>
      <c r="N126" s="168"/>
      <c r="O126" s="168">
        <f t="shared" si="67"/>
        <v>200</v>
      </c>
      <c r="P126" s="168"/>
      <c r="Q126" s="168">
        <f t="shared" si="68"/>
        <v>200</v>
      </c>
      <c r="R126" s="168"/>
      <c r="S126" s="168">
        <f t="shared" si="69"/>
        <v>200</v>
      </c>
    </row>
    <row r="127" spans="1:19" s="22" customFormat="1" ht="24" customHeight="1">
      <c r="A127" s="162"/>
      <c r="B127" s="162">
        <v>80103</v>
      </c>
      <c r="C127" s="163"/>
      <c r="D127" s="164" t="s">
        <v>242</v>
      </c>
      <c r="E127" s="165">
        <f aca="true" t="shared" si="70" ref="E127:S127">SUM(E128,)</f>
        <v>1900</v>
      </c>
      <c r="F127" s="165">
        <f t="shared" si="70"/>
        <v>0</v>
      </c>
      <c r="G127" s="165">
        <f t="shared" si="70"/>
        <v>1900</v>
      </c>
      <c r="H127" s="165">
        <f t="shared" si="70"/>
        <v>0</v>
      </c>
      <c r="I127" s="165">
        <f t="shared" si="70"/>
        <v>1900</v>
      </c>
      <c r="J127" s="165">
        <f t="shared" si="70"/>
        <v>0</v>
      </c>
      <c r="K127" s="165">
        <f t="shared" si="70"/>
        <v>1900</v>
      </c>
      <c r="L127" s="165">
        <f t="shared" si="70"/>
        <v>0</v>
      </c>
      <c r="M127" s="165">
        <f t="shared" si="70"/>
        <v>1900</v>
      </c>
      <c r="N127" s="165">
        <f t="shared" si="70"/>
        <v>0</v>
      </c>
      <c r="O127" s="165">
        <f t="shared" si="70"/>
        <v>1900</v>
      </c>
      <c r="P127" s="165">
        <f t="shared" si="70"/>
        <v>0</v>
      </c>
      <c r="Q127" s="165">
        <f t="shared" si="70"/>
        <v>1900</v>
      </c>
      <c r="R127" s="165">
        <f t="shared" si="70"/>
        <v>0</v>
      </c>
      <c r="S127" s="165">
        <f t="shared" si="70"/>
        <v>1900</v>
      </c>
    </row>
    <row r="128" spans="1:19" s="22" customFormat="1" ht="21.75" customHeight="1">
      <c r="A128" s="162"/>
      <c r="B128" s="162"/>
      <c r="C128" s="163">
        <v>4210</v>
      </c>
      <c r="D128" s="164" t="s">
        <v>116</v>
      </c>
      <c r="E128" s="165">
        <f aca="true" t="shared" si="71" ref="E128:Q128">SUM(E129:E132)</f>
        <v>1900</v>
      </c>
      <c r="F128" s="165">
        <f t="shared" si="71"/>
        <v>0</v>
      </c>
      <c r="G128" s="165">
        <f t="shared" si="71"/>
        <v>1900</v>
      </c>
      <c r="H128" s="165">
        <f t="shared" si="71"/>
        <v>0</v>
      </c>
      <c r="I128" s="165">
        <f t="shared" si="71"/>
        <v>1900</v>
      </c>
      <c r="J128" s="165">
        <f t="shared" si="71"/>
        <v>0</v>
      </c>
      <c r="K128" s="165">
        <f t="shared" si="71"/>
        <v>1900</v>
      </c>
      <c r="L128" s="165">
        <f t="shared" si="71"/>
        <v>0</v>
      </c>
      <c r="M128" s="165">
        <f t="shared" si="71"/>
        <v>1900</v>
      </c>
      <c r="N128" s="165">
        <f t="shared" si="71"/>
        <v>0</v>
      </c>
      <c r="O128" s="165">
        <f t="shared" si="71"/>
        <v>1900</v>
      </c>
      <c r="P128" s="165">
        <f t="shared" si="71"/>
        <v>0</v>
      </c>
      <c r="Q128" s="165">
        <f t="shared" si="71"/>
        <v>1900</v>
      </c>
      <c r="R128" s="165">
        <f>SUM(R129:R132)</f>
        <v>0</v>
      </c>
      <c r="S128" s="165">
        <f>SUM(S129:S132)</f>
        <v>1900</v>
      </c>
    </row>
    <row r="129" spans="1:19" s="22" customFormat="1" ht="21.75" customHeight="1">
      <c r="A129" s="173"/>
      <c r="B129" s="173"/>
      <c r="C129" s="172"/>
      <c r="D129" s="167" t="s">
        <v>441</v>
      </c>
      <c r="E129" s="168">
        <v>200</v>
      </c>
      <c r="F129" s="168"/>
      <c r="G129" s="168">
        <f>SUM(E129:F129)</f>
        <v>200</v>
      </c>
      <c r="H129" s="168"/>
      <c r="I129" s="168">
        <f>SUM(G129:H129)</f>
        <v>200</v>
      </c>
      <c r="J129" s="168"/>
      <c r="K129" s="168">
        <f>SUM(I129:J129)</f>
        <v>200</v>
      </c>
      <c r="L129" s="168"/>
      <c r="M129" s="168">
        <f>SUM(K129:L129)</f>
        <v>200</v>
      </c>
      <c r="N129" s="168"/>
      <c r="O129" s="168">
        <f>SUM(M129:N129)</f>
        <v>200</v>
      </c>
      <c r="P129" s="168"/>
      <c r="Q129" s="168">
        <f>SUM(O129:P129)</f>
        <v>200</v>
      </c>
      <c r="R129" s="168"/>
      <c r="S129" s="168">
        <f>SUM(Q129:R129)</f>
        <v>200</v>
      </c>
    </row>
    <row r="130" spans="1:19" s="22" customFormat="1" ht="21.75" customHeight="1">
      <c r="A130" s="173"/>
      <c r="B130" s="173"/>
      <c r="C130" s="172"/>
      <c r="D130" s="167" t="s">
        <v>440</v>
      </c>
      <c r="E130" s="168">
        <v>500</v>
      </c>
      <c r="F130" s="168"/>
      <c r="G130" s="168">
        <f>SUM(E130:F130)</f>
        <v>500</v>
      </c>
      <c r="H130" s="168"/>
      <c r="I130" s="168">
        <f>SUM(G130:H130)</f>
        <v>500</v>
      </c>
      <c r="J130" s="168"/>
      <c r="K130" s="168">
        <f>SUM(I130:J130)</f>
        <v>500</v>
      </c>
      <c r="L130" s="168"/>
      <c r="M130" s="168">
        <f>SUM(K130:L130)</f>
        <v>500</v>
      </c>
      <c r="N130" s="168"/>
      <c r="O130" s="168">
        <f>SUM(M130:N130)</f>
        <v>500</v>
      </c>
      <c r="P130" s="168"/>
      <c r="Q130" s="168">
        <f>SUM(O130:P130)</f>
        <v>500</v>
      </c>
      <c r="R130" s="168"/>
      <c r="S130" s="168">
        <f>SUM(Q130:R130)</f>
        <v>500</v>
      </c>
    </row>
    <row r="131" spans="1:19" s="22" customFormat="1" ht="21.75" customHeight="1">
      <c r="A131" s="173"/>
      <c r="B131" s="173"/>
      <c r="C131" s="172"/>
      <c r="D131" s="167" t="s">
        <v>439</v>
      </c>
      <c r="E131" s="168">
        <v>1000</v>
      </c>
      <c r="F131" s="168"/>
      <c r="G131" s="168">
        <f>SUM(E131:F131)</f>
        <v>1000</v>
      </c>
      <c r="H131" s="168"/>
      <c r="I131" s="168">
        <f>SUM(G131:H131)</f>
        <v>1000</v>
      </c>
      <c r="J131" s="168"/>
      <c r="K131" s="168">
        <f>SUM(I131:J131)</f>
        <v>1000</v>
      </c>
      <c r="L131" s="168"/>
      <c r="M131" s="168">
        <f>SUM(K131:L131)</f>
        <v>1000</v>
      </c>
      <c r="N131" s="168"/>
      <c r="O131" s="168">
        <f>SUM(M131:N131)</f>
        <v>1000</v>
      </c>
      <c r="P131" s="168"/>
      <c r="Q131" s="168">
        <f>SUM(O131:P131)</f>
        <v>1000</v>
      </c>
      <c r="R131" s="168"/>
      <c r="S131" s="168">
        <f>SUM(Q131:R131)</f>
        <v>1000</v>
      </c>
    </row>
    <row r="132" spans="1:19" s="22" customFormat="1" ht="21.75" customHeight="1">
      <c r="A132" s="173"/>
      <c r="B132" s="173"/>
      <c r="C132" s="172"/>
      <c r="D132" s="167" t="s">
        <v>428</v>
      </c>
      <c r="E132" s="168">
        <v>200</v>
      </c>
      <c r="F132" s="168"/>
      <c r="G132" s="168">
        <f>SUM(E132:F132)</f>
        <v>200</v>
      </c>
      <c r="H132" s="168"/>
      <c r="I132" s="168">
        <f>SUM(G132:H132)</f>
        <v>200</v>
      </c>
      <c r="J132" s="168"/>
      <c r="K132" s="168">
        <f>SUM(I132:J132)</f>
        <v>200</v>
      </c>
      <c r="L132" s="168"/>
      <c r="M132" s="168">
        <f>SUM(K132:L132)</f>
        <v>200</v>
      </c>
      <c r="N132" s="168"/>
      <c r="O132" s="168">
        <f>SUM(M132:N132)</f>
        <v>200</v>
      </c>
      <c r="P132" s="168"/>
      <c r="Q132" s="168">
        <f>SUM(O132:P132)</f>
        <v>200</v>
      </c>
      <c r="R132" s="168"/>
      <c r="S132" s="168">
        <f>SUM(Q132:R132)</f>
        <v>200</v>
      </c>
    </row>
    <row r="133" spans="1:19" s="22" customFormat="1" ht="24" customHeight="1">
      <c r="A133" s="162"/>
      <c r="B133" s="162">
        <v>80104</v>
      </c>
      <c r="C133" s="163"/>
      <c r="D133" s="164" t="s">
        <v>324</v>
      </c>
      <c r="E133" s="165">
        <f aca="true" t="shared" si="72" ref="E133:S133">SUM(E134)</f>
        <v>400</v>
      </c>
      <c r="F133" s="165">
        <f t="shared" si="72"/>
        <v>0</v>
      </c>
      <c r="G133" s="165">
        <f t="shared" si="72"/>
        <v>400</v>
      </c>
      <c r="H133" s="165">
        <f t="shared" si="72"/>
        <v>0</v>
      </c>
      <c r="I133" s="165">
        <f t="shared" si="72"/>
        <v>400</v>
      </c>
      <c r="J133" s="165">
        <f t="shared" si="72"/>
        <v>-400</v>
      </c>
      <c r="K133" s="165">
        <f t="shared" si="72"/>
        <v>0</v>
      </c>
      <c r="L133" s="165">
        <f t="shared" si="72"/>
        <v>0</v>
      </c>
      <c r="M133" s="165">
        <f t="shared" si="72"/>
        <v>0</v>
      </c>
      <c r="N133" s="165">
        <f t="shared" si="72"/>
        <v>0</v>
      </c>
      <c r="O133" s="165">
        <f t="shared" si="72"/>
        <v>0</v>
      </c>
      <c r="P133" s="165">
        <f t="shared" si="72"/>
        <v>0</v>
      </c>
      <c r="Q133" s="165">
        <f t="shared" si="72"/>
        <v>0</v>
      </c>
      <c r="R133" s="165">
        <f t="shared" si="72"/>
        <v>0</v>
      </c>
      <c r="S133" s="165">
        <f t="shared" si="72"/>
        <v>0</v>
      </c>
    </row>
    <row r="134" spans="1:19" s="22" customFormat="1" ht="21.75" customHeight="1">
      <c r="A134" s="162"/>
      <c r="B134" s="162"/>
      <c r="C134" s="163">
        <v>4210</v>
      </c>
      <c r="D134" s="164" t="s">
        <v>116</v>
      </c>
      <c r="E134" s="165">
        <f aca="true" t="shared" si="73" ref="E134:S134">SUM(E135:E135)</f>
        <v>400</v>
      </c>
      <c r="F134" s="165">
        <f t="shared" si="73"/>
        <v>0</v>
      </c>
      <c r="G134" s="165">
        <f t="shared" si="73"/>
        <v>400</v>
      </c>
      <c r="H134" s="165">
        <f t="shared" si="73"/>
        <v>0</v>
      </c>
      <c r="I134" s="165">
        <f t="shared" si="73"/>
        <v>400</v>
      </c>
      <c r="J134" s="165">
        <f t="shared" si="73"/>
        <v>-400</v>
      </c>
      <c r="K134" s="165">
        <f t="shared" si="73"/>
        <v>0</v>
      </c>
      <c r="L134" s="165">
        <f t="shared" si="73"/>
        <v>0</v>
      </c>
      <c r="M134" s="165">
        <f t="shared" si="73"/>
        <v>0</v>
      </c>
      <c r="N134" s="165">
        <f t="shared" si="73"/>
        <v>0</v>
      </c>
      <c r="O134" s="165">
        <f t="shared" si="73"/>
        <v>0</v>
      </c>
      <c r="P134" s="165">
        <f t="shared" si="73"/>
        <v>0</v>
      </c>
      <c r="Q134" s="165">
        <f t="shared" si="73"/>
        <v>0</v>
      </c>
      <c r="R134" s="165">
        <f t="shared" si="73"/>
        <v>0</v>
      </c>
      <c r="S134" s="165">
        <f t="shared" si="73"/>
        <v>0</v>
      </c>
    </row>
    <row r="135" spans="1:19" s="22" customFormat="1" ht="21.75" customHeight="1">
      <c r="A135" s="173"/>
      <c r="B135" s="173"/>
      <c r="C135" s="172"/>
      <c r="D135" s="167" t="s">
        <v>434</v>
      </c>
      <c r="E135" s="168">
        <v>400</v>
      </c>
      <c r="F135" s="168"/>
      <c r="G135" s="168">
        <f>SUM(E135:F135)</f>
        <v>400</v>
      </c>
      <c r="H135" s="168"/>
      <c r="I135" s="168">
        <f>SUM(G135:H135)</f>
        <v>400</v>
      </c>
      <c r="J135" s="168">
        <v>-400</v>
      </c>
      <c r="K135" s="168">
        <f>SUM(I135:J135)</f>
        <v>0</v>
      </c>
      <c r="L135" s="168"/>
      <c r="M135" s="168">
        <f>SUM(K135:L135)</f>
        <v>0</v>
      </c>
      <c r="N135" s="168"/>
      <c r="O135" s="168">
        <f>SUM(M135:N135)</f>
        <v>0</v>
      </c>
      <c r="P135" s="168"/>
      <c r="Q135" s="168">
        <f>SUM(O135:P135)</f>
        <v>0</v>
      </c>
      <c r="R135" s="168"/>
      <c r="S135" s="168">
        <f>SUM(Q135:R135)</f>
        <v>0</v>
      </c>
    </row>
    <row r="136" spans="1:19" s="22" customFormat="1" ht="19.5" customHeight="1">
      <c r="A136" s="162"/>
      <c r="B136" s="162">
        <v>80110</v>
      </c>
      <c r="C136" s="163"/>
      <c r="D136" s="164" t="s">
        <v>75</v>
      </c>
      <c r="E136" s="165">
        <f aca="true" t="shared" si="74" ref="E136:S136">E137</f>
        <v>900</v>
      </c>
      <c r="F136" s="165">
        <f t="shared" si="74"/>
        <v>0</v>
      </c>
      <c r="G136" s="165">
        <f t="shared" si="74"/>
        <v>900</v>
      </c>
      <c r="H136" s="165">
        <f t="shared" si="74"/>
        <v>0</v>
      </c>
      <c r="I136" s="165">
        <f t="shared" si="74"/>
        <v>900</v>
      </c>
      <c r="J136" s="165">
        <f t="shared" si="74"/>
        <v>0</v>
      </c>
      <c r="K136" s="165">
        <f t="shared" si="74"/>
        <v>900</v>
      </c>
      <c r="L136" s="165">
        <f t="shared" si="74"/>
        <v>0</v>
      </c>
      <c r="M136" s="165">
        <f t="shared" si="74"/>
        <v>900</v>
      </c>
      <c r="N136" s="165">
        <f t="shared" si="74"/>
        <v>0</v>
      </c>
      <c r="O136" s="165">
        <f t="shared" si="74"/>
        <v>900</v>
      </c>
      <c r="P136" s="165">
        <f t="shared" si="74"/>
        <v>0</v>
      </c>
      <c r="Q136" s="165">
        <f t="shared" si="74"/>
        <v>900</v>
      </c>
      <c r="R136" s="165">
        <f t="shared" si="74"/>
        <v>0</v>
      </c>
      <c r="S136" s="165">
        <f t="shared" si="74"/>
        <v>900</v>
      </c>
    </row>
    <row r="137" spans="1:19" s="22" customFormat="1" ht="18" customHeight="1">
      <c r="A137" s="162"/>
      <c r="B137" s="162"/>
      <c r="C137" s="163">
        <v>4210</v>
      </c>
      <c r="D137" s="164" t="s">
        <v>116</v>
      </c>
      <c r="E137" s="165">
        <f aca="true" t="shared" si="75" ref="E137:S137">SUM(E138)</f>
        <v>900</v>
      </c>
      <c r="F137" s="165">
        <f t="shared" si="75"/>
        <v>0</v>
      </c>
      <c r="G137" s="165">
        <f t="shared" si="75"/>
        <v>900</v>
      </c>
      <c r="H137" s="165">
        <f t="shared" si="75"/>
        <v>0</v>
      </c>
      <c r="I137" s="165">
        <f t="shared" si="75"/>
        <v>900</v>
      </c>
      <c r="J137" s="165">
        <f t="shared" si="75"/>
        <v>0</v>
      </c>
      <c r="K137" s="165">
        <f t="shared" si="75"/>
        <v>900</v>
      </c>
      <c r="L137" s="165">
        <f t="shared" si="75"/>
        <v>0</v>
      </c>
      <c r="M137" s="165">
        <f t="shared" si="75"/>
        <v>900</v>
      </c>
      <c r="N137" s="165">
        <f t="shared" si="75"/>
        <v>0</v>
      </c>
      <c r="O137" s="165">
        <f t="shared" si="75"/>
        <v>900</v>
      </c>
      <c r="P137" s="165">
        <f t="shared" si="75"/>
        <v>0</v>
      </c>
      <c r="Q137" s="165">
        <f t="shared" si="75"/>
        <v>900</v>
      </c>
      <c r="R137" s="165">
        <f t="shared" si="75"/>
        <v>0</v>
      </c>
      <c r="S137" s="165">
        <f t="shared" si="75"/>
        <v>900</v>
      </c>
    </row>
    <row r="138" spans="1:19" s="22" customFormat="1" ht="21.75" customHeight="1">
      <c r="A138" s="173"/>
      <c r="B138" s="173"/>
      <c r="C138" s="172"/>
      <c r="D138" s="167" t="s">
        <v>434</v>
      </c>
      <c r="E138" s="168">
        <v>900</v>
      </c>
      <c r="F138" s="168"/>
      <c r="G138" s="168">
        <f>SUM(E138:F138)</f>
        <v>900</v>
      </c>
      <c r="H138" s="168"/>
      <c r="I138" s="168">
        <f>SUM(G138:H138)</f>
        <v>900</v>
      </c>
      <c r="J138" s="168"/>
      <c r="K138" s="168">
        <f>SUM(I138:J138)</f>
        <v>900</v>
      </c>
      <c r="L138" s="168"/>
      <c r="M138" s="168">
        <f>SUM(K138:L138)</f>
        <v>900</v>
      </c>
      <c r="N138" s="168"/>
      <c r="O138" s="168">
        <f>SUM(M138:N138)</f>
        <v>900</v>
      </c>
      <c r="P138" s="168"/>
      <c r="Q138" s="168">
        <f>SUM(O138:P138)</f>
        <v>900</v>
      </c>
      <c r="R138" s="168"/>
      <c r="S138" s="168">
        <f>SUM(Q138:R138)</f>
        <v>900</v>
      </c>
    </row>
    <row r="139" spans="1:19" s="38" customFormat="1" ht="19.5" customHeight="1">
      <c r="A139" s="159">
        <v>851</v>
      </c>
      <c r="B139" s="159"/>
      <c r="C139" s="160"/>
      <c r="D139" s="161" t="s">
        <v>76</v>
      </c>
      <c r="E139" s="158">
        <f aca="true" t="shared" si="76" ref="E139:S141">SUM(E140)</f>
        <v>800</v>
      </c>
      <c r="F139" s="158">
        <f t="shared" si="76"/>
        <v>0</v>
      </c>
      <c r="G139" s="158">
        <f t="shared" si="76"/>
        <v>800</v>
      </c>
      <c r="H139" s="158">
        <f t="shared" si="76"/>
        <v>0</v>
      </c>
      <c r="I139" s="158">
        <f t="shared" si="76"/>
        <v>800</v>
      </c>
      <c r="J139" s="158">
        <f t="shared" si="76"/>
        <v>0</v>
      </c>
      <c r="K139" s="158">
        <f t="shared" si="76"/>
        <v>800</v>
      </c>
      <c r="L139" s="158">
        <f t="shared" si="76"/>
        <v>0</v>
      </c>
      <c r="M139" s="158">
        <f t="shared" si="76"/>
        <v>800</v>
      </c>
      <c r="N139" s="158">
        <f t="shared" si="76"/>
        <v>432</v>
      </c>
      <c r="O139" s="158">
        <f t="shared" si="76"/>
        <v>1232</v>
      </c>
      <c r="P139" s="158">
        <f t="shared" si="76"/>
        <v>0</v>
      </c>
      <c r="Q139" s="158">
        <f t="shared" si="76"/>
        <v>1232</v>
      </c>
      <c r="R139" s="158">
        <f t="shared" si="76"/>
        <v>0</v>
      </c>
      <c r="S139" s="158">
        <f t="shared" si="76"/>
        <v>1232</v>
      </c>
    </row>
    <row r="140" spans="1:19" s="22" customFormat="1" ht="24" customHeight="1">
      <c r="A140" s="162"/>
      <c r="B140" s="162">
        <v>85154</v>
      </c>
      <c r="C140" s="163"/>
      <c r="D140" s="164" t="s">
        <v>77</v>
      </c>
      <c r="E140" s="165">
        <f t="shared" si="76"/>
        <v>800</v>
      </c>
      <c r="F140" s="165">
        <f t="shared" si="76"/>
        <v>0</v>
      </c>
      <c r="G140" s="165">
        <f t="shared" si="76"/>
        <v>800</v>
      </c>
      <c r="H140" s="165">
        <f t="shared" si="76"/>
        <v>0</v>
      </c>
      <c r="I140" s="165">
        <f t="shared" si="76"/>
        <v>800</v>
      </c>
      <c r="J140" s="165">
        <f t="shared" si="76"/>
        <v>0</v>
      </c>
      <c r="K140" s="165">
        <f t="shared" si="76"/>
        <v>800</v>
      </c>
      <c r="L140" s="165">
        <f t="shared" si="76"/>
        <v>0</v>
      </c>
      <c r="M140" s="165">
        <f t="shared" si="76"/>
        <v>800</v>
      </c>
      <c r="N140" s="165">
        <f t="shared" si="76"/>
        <v>432</v>
      </c>
      <c r="O140" s="165">
        <f t="shared" si="76"/>
        <v>1232</v>
      </c>
      <c r="P140" s="165">
        <f t="shared" si="76"/>
        <v>0</v>
      </c>
      <c r="Q140" s="165">
        <f t="shared" si="76"/>
        <v>1232</v>
      </c>
      <c r="R140" s="165">
        <f t="shared" si="76"/>
        <v>0</v>
      </c>
      <c r="S140" s="165">
        <f t="shared" si="76"/>
        <v>1232</v>
      </c>
    </row>
    <row r="141" spans="1:19" s="22" customFormat="1" ht="18.75" customHeight="1">
      <c r="A141" s="162"/>
      <c r="B141" s="162"/>
      <c r="C141" s="163">
        <v>4350</v>
      </c>
      <c r="D141" s="164" t="s">
        <v>448</v>
      </c>
      <c r="E141" s="165">
        <f t="shared" si="76"/>
        <v>800</v>
      </c>
      <c r="F141" s="165">
        <f t="shared" si="76"/>
        <v>0</v>
      </c>
      <c r="G141" s="165">
        <f t="shared" si="76"/>
        <v>800</v>
      </c>
      <c r="H141" s="165">
        <f t="shared" si="76"/>
        <v>0</v>
      </c>
      <c r="I141" s="165">
        <f t="shared" si="76"/>
        <v>800</v>
      </c>
      <c r="J141" s="165">
        <f t="shared" si="76"/>
        <v>0</v>
      </c>
      <c r="K141" s="165">
        <f t="shared" si="76"/>
        <v>800</v>
      </c>
      <c r="L141" s="165">
        <f t="shared" si="76"/>
        <v>0</v>
      </c>
      <c r="M141" s="165">
        <f t="shared" si="76"/>
        <v>800</v>
      </c>
      <c r="N141" s="165">
        <f t="shared" si="76"/>
        <v>432</v>
      </c>
      <c r="O141" s="165">
        <f t="shared" si="76"/>
        <v>1232</v>
      </c>
      <c r="P141" s="165">
        <f t="shared" si="76"/>
        <v>0</v>
      </c>
      <c r="Q141" s="165">
        <f t="shared" si="76"/>
        <v>1232</v>
      </c>
      <c r="R141" s="165">
        <f t="shared" si="76"/>
        <v>0</v>
      </c>
      <c r="S141" s="165">
        <f t="shared" si="76"/>
        <v>1232</v>
      </c>
    </row>
    <row r="142" spans="1:19" s="24" customFormat="1" ht="21.75" customHeight="1">
      <c r="A142" s="173"/>
      <c r="B142" s="173"/>
      <c r="C142" s="172"/>
      <c r="D142" s="167" t="s">
        <v>434</v>
      </c>
      <c r="E142" s="168">
        <v>800</v>
      </c>
      <c r="F142" s="168"/>
      <c r="G142" s="168">
        <f>SUM(E142:F142)</f>
        <v>800</v>
      </c>
      <c r="H142" s="168"/>
      <c r="I142" s="168">
        <f>SUM(G142:H142)</f>
        <v>800</v>
      </c>
      <c r="J142" s="168"/>
      <c r="K142" s="168">
        <f>SUM(I142:J142)</f>
        <v>800</v>
      </c>
      <c r="L142" s="168"/>
      <c r="M142" s="168">
        <f>SUM(K142:L142)</f>
        <v>800</v>
      </c>
      <c r="N142" s="168">
        <v>432</v>
      </c>
      <c r="O142" s="168">
        <f>SUM(M142:N142)</f>
        <v>1232</v>
      </c>
      <c r="P142" s="168"/>
      <c r="Q142" s="168">
        <f>SUM(O142:P142)</f>
        <v>1232</v>
      </c>
      <c r="R142" s="168"/>
      <c r="S142" s="168">
        <f>SUM(Q142:R142)</f>
        <v>1232</v>
      </c>
    </row>
    <row r="143" spans="1:19" s="6" customFormat="1" ht="24" customHeight="1">
      <c r="A143" s="155">
        <v>854</v>
      </c>
      <c r="B143" s="156"/>
      <c r="C143" s="156"/>
      <c r="D143" s="157" t="s">
        <v>82</v>
      </c>
      <c r="E143" s="158">
        <f aca="true" t="shared" si="77" ref="E143:S143">SUM(E144)</f>
        <v>6200</v>
      </c>
      <c r="F143" s="158">
        <f t="shared" si="77"/>
        <v>0</v>
      </c>
      <c r="G143" s="158">
        <f t="shared" si="77"/>
        <v>6200</v>
      </c>
      <c r="H143" s="158">
        <f t="shared" si="77"/>
        <v>0</v>
      </c>
      <c r="I143" s="158">
        <f t="shared" si="77"/>
        <v>6200</v>
      </c>
      <c r="J143" s="158">
        <f t="shared" si="77"/>
        <v>2000</v>
      </c>
      <c r="K143" s="158">
        <f t="shared" si="77"/>
        <v>8200</v>
      </c>
      <c r="L143" s="158">
        <f t="shared" si="77"/>
        <v>0</v>
      </c>
      <c r="M143" s="158">
        <f t="shared" si="77"/>
        <v>8200</v>
      </c>
      <c r="N143" s="158">
        <f t="shared" si="77"/>
        <v>-1260</v>
      </c>
      <c r="O143" s="158">
        <f t="shared" si="77"/>
        <v>6940</v>
      </c>
      <c r="P143" s="158">
        <f t="shared" si="77"/>
        <v>3110</v>
      </c>
      <c r="Q143" s="158">
        <f t="shared" si="77"/>
        <v>10050</v>
      </c>
      <c r="R143" s="158">
        <f t="shared" si="77"/>
        <v>0</v>
      </c>
      <c r="S143" s="158">
        <f t="shared" si="77"/>
        <v>10050</v>
      </c>
    </row>
    <row r="144" spans="1:19" s="22" customFormat="1" ht="24" customHeight="1">
      <c r="A144" s="162"/>
      <c r="B144" s="162">
        <v>85412</v>
      </c>
      <c r="C144" s="163"/>
      <c r="D144" s="164" t="s">
        <v>449</v>
      </c>
      <c r="E144" s="165">
        <f aca="true" t="shared" si="78" ref="E144:N144">SUM(E145,E150)</f>
        <v>6200</v>
      </c>
      <c r="F144" s="165">
        <f t="shared" si="78"/>
        <v>0</v>
      </c>
      <c r="G144" s="165">
        <f t="shared" si="78"/>
        <v>6200</v>
      </c>
      <c r="H144" s="165">
        <f t="shared" si="78"/>
        <v>0</v>
      </c>
      <c r="I144" s="165">
        <f t="shared" si="78"/>
        <v>6200</v>
      </c>
      <c r="J144" s="165">
        <f t="shared" si="78"/>
        <v>2000</v>
      </c>
      <c r="K144" s="165">
        <f t="shared" si="78"/>
        <v>8200</v>
      </c>
      <c r="L144" s="165">
        <f t="shared" si="78"/>
        <v>0</v>
      </c>
      <c r="M144" s="165">
        <f t="shared" si="78"/>
        <v>8200</v>
      </c>
      <c r="N144" s="165">
        <f t="shared" si="78"/>
        <v>-1260</v>
      </c>
      <c r="O144" s="165">
        <f>SUM(O145,O150,O158)</f>
        <v>6940</v>
      </c>
      <c r="P144" s="165">
        <f>SUM(P145,P150,P158)</f>
        <v>3110</v>
      </c>
      <c r="Q144" s="165">
        <f>SUM(Q145,Q150,Q158)</f>
        <v>10050</v>
      </c>
      <c r="R144" s="165">
        <f>SUM(R145,R150,R158)</f>
        <v>0</v>
      </c>
      <c r="S144" s="165">
        <f>SUM(S145,S150,S158)</f>
        <v>10050</v>
      </c>
    </row>
    <row r="145" spans="1:19" s="22" customFormat="1" ht="21.75" customHeight="1">
      <c r="A145" s="174"/>
      <c r="B145" s="174"/>
      <c r="C145" s="163">
        <v>4210</v>
      </c>
      <c r="D145" s="164" t="s">
        <v>116</v>
      </c>
      <c r="E145" s="165">
        <f aca="true" t="shared" si="79" ref="E145:Q145">SUM(E146:E149)</f>
        <v>2000</v>
      </c>
      <c r="F145" s="165">
        <f t="shared" si="79"/>
        <v>0</v>
      </c>
      <c r="G145" s="165">
        <f t="shared" si="79"/>
        <v>2000</v>
      </c>
      <c r="H145" s="165">
        <f t="shared" si="79"/>
        <v>0</v>
      </c>
      <c r="I145" s="165">
        <f t="shared" si="79"/>
        <v>2000</v>
      </c>
      <c r="J145" s="165">
        <f t="shared" si="79"/>
        <v>0</v>
      </c>
      <c r="K145" s="165">
        <f t="shared" si="79"/>
        <v>2000</v>
      </c>
      <c r="L145" s="165">
        <f t="shared" si="79"/>
        <v>700</v>
      </c>
      <c r="M145" s="165">
        <f t="shared" si="79"/>
        <v>2700</v>
      </c>
      <c r="N145" s="165">
        <f t="shared" si="79"/>
        <v>-760</v>
      </c>
      <c r="O145" s="165">
        <f t="shared" si="79"/>
        <v>1940</v>
      </c>
      <c r="P145" s="165">
        <f t="shared" si="79"/>
        <v>0</v>
      </c>
      <c r="Q145" s="165">
        <f t="shared" si="79"/>
        <v>1940</v>
      </c>
      <c r="R145" s="165">
        <f>SUM(R146:R149)</f>
        <v>0</v>
      </c>
      <c r="S145" s="165">
        <f>SUM(S146:S149)</f>
        <v>1940</v>
      </c>
    </row>
    <row r="146" spans="1:19" s="22" customFormat="1" ht="20.25" customHeight="1">
      <c r="A146" s="174"/>
      <c r="B146" s="174"/>
      <c r="C146" s="172"/>
      <c r="D146" s="167" t="s">
        <v>432</v>
      </c>
      <c r="E146" s="168">
        <v>1000</v>
      </c>
      <c r="F146" s="168"/>
      <c r="G146" s="168">
        <f>SUM(E146:F146)</f>
        <v>1000</v>
      </c>
      <c r="H146" s="168"/>
      <c r="I146" s="168">
        <f>SUM(G146:H146)</f>
        <v>1000</v>
      </c>
      <c r="J146" s="168"/>
      <c r="K146" s="168">
        <f>SUM(I146:J146)</f>
        <v>1000</v>
      </c>
      <c r="L146" s="168">
        <v>-800</v>
      </c>
      <c r="M146" s="168">
        <f>SUM(K146:L146)</f>
        <v>200</v>
      </c>
      <c r="N146" s="168"/>
      <c r="O146" s="168">
        <f>SUM(M146:N146)</f>
        <v>200</v>
      </c>
      <c r="P146" s="168"/>
      <c r="Q146" s="168">
        <f>SUM(O146:P146)</f>
        <v>200</v>
      </c>
      <c r="R146" s="168"/>
      <c r="S146" s="168">
        <f>SUM(Q146:R146)</f>
        <v>200</v>
      </c>
    </row>
    <row r="147" spans="1:19" s="22" customFormat="1" ht="21.75" customHeight="1">
      <c r="A147" s="174"/>
      <c r="B147" s="174"/>
      <c r="C147" s="172"/>
      <c r="D147" s="167" t="s">
        <v>434</v>
      </c>
      <c r="E147" s="168">
        <v>200</v>
      </c>
      <c r="F147" s="168"/>
      <c r="G147" s="168">
        <f>SUM(E147:F147)</f>
        <v>200</v>
      </c>
      <c r="H147" s="168"/>
      <c r="I147" s="168">
        <f>SUM(G147:H147)</f>
        <v>200</v>
      </c>
      <c r="J147" s="168"/>
      <c r="K147" s="168">
        <f>SUM(I147:J147)</f>
        <v>200</v>
      </c>
      <c r="L147" s="168"/>
      <c r="M147" s="168">
        <f>SUM(K147:L147)</f>
        <v>200</v>
      </c>
      <c r="N147" s="168">
        <f>-200+500</f>
        <v>300</v>
      </c>
      <c r="O147" s="168">
        <f>SUM(M147:N147)</f>
        <v>500</v>
      </c>
      <c r="P147" s="168"/>
      <c r="Q147" s="168">
        <f>SUM(O147:P147)</f>
        <v>500</v>
      </c>
      <c r="R147" s="168"/>
      <c r="S147" s="168">
        <f>SUM(Q147:R147)</f>
        <v>500</v>
      </c>
    </row>
    <row r="148" spans="1:19" s="22" customFormat="1" ht="21.75" customHeight="1">
      <c r="A148" s="174"/>
      <c r="B148" s="174"/>
      <c r="C148" s="172"/>
      <c r="D148" s="167" t="s">
        <v>441</v>
      </c>
      <c r="E148" s="168"/>
      <c r="F148" s="168"/>
      <c r="G148" s="168"/>
      <c r="H148" s="168"/>
      <c r="I148" s="168"/>
      <c r="J148" s="168"/>
      <c r="K148" s="168">
        <v>0</v>
      </c>
      <c r="L148" s="168">
        <v>1500</v>
      </c>
      <c r="M148" s="168">
        <f>SUM(K148:L148)</f>
        <v>1500</v>
      </c>
      <c r="N148" s="168">
        <v>-1060</v>
      </c>
      <c r="O148" s="168">
        <f>SUM(M148:N148)</f>
        <v>440</v>
      </c>
      <c r="P148" s="168"/>
      <c r="Q148" s="168">
        <f>SUM(O148:P148)</f>
        <v>440</v>
      </c>
      <c r="R148" s="168"/>
      <c r="S148" s="168">
        <f>SUM(Q148:R148)</f>
        <v>440</v>
      </c>
    </row>
    <row r="149" spans="1:19" s="22" customFormat="1" ht="21.75" customHeight="1">
      <c r="A149" s="174"/>
      <c r="B149" s="174"/>
      <c r="C149" s="172"/>
      <c r="D149" s="167" t="s">
        <v>446</v>
      </c>
      <c r="E149" s="168">
        <v>800</v>
      </c>
      <c r="F149" s="168"/>
      <c r="G149" s="168">
        <f>SUM(E149:F149)</f>
        <v>800</v>
      </c>
      <c r="H149" s="168"/>
      <c r="I149" s="168">
        <f>SUM(G149:H149)</f>
        <v>800</v>
      </c>
      <c r="J149" s="168"/>
      <c r="K149" s="168">
        <f>SUM(I149:J149)</f>
        <v>800</v>
      </c>
      <c r="L149" s="168"/>
      <c r="M149" s="168">
        <f>SUM(K149:L149)</f>
        <v>800</v>
      </c>
      <c r="N149" s="168"/>
      <c r="O149" s="168">
        <f>SUM(M149:N149)</f>
        <v>800</v>
      </c>
      <c r="P149" s="168"/>
      <c r="Q149" s="168">
        <f>SUM(O149:P149)</f>
        <v>800</v>
      </c>
      <c r="R149" s="168"/>
      <c r="S149" s="168">
        <f>SUM(Q149:R149)</f>
        <v>800</v>
      </c>
    </row>
    <row r="150" spans="1:19" s="22" customFormat="1" ht="21.75" customHeight="1">
      <c r="A150" s="162"/>
      <c r="B150" s="162"/>
      <c r="C150" s="163">
        <v>4300</v>
      </c>
      <c r="D150" s="164" t="s">
        <v>103</v>
      </c>
      <c r="E150" s="165">
        <f aca="true" t="shared" si="80" ref="E150:Q150">SUM(E151:E157)</f>
        <v>4200</v>
      </c>
      <c r="F150" s="165">
        <f t="shared" si="80"/>
        <v>0</v>
      </c>
      <c r="G150" s="165">
        <f t="shared" si="80"/>
        <v>4200</v>
      </c>
      <c r="H150" s="165">
        <f t="shared" si="80"/>
        <v>0</v>
      </c>
      <c r="I150" s="165">
        <f t="shared" si="80"/>
        <v>4200</v>
      </c>
      <c r="J150" s="165">
        <f t="shared" si="80"/>
        <v>2000</v>
      </c>
      <c r="K150" s="165">
        <f t="shared" si="80"/>
        <v>6200</v>
      </c>
      <c r="L150" s="165">
        <f t="shared" si="80"/>
        <v>-700</v>
      </c>
      <c r="M150" s="165">
        <f t="shared" si="80"/>
        <v>5500</v>
      </c>
      <c r="N150" s="165">
        <f t="shared" si="80"/>
        <v>-500</v>
      </c>
      <c r="O150" s="165">
        <f t="shared" si="80"/>
        <v>5000</v>
      </c>
      <c r="P150" s="165">
        <f t="shared" si="80"/>
        <v>-550</v>
      </c>
      <c r="Q150" s="165">
        <f t="shared" si="80"/>
        <v>4450</v>
      </c>
      <c r="R150" s="165">
        <f>SUM(R151:R157)</f>
        <v>0</v>
      </c>
      <c r="S150" s="165">
        <f>SUM(S151:S157)</f>
        <v>4450</v>
      </c>
    </row>
    <row r="151" spans="1:19" s="24" customFormat="1" ht="21.75" customHeight="1">
      <c r="A151" s="173"/>
      <c r="B151" s="173"/>
      <c r="C151" s="172"/>
      <c r="D151" s="167" t="s">
        <v>431</v>
      </c>
      <c r="E151" s="168">
        <v>1500</v>
      </c>
      <c r="F151" s="168"/>
      <c r="G151" s="168">
        <f>SUM(E151:F151)</f>
        <v>1500</v>
      </c>
      <c r="H151" s="168"/>
      <c r="I151" s="168">
        <f>SUM(G151:H151)</f>
        <v>1500</v>
      </c>
      <c r="J151" s="168"/>
      <c r="K151" s="168">
        <f>SUM(I151:J151)</f>
        <v>1500</v>
      </c>
      <c r="L151" s="168"/>
      <c r="M151" s="168">
        <f aca="true" t="shared" si="81" ref="M151:M157">SUM(K151:L151)</f>
        <v>1500</v>
      </c>
      <c r="N151" s="168"/>
      <c r="O151" s="168">
        <f aca="true" t="shared" si="82" ref="O151:O157">SUM(M151:N151)</f>
        <v>1500</v>
      </c>
      <c r="P151" s="168"/>
      <c r="Q151" s="168">
        <f aca="true" t="shared" si="83" ref="Q151:Q157">SUM(O151:P151)</f>
        <v>1500</v>
      </c>
      <c r="R151" s="168"/>
      <c r="S151" s="168">
        <f aca="true" t="shared" si="84" ref="S151:S157">SUM(Q151:R151)</f>
        <v>1500</v>
      </c>
    </row>
    <row r="152" spans="1:19" s="24" customFormat="1" ht="21.75" customHeight="1">
      <c r="A152" s="173"/>
      <c r="B152" s="173"/>
      <c r="C152" s="172"/>
      <c r="D152" s="167" t="s">
        <v>434</v>
      </c>
      <c r="E152" s="168">
        <v>500</v>
      </c>
      <c r="F152" s="168"/>
      <c r="G152" s="168">
        <f>SUM(E152:F152)</f>
        <v>500</v>
      </c>
      <c r="H152" s="168"/>
      <c r="I152" s="168">
        <f>SUM(G152:H152)</f>
        <v>500</v>
      </c>
      <c r="J152" s="168"/>
      <c r="K152" s="168">
        <f>SUM(I152:J152)</f>
        <v>500</v>
      </c>
      <c r="L152" s="168"/>
      <c r="M152" s="168">
        <f t="shared" si="81"/>
        <v>500</v>
      </c>
      <c r="N152" s="168">
        <v>-500</v>
      </c>
      <c r="O152" s="168">
        <f t="shared" si="82"/>
        <v>0</v>
      </c>
      <c r="P152" s="168"/>
      <c r="Q152" s="168">
        <f t="shared" si="83"/>
        <v>0</v>
      </c>
      <c r="R152" s="168"/>
      <c r="S152" s="168">
        <f t="shared" si="84"/>
        <v>0</v>
      </c>
    </row>
    <row r="153" spans="1:19" s="24" customFormat="1" ht="21.75" customHeight="1">
      <c r="A153" s="173"/>
      <c r="B153" s="173"/>
      <c r="C153" s="172"/>
      <c r="D153" s="167" t="s">
        <v>432</v>
      </c>
      <c r="E153" s="168"/>
      <c r="F153" s="168"/>
      <c r="G153" s="168"/>
      <c r="H153" s="168"/>
      <c r="I153" s="168"/>
      <c r="J153" s="168"/>
      <c r="K153" s="168">
        <v>0</v>
      </c>
      <c r="L153" s="168">
        <v>800</v>
      </c>
      <c r="M153" s="168">
        <f t="shared" si="81"/>
        <v>800</v>
      </c>
      <c r="N153" s="168"/>
      <c r="O153" s="168">
        <f t="shared" si="82"/>
        <v>800</v>
      </c>
      <c r="P153" s="168"/>
      <c r="Q153" s="168">
        <f t="shared" si="83"/>
        <v>800</v>
      </c>
      <c r="R153" s="168"/>
      <c r="S153" s="168">
        <f t="shared" si="84"/>
        <v>800</v>
      </c>
    </row>
    <row r="154" spans="1:19" s="24" customFormat="1" ht="21.75" customHeight="1">
      <c r="A154" s="173"/>
      <c r="B154" s="173"/>
      <c r="C154" s="172"/>
      <c r="D154" s="167" t="s">
        <v>450</v>
      </c>
      <c r="E154" s="168"/>
      <c r="F154" s="168"/>
      <c r="G154" s="168"/>
      <c r="H154" s="168"/>
      <c r="I154" s="168">
        <v>0</v>
      </c>
      <c r="J154" s="168">
        <v>1500</v>
      </c>
      <c r="K154" s="168">
        <f>SUM(I154:J154)</f>
        <v>1500</v>
      </c>
      <c r="L154" s="168">
        <v>-1500</v>
      </c>
      <c r="M154" s="168">
        <f t="shared" si="81"/>
        <v>0</v>
      </c>
      <c r="N154" s="168"/>
      <c r="O154" s="168">
        <f t="shared" si="82"/>
        <v>0</v>
      </c>
      <c r="P154" s="168"/>
      <c r="Q154" s="168">
        <f t="shared" si="83"/>
        <v>0</v>
      </c>
      <c r="R154" s="168"/>
      <c r="S154" s="168">
        <f t="shared" si="84"/>
        <v>0</v>
      </c>
    </row>
    <row r="155" spans="1:19" s="24" customFormat="1" ht="21.75" customHeight="1">
      <c r="A155" s="173"/>
      <c r="B155" s="173"/>
      <c r="C155" s="172"/>
      <c r="D155" s="167" t="s">
        <v>435</v>
      </c>
      <c r="E155" s="168">
        <v>1200</v>
      </c>
      <c r="F155" s="168"/>
      <c r="G155" s="168">
        <f>SUM(E155:F155)</f>
        <v>1200</v>
      </c>
      <c r="H155" s="168"/>
      <c r="I155" s="168">
        <f>SUM(G155:H155)</f>
        <v>1200</v>
      </c>
      <c r="J155" s="168"/>
      <c r="K155" s="168">
        <f>SUM(I155:J155)</f>
        <v>1200</v>
      </c>
      <c r="L155" s="168"/>
      <c r="M155" s="168">
        <f t="shared" si="81"/>
        <v>1200</v>
      </c>
      <c r="N155" s="168"/>
      <c r="O155" s="168">
        <f t="shared" si="82"/>
        <v>1200</v>
      </c>
      <c r="P155" s="168">
        <v>-550</v>
      </c>
      <c r="Q155" s="168">
        <f t="shared" si="83"/>
        <v>650</v>
      </c>
      <c r="R155" s="168"/>
      <c r="S155" s="168">
        <f t="shared" si="84"/>
        <v>650</v>
      </c>
    </row>
    <row r="156" spans="1:19" s="24" customFormat="1" ht="21.75" customHeight="1">
      <c r="A156" s="173"/>
      <c r="B156" s="173"/>
      <c r="C156" s="172"/>
      <c r="D156" s="167" t="s">
        <v>428</v>
      </c>
      <c r="E156" s="168"/>
      <c r="F156" s="168"/>
      <c r="G156" s="168"/>
      <c r="H156" s="168"/>
      <c r="I156" s="168">
        <v>0</v>
      </c>
      <c r="J156" s="168">
        <v>500</v>
      </c>
      <c r="K156" s="168">
        <f>SUM(I156:J156)</f>
        <v>500</v>
      </c>
      <c r="L156" s="168"/>
      <c r="M156" s="168">
        <f t="shared" si="81"/>
        <v>500</v>
      </c>
      <c r="N156" s="168"/>
      <c r="O156" s="168">
        <f t="shared" si="82"/>
        <v>500</v>
      </c>
      <c r="P156" s="168"/>
      <c r="Q156" s="168">
        <f t="shared" si="83"/>
        <v>500</v>
      </c>
      <c r="R156" s="168"/>
      <c r="S156" s="168">
        <f t="shared" si="84"/>
        <v>500</v>
      </c>
    </row>
    <row r="157" spans="1:19" s="24" customFormat="1" ht="21.75" customHeight="1">
      <c r="A157" s="173"/>
      <c r="B157" s="173"/>
      <c r="C157" s="172"/>
      <c r="D157" s="167" t="s">
        <v>446</v>
      </c>
      <c r="E157" s="168">
        <v>1000</v>
      </c>
      <c r="F157" s="168"/>
      <c r="G157" s="168">
        <f>SUM(E157:F157)</f>
        <v>1000</v>
      </c>
      <c r="H157" s="168"/>
      <c r="I157" s="168">
        <f>SUM(G157:H157)</f>
        <v>1000</v>
      </c>
      <c r="J157" s="168"/>
      <c r="K157" s="168">
        <f>SUM(I157:J157)</f>
        <v>1000</v>
      </c>
      <c r="L157" s="168"/>
      <c r="M157" s="168">
        <f t="shared" si="81"/>
        <v>1000</v>
      </c>
      <c r="N157" s="168"/>
      <c r="O157" s="168">
        <f t="shared" si="82"/>
        <v>1000</v>
      </c>
      <c r="P157" s="168"/>
      <c r="Q157" s="168">
        <f t="shared" si="83"/>
        <v>1000</v>
      </c>
      <c r="R157" s="168"/>
      <c r="S157" s="168">
        <f t="shared" si="84"/>
        <v>1000</v>
      </c>
    </row>
    <row r="158" spans="1:19" s="22" customFormat="1" ht="21.75" customHeight="1">
      <c r="A158" s="162"/>
      <c r="B158" s="162"/>
      <c r="C158" s="163">
        <v>6060</v>
      </c>
      <c r="D158" s="175" t="s">
        <v>120</v>
      </c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>
        <f>SUM(O159)</f>
        <v>0</v>
      </c>
      <c r="P158" s="165">
        <f>SUM(P159)</f>
        <v>3660</v>
      </c>
      <c r="Q158" s="165">
        <f>SUM(Q159)</f>
        <v>3660</v>
      </c>
      <c r="R158" s="165">
        <f>SUM(R159)</f>
        <v>0</v>
      </c>
      <c r="S158" s="165">
        <f>SUM(S159)</f>
        <v>3660</v>
      </c>
    </row>
    <row r="159" spans="1:19" s="24" customFormat="1" ht="21.75" customHeight="1">
      <c r="A159" s="173"/>
      <c r="B159" s="173"/>
      <c r="C159" s="172"/>
      <c r="D159" s="167" t="s">
        <v>440</v>
      </c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>
        <v>0</v>
      </c>
      <c r="P159" s="168">
        <v>3660</v>
      </c>
      <c r="Q159" s="168">
        <f>SUM(O159:P159)</f>
        <v>3660</v>
      </c>
      <c r="R159" s="168"/>
      <c r="S159" s="168">
        <f>SUM(Q159:R159)</f>
        <v>3660</v>
      </c>
    </row>
    <row r="160" spans="1:19" s="6" customFormat="1" ht="24" customHeight="1">
      <c r="A160" s="155" t="s">
        <v>155</v>
      </c>
      <c r="B160" s="156"/>
      <c r="C160" s="156"/>
      <c r="D160" s="157" t="s">
        <v>84</v>
      </c>
      <c r="E160" s="158">
        <f aca="true" t="shared" si="85" ref="E160:N160">SUM(E161,E169,E199,E208)</f>
        <v>82590</v>
      </c>
      <c r="F160" s="158">
        <f t="shared" si="85"/>
        <v>-2520</v>
      </c>
      <c r="G160" s="158">
        <f t="shared" si="85"/>
        <v>80070</v>
      </c>
      <c r="H160" s="158">
        <f t="shared" si="85"/>
        <v>0</v>
      </c>
      <c r="I160" s="158">
        <f t="shared" si="85"/>
        <v>80070</v>
      </c>
      <c r="J160" s="158">
        <f t="shared" si="85"/>
        <v>2250</v>
      </c>
      <c r="K160" s="158">
        <f t="shared" si="85"/>
        <v>82320</v>
      </c>
      <c r="L160" s="158">
        <f t="shared" si="85"/>
        <v>0</v>
      </c>
      <c r="M160" s="158">
        <f t="shared" si="85"/>
        <v>82320</v>
      </c>
      <c r="N160" s="158">
        <f t="shared" si="85"/>
        <v>-1195</v>
      </c>
      <c r="O160" s="158">
        <f>SUM(O161,O169,O199,O208,)</f>
        <v>81125</v>
      </c>
      <c r="P160" s="158">
        <f>SUM(P161,P169,P199,P208,)</f>
        <v>-6860</v>
      </c>
      <c r="Q160" s="158">
        <f>SUM(Q161,Q169,Q199,Q208,)</f>
        <v>74265</v>
      </c>
      <c r="R160" s="158">
        <f>SUM(R161,R169,R199,R208,)</f>
        <v>0</v>
      </c>
      <c r="S160" s="158">
        <f>SUM(S161,S169,S199,S208,)</f>
        <v>74265</v>
      </c>
    </row>
    <row r="161" spans="1:19" s="22" customFormat="1" ht="21.75" customHeight="1">
      <c r="A161" s="162"/>
      <c r="B161" s="162" t="s">
        <v>157</v>
      </c>
      <c r="C161" s="163"/>
      <c r="D161" s="164" t="s">
        <v>158</v>
      </c>
      <c r="E161" s="165">
        <f aca="true" t="shared" si="86" ref="E161:S161">SUM(E162)</f>
        <v>300</v>
      </c>
      <c r="F161" s="165">
        <f t="shared" si="86"/>
        <v>0</v>
      </c>
      <c r="G161" s="165">
        <f t="shared" si="86"/>
        <v>300</v>
      </c>
      <c r="H161" s="165">
        <f t="shared" si="86"/>
        <v>0</v>
      </c>
      <c r="I161" s="165">
        <f t="shared" si="86"/>
        <v>300</v>
      </c>
      <c r="J161" s="165">
        <f t="shared" si="86"/>
        <v>0</v>
      </c>
      <c r="K161" s="165">
        <f t="shared" si="86"/>
        <v>300</v>
      </c>
      <c r="L161" s="165">
        <f t="shared" si="86"/>
        <v>1170</v>
      </c>
      <c r="M161" s="165">
        <f t="shared" si="86"/>
        <v>1470</v>
      </c>
      <c r="N161" s="165">
        <f t="shared" si="86"/>
        <v>240</v>
      </c>
      <c r="O161" s="165">
        <f t="shared" si="86"/>
        <v>1710</v>
      </c>
      <c r="P161" s="165">
        <f t="shared" si="86"/>
        <v>-165</v>
      </c>
      <c r="Q161" s="165">
        <f t="shared" si="86"/>
        <v>1545</v>
      </c>
      <c r="R161" s="165">
        <f t="shared" si="86"/>
        <v>0</v>
      </c>
      <c r="S161" s="165">
        <f t="shared" si="86"/>
        <v>1545</v>
      </c>
    </row>
    <row r="162" spans="1:19" s="22" customFormat="1" ht="21.75" customHeight="1">
      <c r="A162" s="162"/>
      <c r="B162" s="162"/>
      <c r="C162" s="163">
        <v>4300</v>
      </c>
      <c r="D162" s="176" t="s">
        <v>103</v>
      </c>
      <c r="E162" s="165">
        <f aca="true" t="shared" si="87" ref="E162:J162">SUM(E163:E163)</f>
        <v>300</v>
      </c>
      <c r="F162" s="165">
        <f t="shared" si="87"/>
        <v>0</v>
      </c>
      <c r="G162" s="165">
        <f t="shared" si="87"/>
        <v>300</v>
      </c>
      <c r="H162" s="165">
        <f t="shared" si="87"/>
        <v>0</v>
      </c>
      <c r="I162" s="165">
        <f t="shared" si="87"/>
        <v>300</v>
      </c>
      <c r="J162" s="165">
        <f t="shared" si="87"/>
        <v>0</v>
      </c>
      <c r="K162" s="165">
        <f aca="true" t="shared" si="88" ref="K162:Q162">SUM(K163:K168)</f>
        <v>300</v>
      </c>
      <c r="L162" s="165">
        <f t="shared" si="88"/>
        <v>1170</v>
      </c>
      <c r="M162" s="165">
        <f t="shared" si="88"/>
        <v>1470</v>
      </c>
      <c r="N162" s="165">
        <f t="shared" si="88"/>
        <v>240</v>
      </c>
      <c r="O162" s="165">
        <f t="shared" si="88"/>
        <v>1710</v>
      </c>
      <c r="P162" s="165">
        <f t="shared" si="88"/>
        <v>-165</v>
      </c>
      <c r="Q162" s="165">
        <f t="shared" si="88"/>
        <v>1545</v>
      </c>
      <c r="R162" s="165">
        <f>SUM(R163:R168)</f>
        <v>0</v>
      </c>
      <c r="S162" s="165">
        <f>SUM(S163:S168)</f>
        <v>1545</v>
      </c>
    </row>
    <row r="163" spans="1:19" s="22" customFormat="1" ht="21.75" customHeight="1">
      <c r="A163" s="166"/>
      <c r="B163" s="166"/>
      <c r="C163" s="166"/>
      <c r="D163" s="167" t="s">
        <v>426</v>
      </c>
      <c r="E163" s="168">
        <v>300</v>
      </c>
      <c r="F163" s="168"/>
      <c r="G163" s="168">
        <f>SUM(E163:F163)</f>
        <v>300</v>
      </c>
      <c r="H163" s="168"/>
      <c r="I163" s="168">
        <f>SUM(G163:H163)</f>
        <v>300</v>
      </c>
      <c r="J163" s="168"/>
      <c r="K163" s="168">
        <f>SUM(I163:J163)</f>
        <v>300</v>
      </c>
      <c r="L163" s="168"/>
      <c r="M163" s="168">
        <f>SUM(K163:L163)</f>
        <v>300</v>
      </c>
      <c r="N163" s="168"/>
      <c r="O163" s="168">
        <f aca="true" t="shared" si="89" ref="O163:O168">SUM(M163:N163)</f>
        <v>300</v>
      </c>
      <c r="P163" s="168"/>
      <c r="Q163" s="168">
        <f aca="true" t="shared" si="90" ref="Q163:Q168">SUM(O163:P163)</f>
        <v>300</v>
      </c>
      <c r="R163" s="168"/>
      <c r="S163" s="168">
        <f aca="true" t="shared" si="91" ref="S163:S168">SUM(Q163:R163)</f>
        <v>300</v>
      </c>
    </row>
    <row r="164" spans="1:19" s="22" customFormat="1" ht="21.75" customHeight="1">
      <c r="A164" s="166"/>
      <c r="B164" s="166"/>
      <c r="C164" s="166"/>
      <c r="D164" s="167" t="s">
        <v>432</v>
      </c>
      <c r="E164" s="168"/>
      <c r="F164" s="168"/>
      <c r="G164" s="168"/>
      <c r="H164" s="168"/>
      <c r="I164" s="168"/>
      <c r="J164" s="168"/>
      <c r="K164" s="168">
        <v>0</v>
      </c>
      <c r="L164" s="168">
        <v>250</v>
      </c>
      <c r="M164" s="168">
        <f>SUM(K164:L164)</f>
        <v>250</v>
      </c>
      <c r="N164" s="168"/>
      <c r="O164" s="168">
        <f t="shared" si="89"/>
        <v>250</v>
      </c>
      <c r="P164" s="168"/>
      <c r="Q164" s="168">
        <f t="shared" si="90"/>
        <v>250</v>
      </c>
      <c r="R164" s="168"/>
      <c r="S164" s="168">
        <f t="shared" si="91"/>
        <v>250</v>
      </c>
    </row>
    <row r="165" spans="1:19" s="22" customFormat="1" ht="21.75" customHeight="1">
      <c r="A165" s="166"/>
      <c r="B165" s="166"/>
      <c r="C165" s="166"/>
      <c r="D165" s="167" t="s">
        <v>440</v>
      </c>
      <c r="E165" s="168"/>
      <c r="F165" s="168"/>
      <c r="G165" s="168"/>
      <c r="H165" s="168"/>
      <c r="I165" s="168"/>
      <c r="J165" s="168"/>
      <c r="K165" s="168">
        <v>0</v>
      </c>
      <c r="L165" s="168">
        <v>300</v>
      </c>
      <c r="M165" s="168">
        <f>SUM(K165:L165)</f>
        <v>300</v>
      </c>
      <c r="N165" s="168"/>
      <c r="O165" s="168">
        <f t="shared" si="89"/>
        <v>300</v>
      </c>
      <c r="P165" s="168">
        <v>-165</v>
      </c>
      <c r="Q165" s="168">
        <f t="shared" si="90"/>
        <v>135</v>
      </c>
      <c r="R165" s="168"/>
      <c r="S165" s="168">
        <f t="shared" si="91"/>
        <v>135</v>
      </c>
    </row>
    <row r="166" spans="1:19" s="22" customFormat="1" ht="21.75" customHeight="1">
      <c r="A166" s="166"/>
      <c r="B166" s="166"/>
      <c r="C166" s="166"/>
      <c r="D166" s="167" t="s">
        <v>441</v>
      </c>
      <c r="E166" s="168"/>
      <c r="F166" s="168"/>
      <c r="G166" s="168"/>
      <c r="H166" s="168"/>
      <c r="I166" s="168"/>
      <c r="J166" s="168"/>
      <c r="K166" s="168"/>
      <c r="L166" s="168"/>
      <c r="M166" s="168">
        <v>0</v>
      </c>
      <c r="N166" s="168">
        <v>240</v>
      </c>
      <c r="O166" s="168">
        <f t="shared" si="89"/>
        <v>240</v>
      </c>
      <c r="P166" s="168"/>
      <c r="Q166" s="168">
        <f t="shared" si="90"/>
        <v>240</v>
      </c>
      <c r="R166" s="168"/>
      <c r="S166" s="168">
        <f t="shared" si="91"/>
        <v>240</v>
      </c>
    </row>
    <row r="167" spans="1:19" s="22" customFormat="1" ht="21" customHeight="1">
      <c r="A167" s="166"/>
      <c r="B167" s="166"/>
      <c r="C167" s="166"/>
      <c r="D167" s="167" t="s">
        <v>434</v>
      </c>
      <c r="E167" s="168"/>
      <c r="F167" s="168"/>
      <c r="G167" s="168"/>
      <c r="H167" s="168"/>
      <c r="I167" s="168"/>
      <c r="J167" s="168"/>
      <c r="K167" s="168">
        <v>0</v>
      </c>
      <c r="L167" s="168">
        <v>620</v>
      </c>
      <c r="M167" s="168">
        <f>SUM(K167:L167)</f>
        <v>620</v>
      </c>
      <c r="N167" s="168"/>
      <c r="O167" s="168">
        <f t="shared" si="89"/>
        <v>620</v>
      </c>
      <c r="P167" s="168"/>
      <c r="Q167" s="168">
        <f t="shared" si="90"/>
        <v>620</v>
      </c>
      <c r="R167" s="168"/>
      <c r="S167" s="168">
        <f t="shared" si="91"/>
        <v>620</v>
      </c>
    </row>
    <row r="168" spans="1:19" s="22" customFormat="1" ht="24.75" customHeight="1" hidden="1">
      <c r="A168" s="166"/>
      <c r="B168" s="166"/>
      <c r="C168" s="166"/>
      <c r="D168" s="167" t="s">
        <v>441</v>
      </c>
      <c r="E168" s="168"/>
      <c r="F168" s="168"/>
      <c r="G168" s="168"/>
      <c r="H168" s="168"/>
      <c r="I168" s="168"/>
      <c r="J168" s="168"/>
      <c r="K168" s="168">
        <v>0</v>
      </c>
      <c r="L168" s="168"/>
      <c r="M168" s="168">
        <f>SUM(K168:L168)</f>
        <v>0</v>
      </c>
      <c r="N168" s="168"/>
      <c r="O168" s="168">
        <f t="shared" si="89"/>
        <v>0</v>
      </c>
      <c r="P168" s="168"/>
      <c r="Q168" s="168">
        <f t="shared" si="90"/>
        <v>0</v>
      </c>
      <c r="R168" s="168"/>
      <c r="S168" s="168">
        <f t="shared" si="91"/>
        <v>0</v>
      </c>
    </row>
    <row r="169" spans="1:19" s="22" customFormat="1" ht="24" customHeight="1">
      <c r="A169" s="162"/>
      <c r="B169" s="162" t="s">
        <v>159</v>
      </c>
      <c r="C169" s="163"/>
      <c r="D169" s="164" t="s">
        <v>182</v>
      </c>
      <c r="E169" s="165">
        <f aca="true" t="shared" si="92" ref="E169:L169">SUM(E170,E188)</f>
        <v>67470</v>
      </c>
      <c r="F169" s="165">
        <f t="shared" si="92"/>
        <v>-2520</v>
      </c>
      <c r="G169" s="165">
        <f t="shared" si="92"/>
        <v>64950</v>
      </c>
      <c r="H169" s="165">
        <f t="shared" si="92"/>
        <v>0</v>
      </c>
      <c r="I169" s="165">
        <f t="shared" si="92"/>
        <v>64950</v>
      </c>
      <c r="J169" s="165">
        <f t="shared" si="92"/>
        <v>-500</v>
      </c>
      <c r="K169" s="165">
        <f t="shared" si="92"/>
        <v>64450</v>
      </c>
      <c r="L169" s="165">
        <f t="shared" si="92"/>
        <v>-1170</v>
      </c>
      <c r="M169" s="165">
        <f>SUM(M170,M188,M196)</f>
        <v>63280</v>
      </c>
      <c r="N169" s="165">
        <f>SUM(N170,N188,N196)</f>
        <v>-2635</v>
      </c>
      <c r="O169" s="165">
        <f>SUM(O170,O188,O196,O186)</f>
        <v>60645</v>
      </c>
      <c r="P169" s="165">
        <f>SUM(P170,P188,P196,P186)</f>
        <v>3305</v>
      </c>
      <c r="Q169" s="165">
        <f>SUM(Q170,Q188,Q196,Q186)</f>
        <v>63950</v>
      </c>
      <c r="R169" s="165">
        <f>SUM(R170,R188,R196,R186)</f>
        <v>0</v>
      </c>
      <c r="S169" s="165">
        <f>SUM(S170,S188,S196,S186)</f>
        <v>63950</v>
      </c>
    </row>
    <row r="170" spans="1:19" s="22" customFormat="1" ht="21" customHeight="1">
      <c r="A170" s="162"/>
      <c r="B170" s="162"/>
      <c r="C170" s="162" t="s">
        <v>444</v>
      </c>
      <c r="D170" s="164" t="s">
        <v>116</v>
      </c>
      <c r="E170" s="165">
        <f aca="true" t="shared" si="93" ref="E170:Q170">SUM(E171:E185)</f>
        <v>57300</v>
      </c>
      <c r="F170" s="165">
        <f t="shared" si="93"/>
        <v>-2520</v>
      </c>
      <c r="G170" s="165">
        <f t="shared" si="93"/>
        <v>54780</v>
      </c>
      <c r="H170" s="165">
        <f t="shared" si="93"/>
        <v>0</v>
      </c>
      <c r="I170" s="165">
        <f t="shared" si="93"/>
        <v>54780</v>
      </c>
      <c r="J170" s="165">
        <f t="shared" si="93"/>
        <v>-500</v>
      </c>
      <c r="K170" s="165">
        <f t="shared" si="93"/>
        <v>54280</v>
      </c>
      <c r="L170" s="165">
        <f t="shared" si="93"/>
        <v>0</v>
      </c>
      <c r="M170" s="165">
        <f t="shared" si="93"/>
        <v>54280</v>
      </c>
      <c r="N170" s="165">
        <f t="shared" si="93"/>
        <v>-24185</v>
      </c>
      <c r="O170" s="165">
        <f t="shared" si="93"/>
        <v>30095</v>
      </c>
      <c r="P170" s="165">
        <f t="shared" si="93"/>
        <v>6280</v>
      </c>
      <c r="Q170" s="165">
        <f t="shared" si="93"/>
        <v>36375</v>
      </c>
      <c r="R170" s="165">
        <f>SUM(R171:R185)</f>
        <v>0</v>
      </c>
      <c r="S170" s="165">
        <f>SUM(S171:S185)</f>
        <v>36375</v>
      </c>
    </row>
    <row r="171" spans="1:19" s="22" customFormat="1" ht="21" customHeight="1">
      <c r="A171" s="166"/>
      <c r="B171" s="166"/>
      <c r="C171" s="166"/>
      <c r="D171" s="167" t="s">
        <v>437</v>
      </c>
      <c r="E171" s="168">
        <v>600</v>
      </c>
      <c r="F171" s="168"/>
      <c r="G171" s="168">
        <f aca="true" t="shared" si="94" ref="G171:G185">SUM(E171:F171)</f>
        <v>600</v>
      </c>
      <c r="H171" s="168"/>
      <c r="I171" s="168">
        <f aca="true" t="shared" si="95" ref="I171:I185">SUM(G171:H171)</f>
        <v>600</v>
      </c>
      <c r="J171" s="168">
        <v>-500</v>
      </c>
      <c r="K171" s="168">
        <f aca="true" t="shared" si="96" ref="K171:K185">SUM(I171:J171)</f>
        <v>100</v>
      </c>
      <c r="L171" s="168"/>
      <c r="M171" s="168">
        <f aca="true" t="shared" si="97" ref="M171:M185">SUM(K171:L171)</f>
        <v>100</v>
      </c>
      <c r="N171" s="168"/>
      <c r="O171" s="168">
        <f aca="true" t="shared" si="98" ref="O171:O185">SUM(M171:N171)</f>
        <v>100</v>
      </c>
      <c r="P171" s="168"/>
      <c r="Q171" s="168">
        <f aca="true" t="shared" si="99" ref="Q171:Q185">SUM(O171:P171)</f>
        <v>100</v>
      </c>
      <c r="R171" s="168"/>
      <c r="S171" s="168">
        <f aca="true" t="shared" si="100" ref="S171:S185">SUM(Q171:R171)</f>
        <v>100</v>
      </c>
    </row>
    <row r="172" spans="1:19" s="22" customFormat="1" ht="21" customHeight="1">
      <c r="A172" s="166"/>
      <c r="B172" s="166"/>
      <c r="C172" s="166"/>
      <c r="D172" s="167" t="s">
        <v>438</v>
      </c>
      <c r="E172" s="168">
        <v>1200</v>
      </c>
      <c r="F172" s="168"/>
      <c r="G172" s="168">
        <f t="shared" si="94"/>
        <v>1200</v>
      </c>
      <c r="H172" s="168"/>
      <c r="I172" s="168">
        <f t="shared" si="95"/>
        <v>1200</v>
      </c>
      <c r="J172" s="168"/>
      <c r="K172" s="168">
        <f t="shared" si="96"/>
        <v>1200</v>
      </c>
      <c r="L172" s="168"/>
      <c r="M172" s="168">
        <f t="shared" si="97"/>
        <v>1200</v>
      </c>
      <c r="N172" s="168"/>
      <c r="O172" s="168">
        <f t="shared" si="98"/>
        <v>1200</v>
      </c>
      <c r="P172" s="168"/>
      <c r="Q172" s="168">
        <f t="shared" si="99"/>
        <v>1200</v>
      </c>
      <c r="R172" s="168"/>
      <c r="S172" s="168">
        <f t="shared" si="100"/>
        <v>1200</v>
      </c>
    </row>
    <row r="173" spans="1:19" s="22" customFormat="1" ht="21" customHeight="1">
      <c r="A173" s="166"/>
      <c r="B173" s="166"/>
      <c r="C173" s="166"/>
      <c r="D173" s="167" t="s">
        <v>426</v>
      </c>
      <c r="E173" s="168">
        <v>490</v>
      </c>
      <c r="F173" s="168"/>
      <c r="G173" s="168">
        <f t="shared" si="94"/>
        <v>490</v>
      </c>
      <c r="H173" s="168"/>
      <c r="I173" s="168">
        <f t="shared" si="95"/>
        <v>490</v>
      </c>
      <c r="J173" s="168"/>
      <c r="K173" s="168">
        <f t="shared" si="96"/>
        <v>490</v>
      </c>
      <c r="L173" s="168"/>
      <c r="M173" s="168">
        <f t="shared" si="97"/>
        <v>490</v>
      </c>
      <c r="N173" s="168"/>
      <c r="O173" s="168">
        <f t="shared" si="98"/>
        <v>490</v>
      </c>
      <c r="P173" s="168"/>
      <c r="Q173" s="168">
        <f t="shared" si="99"/>
        <v>490</v>
      </c>
      <c r="R173" s="168"/>
      <c r="S173" s="168">
        <f t="shared" si="100"/>
        <v>490</v>
      </c>
    </row>
    <row r="174" spans="1:19" s="22" customFormat="1" ht="21" customHeight="1">
      <c r="A174" s="166"/>
      <c r="B174" s="166"/>
      <c r="C174" s="166"/>
      <c r="D174" s="167" t="s">
        <v>427</v>
      </c>
      <c r="E174" s="168">
        <v>900</v>
      </c>
      <c r="F174" s="168"/>
      <c r="G174" s="168">
        <f t="shared" si="94"/>
        <v>900</v>
      </c>
      <c r="H174" s="168"/>
      <c r="I174" s="168">
        <f t="shared" si="95"/>
        <v>900</v>
      </c>
      <c r="J174" s="168"/>
      <c r="K174" s="168">
        <f t="shared" si="96"/>
        <v>900</v>
      </c>
      <c r="L174" s="168"/>
      <c r="M174" s="168">
        <f t="shared" si="97"/>
        <v>900</v>
      </c>
      <c r="N174" s="168"/>
      <c r="O174" s="168">
        <f t="shared" si="98"/>
        <v>900</v>
      </c>
      <c r="P174" s="168">
        <v>2800</v>
      </c>
      <c r="Q174" s="168">
        <f t="shared" si="99"/>
        <v>3700</v>
      </c>
      <c r="R174" s="168"/>
      <c r="S174" s="168">
        <f t="shared" si="100"/>
        <v>3700</v>
      </c>
    </row>
    <row r="175" spans="1:19" s="22" customFormat="1" ht="21" customHeight="1">
      <c r="A175" s="166"/>
      <c r="B175" s="166"/>
      <c r="C175" s="166"/>
      <c r="D175" s="167" t="s">
        <v>439</v>
      </c>
      <c r="E175" s="168">
        <v>1870</v>
      </c>
      <c r="F175" s="168"/>
      <c r="G175" s="168">
        <f t="shared" si="94"/>
        <v>1870</v>
      </c>
      <c r="H175" s="168"/>
      <c r="I175" s="168">
        <f t="shared" si="95"/>
        <v>1870</v>
      </c>
      <c r="J175" s="168"/>
      <c r="K175" s="168">
        <f t="shared" si="96"/>
        <v>1870</v>
      </c>
      <c r="L175" s="168"/>
      <c r="M175" s="168">
        <f t="shared" si="97"/>
        <v>1870</v>
      </c>
      <c r="N175" s="168"/>
      <c r="O175" s="168">
        <f t="shared" si="98"/>
        <v>1870</v>
      </c>
      <c r="P175" s="168"/>
      <c r="Q175" s="168">
        <f t="shared" si="99"/>
        <v>1870</v>
      </c>
      <c r="R175" s="168"/>
      <c r="S175" s="168">
        <f t="shared" si="100"/>
        <v>1870</v>
      </c>
    </row>
    <row r="176" spans="1:19" s="22" customFormat="1" ht="21" customHeight="1">
      <c r="A176" s="166"/>
      <c r="B176" s="166"/>
      <c r="C176" s="166"/>
      <c r="D176" s="167" t="s">
        <v>428</v>
      </c>
      <c r="E176" s="168">
        <v>6500</v>
      </c>
      <c r="F176" s="168"/>
      <c r="G176" s="168">
        <f t="shared" si="94"/>
        <v>6500</v>
      </c>
      <c r="H176" s="168"/>
      <c r="I176" s="168">
        <f t="shared" si="95"/>
        <v>6500</v>
      </c>
      <c r="J176" s="168"/>
      <c r="K176" s="168">
        <f t="shared" si="96"/>
        <v>6500</v>
      </c>
      <c r="L176" s="168"/>
      <c r="M176" s="168">
        <f t="shared" si="97"/>
        <v>6500</v>
      </c>
      <c r="N176" s="168">
        <v>-3295</v>
      </c>
      <c r="O176" s="168">
        <f t="shared" si="98"/>
        <v>3205</v>
      </c>
      <c r="P176" s="168">
        <v>-500</v>
      </c>
      <c r="Q176" s="168">
        <f t="shared" si="99"/>
        <v>2705</v>
      </c>
      <c r="R176" s="168"/>
      <c r="S176" s="168">
        <f t="shared" si="100"/>
        <v>2705</v>
      </c>
    </row>
    <row r="177" spans="1:19" s="22" customFormat="1" ht="21" customHeight="1">
      <c r="A177" s="166"/>
      <c r="B177" s="166"/>
      <c r="C177" s="166"/>
      <c r="D177" s="167" t="s">
        <v>429</v>
      </c>
      <c r="E177" s="168">
        <v>2200</v>
      </c>
      <c r="F177" s="168"/>
      <c r="G177" s="168">
        <f t="shared" si="94"/>
        <v>2200</v>
      </c>
      <c r="H177" s="168"/>
      <c r="I177" s="168">
        <f t="shared" si="95"/>
        <v>2200</v>
      </c>
      <c r="J177" s="168"/>
      <c r="K177" s="168">
        <f t="shared" si="96"/>
        <v>2200</v>
      </c>
      <c r="L177" s="168"/>
      <c r="M177" s="168">
        <f t="shared" si="97"/>
        <v>2200</v>
      </c>
      <c r="N177" s="168"/>
      <c r="O177" s="168">
        <f t="shared" si="98"/>
        <v>2200</v>
      </c>
      <c r="P177" s="168"/>
      <c r="Q177" s="168">
        <f t="shared" si="99"/>
        <v>2200</v>
      </c>
      <c r="R177" s="168"/>
      <c r="S177" s="168">
        <f t="shared" si="100"/>
        <v>2200</v>
      </c>
    </row>
    <row r="178" spans="1:19" s="22" customFormat="1" ht="21" customHeight="1">
      <c r="A178" s="166"/>
      <c r="B178" s="166"/>
      <c r="C178" s="166"/>
      <c r="D178" s="167" t="s">
        <v>430</v>
      </c>
      <c r="E178" s="168">
        <v>3600</v>
      </c>
      <c r="F178" s="168"/>
      <c r="G178" s="168">
        <f t="shared" si="94"/>
        <v>3600</v>
      </c>
      <c r="H178" s="168"/>
      <c r="I178" s="168">
        <f t="shared" si="95"/>
        <v>3600</v>
      </c>
      <c r="J178" s="168"/>
      <c r="K178" s="168">
        <f t="shared" si="96"/>
        <v>3600</v>
      </c>
      <c r="L178" s="168"/>
      <c r="M178" s="168">
        <f t="shared" si="97"/>
        <v>3600</v>
      </c>
      <c r="N178" s="168"/>
      <c r="O178" s="168">
        <f t="shared" si="98"/>
        <v>3600</v>
      </c>
      <c r="P178" s="168"/>
      <c r="Q178" s="168">
        <f t="shared" si="99"/>
        <v>3600</v>
      </c>
      <c r="R178" s="168"/>
      <c r="S178" s="168">
        <f t="shared" si="100"/>
        <v>3600</v>
      </c>
    </row>
    <row r="179" spans="1:19" s="178" customFormat="1" ht="21" customHeight="1">
      <c r="A179" s="177"/>
      <c r="B179" s="177"/>
      <c r="C179" s="177"/>
      <c r="D179" s="167" t="s">
        <v>440</v>
      </c>
      <c r="E179" s="168">
        <v>3730</v>
      </c>
      <c r="F179" s="168"/>
      <c r="G179" s="168">
        <f t="shared" si="94"/>
        <v>3730</v>
      </c>
      <c r="H179" s="168"/>
      <c r="I179" s="168">
        <f t="shared" si="95"/>
        <v>3730</v>
      </c>
      <c r="J179" s="168"/>
      <c r="K179" s="168">
        <f t="shared" si="96"/>
        <v>3730</v>
      </c>
      <c r="L179" s="168"/>
      <c r="M179" s="168">
        <f t="shared" si="97"/>
        <v>3730</v>
      </c>
      <c r="N179" s="168"/>
      <c r="O179" s="168">
        <f t="shared" si="98"/>
        <v>3730</v>
      </c>
      <c r="P179" s="168">
        <v>500</v>
      </c>
      <c r="Q179" s="168">
        <f t="shared" si="99"/>
        <v>4230</v>
      </c>
      <c r="R179" s="168"/>
      <c r="S179" s="168">
        <f t="shared" si="100"/>
        <v>4230</v>
      </c>
    </row>
    <row r="180" spans="1:19" s="22" customFormat="1" ht="21" customHeight="1">
      <c r="A180" s="166"/>
      <c r="B180" s="166"/>
      <c r="C180" s="166"/>
      <c r="D180" s="167" t="s">
        <v>431</v>
      </c>
      <c r="E180" s="168">
        <v>7920</v>
      </c>
      <c r="F180" s="168"/>
      <c r="G180" s="168">
        <f t="shared" si="94"/>
        <v>7920</v>
      </c>
      <c r="H180" s="168"/>
      <c r="I180" s="168">
        <f t="shared" si="95"/>
        <v>7920</v>
      </c>
      <c r="J180" s="168"/>
      <c r="K180" s="168">
        <f t="shared" si="96"/>
        <v>7920</v>
      </c>
      <c r="L180" s="168"/>
      <c r="M180" s="168">
        <f t="shared" si="97"/>
        <v>7920</v>
      </c>
      <c r="N180" s="168">
        <v>-6620</v>
      </c>
      <c r="O180" s="168">
        <f t="shared" si="98"/>
        <v>1300</v>
      </c>
      <c r="P180" s="168"/>
      <c r="Q180" s="168">
        <f t="shared" si="99"/>
        <v>1300</v>
      </c>
      <c r="R180" s="168"/>
      <c r="S180" s="168">
        <f t="shared" si="100"/>
        <v>1300</v>
      </c>
    </row>
    <row r="181" spans="1:19" s="22" customFormat="1" ht="21" customHeight="1">
      <c r="A181" s="166"/>
      <c r="B181" s="166"/>
      <c r="C181" s="166"/>
      <c r="D181" s="167" t="s">
        <v>432</v>
      </c>
      <c r="E181" s="168">
        <v>200</v>
      </c>
      <c r="F181" s="168"/>
      <c r="G181" s="168">
        <f t="shared" si="94"/>
        <v>200</v>
      </c>
      <c r="H181" s="168"/>
      <c r="I181" s="168">
        <f t="shared" si="95"/>
        <v>200</v>
      </c>
      <c r="J181" s="168"/>
      <c r="K181" s="168">
        <f t="shared" si="96"/>
        <v>200</v>
      </c>
      <c r="L181" s="168"/>
      <c r="M181" s="168">
        <f t="shared" si="97"/>
        <v>200</v>
      </c>
      <c r="N181" s="168">
        <v>510</v>
      </c>
      <c r="O181" s="168">
        <f t="shared" si="98"/>
        <v>710</v>
      </c>
      <c r="P181" s="168"/>
      <c r="Q181" s="168">
        <f t="shared" si="99"/>
        <v>710</v>
      </c>
      <c r="R181" s="168"/>
      <c r="S181" s="168">
        <f t="shared" si="100"/>
        <v>710</v>
      </c>
    </row>
    <row r="182" spans="1:19" s="22" customFormat="1" ht="21" customHeight="1">
      <c r="A182" s="166"/>
      <c r="B182" s="166"/>
      <c r="C182" s="166"/>
      <c r="D182" s="167" t="s">
        <v>434</v>
      </c>
      <c r="E182" s="168">
        <v>4870</v>
      </c>
      <c r="F182" s="168"/>
      <c r="G182" s="168">
        <f t="shared" si="94"/>
        <v>4870</v>
      </c>
      <c r="H182" s="168"/>
      <c r="I182" s="168">
        <f t="shared" si="95"/>
        <v>4870</v>
      </c>
      <c r="J182" s="168"/>
      <c r="K182" s="168">
        <f t="shared" si="96"/>
        <v>4870</v>
      </c>
      <c r="L182" s="168"/>
      <c r="M182" s="168">
        <f t="shared" si="97"/>
        <v>4870</v>
      </c>
      <c r="N182" s="168">
        <f>400-250</f>
        <v>150</v>
      </c>
      <c r="O182" s="168">
        <f t="shared" si="98"/>
        <v>5020</v>
      </c>
      <c r="P182" s="168"/>
      <c r="Q182" s="168">
        <f t="shared" si="99"/>
        <v>5020</v>
      </c>
      <c r="R182" s="168"/>
      <c r="S182" s="168">
        <f t="shared" si="100"/>
        <v>5020</v>
      </c>
    </row>
    <row r="183" spans="1:19" s="22" customFormat="1" ht="21" customHeight="1">
      <c r="A183" s="166"/>
      <c r="B183" s="166"/>
      <c r="C183" s="166"/>
      <c r="D183" s="167" t="s">
        <v>435</v>
      </c>
      <c r="E183" s="168">
        <v>700</v>
      </c>
      <c r="F183" s="168"/>
      <c r="G183" s="168">
        <f t="shared" si="94"/>
        <v>700</v>
      </c>
      <c r="H183" s="168"/>
      <c r="I183" s="168">
        <f t="shared" si="95"/>
        <v>700</v>
      </c>
      <c r="J183" s="168"/>
      <c r="K183" s="168">
        <f t="shared" si="96"/>
        <v>700</v>
      </c>
      <c r="L183" s="168"/>
      <c r="M183" s="168">
        <f t="shared" si="97"/>
        <v>700</v>
      </c>
      <c r="N183" s="168"/>
      <c r="O183" s="168">
        <f t="shared" si="98"/>
        <v>700</v>
      </c>
      <c r="P183" s="168">
        <v>300</v>
      </c>
      <c r="Q183" s="168">
        <f t="shared" si="99"/>
        <v>1000</v>
      </c>
      <c r="R183" s="168"/>
      <c r="S183" s="168">
        <f t="shared" si="100"/>
        <v>1000</v>
      </c>
    </row>
    <row r="184" spans="1:19" s="22" customFormat="1" ht="21" customHeight="1">
      <c r="A184" s="166"/>
      <c r="B184" s="166"/>
      <c r="C184" s="166"/>
      <c r="D184" s="167" t="s">
        <v>441</v>
      </c>
      <c r="E184" s="168">
        <v>21520</v>
      </c>
      <c r="F184" s="168">
        <v>-2520</v>
      </c>
      <c r="G184" s="168">
        <f t="shared" si="94"/>
        <v>19000</v>
      </c>
      <c r="H184" s="168"/>
      <c r="I184" s="168">
        <f t="shared" si="95"/>
        <v>19000</v>
      </c>
      <c r="J184" s="168"/>
      <c r="K184" s="168">
        <f t="shared" si="96"/>
        <v>19000</v>
      </c>
      <c r="L184" s="168"/>
      <c r="M184" s="168">
        <f t="shared" si="97"/>
        <v>19000</v>
      </c>
      <c r="N184" s="168">
        <v>-14930</v>
      </c>
      <c r="O184" s="168">
        <f t="shared" si="98"/>
        <v>4070</v>
      </c>
      <c r="P184" s="168">
        <v>3180</v>
      </c>
      <c r="Q184" s="168">
        <f t="shared" si="99"/>
        <v>7250</v>
      </c>
      <c r="R184" s="168"/>
      <c r="S184" s="168">
        <f t="shared" si="100"/>
        <v>7250</v>
      </c>
    </row>
    <row r="185" spans="1:19" s="22" customFormat="1" ht="21" customHeight="1">
      <c r="A185" s="166"/>
      <c r="B185" s="166"/>
      <c r="C185" s="166"/>
      <c r="D185" s="167" t="s">
        <v>446</v>
      </c>
      <c r="E185" s="168">
        <v>1000</v>
      </c>
      <c r="F185" s="168"/>
      <c r="G185" s="168">
        <f t="shared" si="94"/>
        <v>1000</v>
      </c>
      <c r="H185" s="168"/>
      <c r="I185" s="168">
        <f t="shared" si="95"/>
        <v>1000</v>
      </c>
      <c r="J185" s="168"/>
      <c r="K185" s="168">
        <f t="shared" si="96"/>
        <v>1000</v>
      </c>
      <c r="L185" s="168"/>
      <c r="M185" s="168">
        <f t="shared" si="97"/>
        <v>1000</v>
      </c>
      <c r="N185" s="168"/>
      <c r="O185" s="168">
        <f t="shared" si="98"/>
        <v>1000</v>
      </c>
      <c r="P185" s="168"/>
      <c r="Q185" s="168">
        <f t="shared" si="99"/>
        <v>1000</v>
      </c>
      <c r="R185" s="168"/>
      <c r="S185" s="168">
        <f t="shared" si="100"/>
        <v>1000</v>
      </c>
    </row>
    <row r="186" spans="1:19" s="22" customFormat="1" ht="21" customHeight="1">
      <c r="A186" s="171"/>
      <c r="B186" s="171"/>
      <c r="C186" s="171">
        <v>4260</v>
      </c>
      <c r="D186" s="164" t="s">
        <v>119</v>
      </c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>
        <f>SUM(O187)</f>
        <v>0</v>
      </c>
      <c r="P186" s="165">
        <f>SUM(P187)</f>
        <v>165</v>
      </c>
      <c r="Q186" s="165">
        <f>SUM(Q187)</f>
        <v>165</v>
      </c>
      <c r="R186" s="165">
        <f>SUM(R187)</f>
        <v>0</v>
      </c>
      <c r="S186" s="165">
        <f>SUM(S187)</f>
        <v>165</v>
      </c>
    </row>
    <row r="187" spans="1:19" s="178" customFormat="1" ht="21" customHeight="1">
      <c r="A187" s="177"/>
      <c r="B187" s="177"/>
      <c r="C187" s="177"/>
      <c r="D187" s="167" t="s">
        <v>440</v>
      </c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>
        <v>0</v>
      </c>
      <c r="P187" s="168">
        <v>165</v>
      </c>
      <c r="Q187" s="168">
        <f>SUM(O187:P187)</f>
        <v>165</v>
      </c>
      <c r="R187" s="168"/>
      <c r="S187" s="168">
        <f>SUM(Q187:R187)</f>
        <v>165</v>
      </c>
    </row>
    <row r="188" spans="1:19" s="22" customFormat="1" ht="21" customHeight="1">
      <c r="A188" s="162"/>
      <c r="B188" s="162"/>
      <c r="C188" s="162" t="s">
        <v>451</v>
      </c>
      <c r="D188" s="164" t="s">
        <v>103</v>
      </c>
      <c r="E188" s="165">
        <f aca="true" t="shared" si="101" ref="E188:Q188">SUM(E189:E195)</f>
        <v>10170</v>
      </c>
      <c r="F188" s="165">
        <f t="shared" si="101"/>
        <v>0</v>
      </c>
      <c r="G188" s="165">
        <f t="shared" si="101"/>
        <v>10170</v>
      </c>
      <c r="H188" s="165">
        <f t="shared" si="101"/>
        <v>0</v>
      </c>
      <c r="I188" s="165">
        <f t="shared" si="101"/>
        <v>10170</v>
      </c>
      <c r="J188" s="165">
        <f t="shared" si="101"/>
        <v>0</v>
      </c>
      <c r="K188" s="165">
        <f t="shared" si="101"/>
        <v>10170</v>
      </c>
      <c r="L188" s="165">
        <f t="shared" si="101"/>
        <v>-1170</v>
      </c>
      <c r="M188" s="165">
        <f t="shared" si="101"/>
        <v>9000</v>
      </c>
      <c r="N188" s="165">
        <f t="shared" si="101"/>
        <v>0</v>
      </c>
      <c r="O188" s="165">
        <f t="shared" si="101"/>
        <v>9000</v>
      </c>
      <c r="P188" s="165">
        <f t="shared" si="101"/>
        <v>40</v>
      </c>
      <c r="Q188" s="165">
        <f t="shared" si="101"/>
        <v>9040</v>
      </c>
      <c r="R188" s="165">
        <f>SUM(R189:R195)</f>
        <v>0</v>
      </c>
      <c r="S188" s="165">
        <f>SUM(S189:S195)</f>
        <v>9040</v>
      </c>
    </row>
    <row r="189" spans="1:19" s="22" customFormat="1" ht="21" customHeight="1">
      <c r="A189" s="162"/>
      <c r="B189" s="162"/>
      <c r="C189" s="162"/>
      <c r="D189" s="167" t="s">
        <v>426</v>
      </c>
      <c r="E189" s="168">
        <v>300</v>
      </c>
      <c r="F189" s="168"/>
      <c r="G189" s="168">
        <f aca="true" t="shared" si="102" ref="G189:G195">SUM(E189:F189)</f>
        <v>300</v>
      </c>
      <c r="H189" s="168"/>
      <c r="I189" s="168">
        <f aca="true" t="shared" si="103" ref="I189:I195">SUM(G189:H189)</f>
        <v>300</v>
      </c>
      <c r="J189" s="168"/>
      <c r="K189" s="168">
        <f aca="true" t="shared" si="104" ref="K189:K195">SUM(I189:J189)</f>
        <v>300</v>
      </c>
      <c r="L189" s="168"/>
      <c r="M189" s="168">
        <f aca="true" t="shared" si="105" ref="M189:M195">SUM(K189:L189)</f>
        <v>300</v>
      </c>
      <c r="N189" s="168"/>
      <c r="O189" s="168">
        <f aca="true" t="shared" si="106" ref="O189:O195">SUM(M189:N189)</f>
        <v>300</v>
      </c>
      <c r="P189" s="168"/>
      <c r="Q189" s="168">
        <f aca="true" t="shared" si="107" ref="Q189:Q195">SUM(O189:P189)</f>
        <v>300</v>
      </c>
      <c r="R189" s="168"/>
      <c r="S189" s="168">
        <f aca="true" t="shared" si="108" ref="S189:S195">SUM(Q189:R189)</f>
        <v>300</v>
      </c>
    </row>
    <row r="190" spans="1:19" s="22" customFormat="1" ht="21" customHeight="1">
      <c r="A190" s="166"/>
      <c r="B190" s="166"/>
      <c r="C190" s="166"/>
      <c r="D190" s="167" t="s">
        <v>429</v>
      </c>
      <c r="E190" s="168">
        <v>1000</v>
      </c>
      <c r="F190" s="168"/>
      <c r="G190" s="168">
        <f t="shared" si="102"/>
        <v>1000</v>
      </c>
      <c r="H190" s="168"/>
      <c r="I190" s="168">
        <f t="shared" si="103"/>
        <v>1000</v>
      </c>
      <c r="J190" s="168"/>
      <c r="K190" s="168">
        <f t="shared" si="104"/>
        <v>1000</v>
      </c>
      <c r="L190" s="168"/>
      <c r="M190" s="168">
        <f t="shared" si="105"/>
        <v>1000</v>
      </c>
      <c r="N190" s="168"/>
      <c r="O190" s="168">
        <f t="shared" si="106"/>
        <v>1000</v>
      </c>
      <c r="P190" s="168"/>
      <c r="Q190" s="168">
        <f t="shared" si="107"/>
        <v>1000</v>
      </c>
      <c r="R190" s="168"/>
      <c r="S190" s="168">
        <f t="shared" si="108"/>
        <v>1000</v>
      </c>
    </row>
    <row r="191" spans="1:19" s="22" customFormat="1" ht="21" customHeight="1">
      <c r="A191" s="166"/>
      <c r="B191" s="166"/>
      <c r="C191" s="166"/>
      <c r="D191" s="167" t="s">
        <v>430</v>
      </c>
      <c r="E191" s="168">
        <v>700</v>
      </c>
      <c r="F191" s="168"/>
      <c r="G191" s="168">
        <f t="shared" si="102"/>
        <v>700</v>
      </c>
      <c r="H191" s="168"/>
      <c r="I191" s="168">
        <f t="shared" si="103"/>
        <v>700</v>
      </c>
      <c r="J191" s="168"/>
      <c r="K191" s="168">
        <f t="shared" si="104"/>
        <v>700</v>
      </c>
      <c r="L191" s="168"/>
      <c r="M191" s="168">
        <f t="shared" si="105"/>
        <v>700</v>
      </c>
      <c r="N191" s="168"/>
      <c r="O191" s="168">
        <f t="shared" si="106"/>
        <v>700</v>
      </c>
      <c r="P191" s="168"/>
      <c r="Q191" s="168">
        <f t="shared" si="107"/>
        <v>700</v>
      </c>
      <c r="R191" s="168"/>
      <c r="S191" s="168">
        <f t="shared" si="108"/>
        <v>700</v>
      </c>
    </row>
    <row r="192" spans="1:19" s="22" customFormat="1" ht="21" customHeight="1">
      <c r="A192" s="166"/>
      <c r="B192" s="166"/>
      <c r="C192" s="166"/>
      <c r="D192" s="167" t="s">
        <v>440</v>
      </c>
      <c r="E192" s="168">
        <v>3300</v>
      </c>
      <c r="F192" s="168"/>
      <c r="G192" s="168">
        <f t="shared" si="102"/>
        <v>3300</v>
      </c>
      <c r="H192" s="168"/>
      <c r="I192" s="168">
        <f t="shared" si="103"/>
        <v>3300</v>
      </c>
      <c r="J192" s="168"/>
      <c r="K192" s="168">
        <f t="shared" si="104"/>
        <v>3300</v>
      </c>
      <c r="L192" s="168">
        <v>-300</v>
      </c>
      <c r="M192" s="168">
        <f t="shared" si="105"/>
        <v>3000</v>
      </c>
      <c r="N192" s="168"/>
      <c r="O192" s="168">
        <f t="shared" si="106"/>
        <v>3000</v>
      </c>
      <c r="P192" s="168">
        <f>40</f>
        <v>40</v>
      </c>
      <c r="Q192" s="168">
        <f t="shared" si="107"/>
        <v>3040</v>
      </c>
      <c r="R192" s="168"/>
      <c r="S192" s="168">
        <f t="shared" si="108"/>
        <v>3040</v>
      </c>
    </row>
    <row r="193" spans="1:19" s="22" customFormat="1" ht="21" customHeight="1">
      <c r="A193" s="166"/>
      <c r="B193" s="166"/>
      <c r="C193" s="166"/>
      <c r="D193" s="167" t="s">
        <v>431</v>
      </c>
      <c r="E193" s="168">
        <v>3000</v>
      </c>
      <c r="F193" s="168"/>
      <c r="G193" s="168">
        <f t="shared" si="102"/>
        <v>3000</v>
      </c>
      <c r="H193" s="168"/>
      <c r="I193" s="168">
        <f t="shared" si="103"/>
        <v>3000</v>
      </c>
      <c r="J193" s="168"/>
      <c r="K193" s="168">
        <f t="shared" si="104"/>
        <v>3000</v>
      </c>
      <c r="L193" s="168"/>
      <c r="M193" s="168">
        <f t="shared" si="105"/>
        <v>3000</v>
      </c>
      <c r="N193" s="168"/>
      <c r="O193" s="168">
        <f t="shared" si="106"/>
        <v>3000</v>
      </c>
      <c r="P193" s="168"/>
      <c r="Q193" s="168">
        <f t="shared" si="107"/>
        <v>3000</v>
      </c>
      <c r="R193" s="168"/>
      <c r="S193" s="168">
        <f t="shared" si="108"/>
        <v>3000</v>
      </c>
    </row>
    <row r="194" spans="1:19" s="22" customFormat="1" ht="21" customHeight="1">
      <c r="A194" s="166"/>
      <c r="B194" s="166"/>
      <c r="C194" s="166"/>
      <c r="D194" s="167" t="s">
        <v>432</v>
      </c>
      <c r="E194" s="168">
        <v>250</v>
      </c>
      <c r="F194" s="168"/>
      <c r="G194" s="168">
        <f t="shared" si="102"/>
        <v>250</v>
      </c>
      <c r="H194" s="168"/>
      <c r="I194" s="168">
        <f t="shared" si="103"/>
        <v>250</v>
      </c>
      <c r="J194" s="168"/>
      <c r="K194" s="168">
        <f t="shared" si="104"/>
        <v>250</v>
      </c>
      <c r="L194" s="168">
        <v>-250</v>
      </c>
      <c r="M194" s="168">
        <f t="shared" si="105"/>
        <v>0</v>
      </c>
      <c r="N194" s="168"/>
      <c r="O194" s="168">
        <f t="shared" si="106"/>
        <v>0</v>
      </c>
      <c r="P194" s="168"/>
      <c r="Q194" s="168">
        <f t="shared" si="107"/>
        <v>0</v>
      </c>
      <c r="R194" s="168"/>
      <c r="S194" s="168">
        <f t="shared" si="108"/>
        <v>0</v>
      </c>
    </row>
    <row r="195" spans="1:19" s="22" customFormat="1" ht="21" customHeight="1">
      <c r="A195" s="166"/>
      <c r="B195" s="166"/>
      <c r="C195" s="166"/>
      <c r="D195" s="167" t="s">
        <v>434</v>
      </c>
      <c r="E195" s="168">
        <v>1620</v>
      </c>
      <c r="F195" s="168"/>
      <c r="G195" s="168">
        <f t="shared" si="102"/>
        <v>1620</v>
      </c>
      <c r="H195" s="168"/>
      <c r="I195" s="168">
        <f t="shared" si="103"/>
        <v>1620</v>
      </c>
      <c r="J195" s="168"/>
      <c r="K195" s="168">
        <f t="shared" si="104"/>
        <v>1620</v>
      </c>
      <c r="L195" s="168">
        <v>-620</v>
      </c>
      <c r="M195" s="168">
        <f t="shared" si="105"/>
        <v>1000</v>
      </c>
      <c r="N195" s="168"/>
      <c r="O195" s="168">
        <f t="shared" si="106"/>
        <v>1000</v>
      </c>
      <c r="P195" s="168"/>
      <c r="Q195" s="168">
        <f t="shared" si="107"/>
        <v>1000</v>
      </c>
      <c r="R195" s="168"/>
      <c r="S195" s="168">
        <f t="shared" si="108"/>
        <v>1000</v>
      </c>
    </row>
    <row r="196" spans="1:19" s="22" customFormat="1" ht="21" customHeight="1">
      <c r="A196" s="171"/>
      <c r="B196" s="171"/>
      <c r="C196" s="171">
        <v>6060</v>
      </c>
      <c r="D196" s="175" t="s">
        <v>120</v>
      </c>
      <c r="E196" s="165"/>
      <c r="F196" s="165"/>
      <c r="G196" s="165"/>
      <c r="H196" s="165"/>
      <c r="I196" s="165"/>
      <c r="J196" s="165"/>
      <c r="K196" s="165"/>
      <c r="L196" s="165"/>
      <c r="M196" s="165">
        <f aca="true" t="shared" si="109" ref="M196:S196">SUM(M197:M198)</f>
        <v>0</v>
      </c>
      <c r="N196" s="165">
        <f t="shared" si="109"/>
        <v>21550</v>
      </c>
      <c r="O196" s="165">
        <f t="shared" si="109"/>
        <v>21550</v>
      </c>
      <c r="P196" s="165">
        <f t="shared" si="109"/>
        <v>-3180</v>
      </c>
      <c r="Q196" s="165">
        <f t="shared" si="109"/>
        <v>18370</v>
      </c>
      <c r="R196" s="165">
        <f t="shared" si="109"/>
        <v>0</v>
      </c>
      <c r="S196" s="165">
        <f t="shared" si="109"/>
        <v>18370</v>
      </c>
    </row>
    <row r="197" spans="1:19" s="22" customFormat="1" ht="21" customHeight="1">
      <c r="A197" s="166"/>
      <c r="B197" s="166"/>
      <c r="C197" s="166"/>
      <c r="D197" s="167" t="s">
        <v>431</v>
      </c>
      <c r="E197" s="168"/>
      <c r="F197" s="168"/>
      <c r="G197" s="168"/>
      <c r="H197" s="168"/>
      <c r="I197" s="168"/>
      <c r="J197" s="168"/>
      <c r="K197" s="168"/>
      <c r="L197" s="168"/>
      <c r="M197" s="168">
        <v>0</v>
      </c>
      <c r="N197" s="168">
        <v>6620</v>
      </c>
      <c r="O197" s="168">
        <f>SUM(M197:N197)</f>
        <v>6620</v>
      </c>
      <c r="P197" s="168"/>
      <c r="Q197" s="168">
        <f>SUM(O197:P197)</f>
        <v>6620</v>
      </c>
      <c r="R197" s="168"/>
      <c r="S197" s="168">
        <f>SUM(Q197:R197)</f>
        <v>6620</v>
      </c>
    </row>
    <row r="198" spans="1:19" s="22" customFormat="1" ht="21" customHeight="1">
      <c r="A198" s="166"/>
      <c r="B198" s="166"/>
      <c r="C198" s="166"/>
      <c r="D198" s="167" t="s">
        <v>441</v>
      </c>
      <c r="E198" s="168"/>
      <c r="F198" s="168"/>
      <c r="G198" s="168"/>
      <c r="H198" s="168"/>
      <c r="I198" s="168"/>
      <c r="J198" s="168"/>
      <c r="K198" s="168"/>
      <c r="L198" s="168"/>
      <c r="M198" s="168">
        <v>0</v>
      </c>
      <c r="N198" s="168">
        <v>14930</v>
      </c>
      <c r="O198" s="168">
        <f>SUM(M198:N198)</f>
        <v>14930</v>
      </c>
      <c r="P198" s="168">
        <v>-3180</v>
      </c>
      <c r="Q198" s="168">
        <f>SUM(O198:P198)</f>
        <v>11750</v>
      </c>
      <c r="R198" s="168"/>
      <c r="S198" s="168">
        <f>SUM(Q198:R198)</f>
        <v>11750</v>
      </c>
    </row>
    <row r="199" spans="1:19" s="22" customFormat="1" ht="20.25" customHeight="1">
      <c r="A199" s="162"/>
      <c r="B199" s="162" t="s">
        <v>165</v>
      </c>
      <c r="C199" s="163"/>
      <c r="D199" s="164" t="s">
        <v>166</v>
      </c>
      <c r="E199" s="165">
        <f aca="true" t="shared" si="110" ref="E199:Q199">SUM(E204,E200,E202)</f>
        <v>13600</v>
      </c>
      <c r="F199" s="165">
        <f t="shared" si="110"/>
        <v>0</v>
      </c>
      <c r="G199" s="165">
        <f t="shared" si="110"/>
        <v>13600</v>
      </c>
      <c r="H199" s="165">
        <f t="shared" si="110"/>
        <v>0</v>
      </c>
      <c r="I199" s="165">
        <f t="shared" si="110"/>
        <v>13600</v>
      </c>
      <c r="J199" s="165">
        <f t="shared" si="110"/>
        <v>2750</v>
      </c>
      <c r="K199" s="165">
        <f t="shared" si="110"/>
        <v>16350</v>
      </c>
      <c r="L199" s="165">
        <f t="shared" si="110"/>
        <v>0</v>
      </c>
      <c r="M199" s="165">
        <f t="shared" si="110"/>
        <v>16350</v>
      </c>
      <c r="N199" s="165">
        <f t="shared" si="110"/>
        <v>1200</v>
      </c>
      <c r="O199" s="165">
        <f t="shared" si="110"/>
        <v>17550</v>
      </c>
      <c r="P199" s="165">
        <f t="shared" si="110"/>
        <v>-10000</v>
      </c>
      <c r="Q199" s="165">
        <f t="shared" si="110"/>
        <v>7550</v>
      </c>
      <c r="R199" s="165">
        <f>SUM(R204,R200,R202)</f>
        <v>0</v>
      </c>
      <c r="S199" s="165">
        <f>SUM(S204,S200,S202)</f>
        <v>7550</v>
      </c>
    </row>
    <row r="200" spans="1:19" s="22" customFormat="1" ht="21.75" customHeight="1">
      <c r="A200" s="162"/>
      <c r="B200" s="162"/>
      <c r="C200" s="163">
        <v>4210</v>
      </c>
      <c r="D200" s="176" t="s">
        <v>116</v>
      </c>
      <c r="E200" s="165">
        <f aca="true" t="shared" si="111" ref="E200:S200">E201</f>
        <v>600</v>
      </c>
      <c r="F200" s="165">
        <f t="shared" si="111"/>
        <v>0</v>
      </c>
      <c r="G200" s="165">
        <f t="shared" si="111"/>
        <v>600</v>
      </c>
      <c r="H200" s="165">
        <f t="shared" si="111"/>
        <v>0</v>
      </c>
      <c r="I200" s="165">
        <f t="shared" si="111"/>
        <v>600</v>
      </c>
      <c r="J200" s="165">
        <f t="shared" si="111"/>
        <v>0</v>
      </c>
      <c r="K200" s="165">
        <f t="shared" si="111"/>
        <v>600</v>
      </c>
      <c r="L200" s="165">
        <f t="shared" si="111"/>
        <v>0</v>
      </c>
      <c r="M200" s="165">
        <f t="shared" si="111"/>
        <v>600</v>
      </c>
      <c r="N200" s="165">
        <f t="shared" si="111"/>
        <v>0</v>
      </c>
      <c r="O200" s="165">
        <f t="shared" si="111"/>
        <v>600</v>
      </c>
      <c r="P200" s="165">
        <f t="shared" si="111"/>
        <v>0</v>
      </c>
      <c r="Q200" s="165">
        <f t="shared" si="111"/>
        <v>600</v>
      </c>
      <c r="R200" s="165">
        <f t="shared" si="111"/>
        <v>0</v>
      </c>
      <c r="S200" s="165">
        <f t="shared" si="111"/>
        <v>600</v>
      </c>
    </row>
    <row r="201" spans="1:19" s="24" customFormat="1" ht="17.25" customHeight="1">
      <c r="A201" s="173"/>
      <c r="B201" s="173"/>
      <c r="C201" s="172"/>
      <c r="D201" s="167" t="s">
        <v>426</v>
      </c>
      <c r="E201" s="168">
        <v>600</v>
      </c>
      <c r="F201" s="168"/>
      <c r="G201" s="168">
        <f>SUM(E201:F201)</f>
        <v>600</v>
      </c>
      <c r="H201" s="168"/>
      <c r="I201" s="168">
        <f>SUM(G201:H201)</f>
        <v>600</v>
      </c>
      <c r="J201" s="168"/>
      <c r="K201" s="168">
        <f>SUM(I201:J201)</f>
        <v>600</v>
      </c>
      <c r="L201" s="168"/>
      <c r="M201" s="168">
        <f>SUM(K201:L201)</f>
        <v>600</v>
      </c>
      <c r="N201" s="168"/>
      <c r="O201" s="168">
        <f>SUM(M201:N201)</f>
        <v>600</v>
      </c>
      <c r="P201" s="168"/>
      <c r="Q201" s="168">
        <f>SUM(O201:P201)</f>
        <v>600</v>
      </c>
      <c r="R201" s="168"/>
      <c r="S201" s="168">
        <f>SUM(Q201:R201)</f>
        <v>600</v>
      </c>
    </row>
    <row r="202" spans="1:19" s="22" customFormat="1" ht="21.75" customHeight="1">
      <c r="A202" s="162"/>
      <c r="B202" s="162"/>
      <c r="C202" s="163">
        <v>4300</v>
      </c>
      <c r="D202" s="179" t="s">
        <v>103</v>
      </c>
      <c r="E202" s="165">
        <f aca="true" t="shared" si="112" ref="E202:S202">SUM(E203)</f>
        <v>1000</v>
      </c>
      <c r="F202" s="165">
        <f t="shared" si="112"/>
        <v>0</v>
      </c>
      <c r="G202" s="165">
        <f t="shared" si="112"/>
        <v>1000</v>
      </c>
      <c r="H202" s="165">
        <f t="shared" si="112"/>
        <v>0</v>
      </c>
      <c r="I202" s="165">
        <f t="shared" si="112"/>
        <v>1000</v>
      </c>
      <c r="J202" s="165">
        <f t="shared" si="112"/>
        <v>-1000</v>
      </c>
      <c r="K202" s="165">
        <f t="shared" si="112"/>
        <v>0</v>
      </c>
      <c r="L202" s="165">
        <f t="shared" si="112"/>
        <v>0</v>
      </c>
      <c r="M202" s="165">
        <f t="shared" si="112"/>
        <v>0</v>
      </c>
      <c r="N202" s="165">
        <f t="shared" si="112"/>
        <v>0</v>
      </c>
      <c r="O202" s="165">
        <f t="shared" si="112"/>
        <v>0</v>
      </c>
      <c r="P202" s="165">
        <f t="shared" si="112"/>
        <v>0</v>
      </c>
      <c r="Q202" s="165">
        <f t="shared" si="112"/>
        <v>0</v>
      </c>
      <c r="R202" s="165">
        <f t="shared" si="112"/>
        <v>0</v>
      </c>
      <c r="S202" s="165">
        <f t="shared" si="112"/>
        <v>0</v>
      </c>
    </row>
    <row r="203" spans="1:19" s="24" customFormat="1" ht="16.5" customHeight="1">
      <c r="A203" s="173"/>
      <c r="B203" s="173"/>
      <c r="C203" s="172"/>
      <c r="D203" s="167" t="s">
        <v>433</v>
      </c>
      <c r="E203" s="168">
        <v>1000</v>
      </c>
      <c r="F203" s="168"/>
      <c r="G203" s="168">
        <f>SUM(E203:F203)</f>
        <v>1000</v>
      </c>
      <c r="H203" s="168"/>
      <c r="I203" s="168">
        <f>SUM(G203:H203)</f>
        <v>1000</v>
      </c>
      <c r="J203" s="168">
        <v>-1000</v>
      </c>
      <c r="K203" s="168">
        <f>SUM(I203:J203)</f>
        <v>0</v>
      </c>
      <c r="L203" s="168"/>
      <c r="M203" s="168">
        <f>SUM(K203:L203)</f>
        <v>0</v>
      </c>
      <c r="N203" s="168"/>
      <c r="O203" s="168">
        <f>SUM(M203:N203)</f>
        <v>0</v>
      </c>
      <c r="P203" s="168"/>
      <c r="Q203" s="168">
        <f>SUM(O203:P203)</f>
        <v>0</v>
      </c>
      <c r="R203" s="168"/>
      <c r="S203" s="168">
        <f>SUM(Q203:R203)</f>
        <v>0</v>
      </c>
    </row>
    <row r="204" spans="1:19" s="22" customFormat="1" ht="22.5">
      <c r="A204" s="162"/>
      <c r="B204" s="163"/>
      <c r="C204" s="162">
        <v>6050</v>
      </c>
      <c r="D204" s="164" t="s">
        <v>97</v>
      </c>
      <c r="E204" s="165">
        <f aca="true" t="shared" si="113" ref="E204:Q204">SUM(E205:E207)</f>
        <v>12000</v>
      </c>
      <c r="F204" s="165">
        <f t="shared" si="113"/>
        <v>0</v>
      </c>
      <c r="G204" s="165">
        <f t="shared" si="113"/>
        <v>12000</v>
      </c>
      <c r="H204" s="165">
        <f t="shared" si="113"/>
        <v>0</v>
      </c>
      <c r="I204" s="165">
        <f t="shared" si="113"/>
        <v>12000</v>
      </c>
      <c r="J204" s="165">
        <f t="shared" si="113"/>
        <v>3750</v>
      </c>
      <c r="K204" s="165">
        <f t="shared" si="113"/>
        <v>15750</v>
      </c>
      <c r="L204" s="165">
        <f t="shared" si="113"/>
        <v>0</v>
      </c>
      <c r="M204" s="165">
        <f t="shared" si="113"/>
        <v>15750</v>
      </c>
      <c r="N204" s="165">
        <f t="shared" si="113"/>
        <v>1200</v>
      </c>
      <c r="O204" s="165">
        <f t="shared" si="113"/>
        <v>16950</v>
      </c>
      <c r="P204" s="165">
        <f t="shared" si="113"/>
        <v>-10000</v>
      </c>
      <c r="Q204" s="165">
        <f t="shared" si="113"/>
        <v>6950</v>
      </c>
      <c r="R204" s="165">
        <f>SUM(R205:R207)</f>
        <v>0</v>
      </c>
      <c r="S204" s="165">
        <f>SUM(S205:S207)</f>
        <v>6950</v>
      </c>
    </row>
    <row r="205" spans="1:19" s="22" customFormat="1" ht="21.75" customHeight="1">
      <c r="A205" s="166"/>
      <c r="B205" s="166"/>
      <c r="C205" s="166"/>
      <c r="D205" s="167" t="s">
        <v>432</v>
      </c>
      <c r="E205" s="168">
        <v>10000</v>
      </c>
      <c r="F205" s="168"/>
      <c r="G205" s="168">
        <f>SUM(E205:F205)</f>
        <v>10000</v>
      </c>
      <c r="H205" s="168"/>
      <c r="I205" s="168">
        <f>SUM(G205:H205)</f>
        <v>10000</v>
      </c>
      <c r="J205" s="168"/>
      <c r="K205" s="168">
        <f>SUM(I205:J205)</f>
        <v>10000</v>
      </c>
      <c r="L205" s="168"/>
      <c r="M205" s="168">
        <f>SUM(K205:L205)</f>
        <v>10000</v>
      </c>
      <c r="N205" s="168"/>
      <c r="O205" s="168">
        <f>SUM(M205:N205)</f>
        <v>10000</v>
      </c>
      <c r="P205" s="168">
        <v>-10000</v>
      </c>
      <c r="Q205" s="168">
        <f>SUM(O205:P205)</f>
        <v>0</v>
      </c>
      <c r="R205" s="168"/>
      <c r="S205" s="168">
        <f>SUM(Q205:R205)</f>
        <v>0</v>
      </c>
    </row>
    <row r="206" spans="1:19" s="22" customFormat="1" ht="21.75" customHeight="1">
      <c r="A206" s="166"/>
      <c r="B206" s="166"/>
      <c r="C206" s="166"/>
      <c r="D206" s="167" t="s">
        <v>433</v>
      </c>
      <c r="E206" s="168"/>
      <c r="F206" s="168"/>
      <c r="G206" s="168"/>
      <c r="H206" s="168"/>
      <c r="I206" s="168">
        <v>0</v>
      </c>
      <c r="J206" s="168">
        <f>1000+2750</f>
        <v>3750</v>
      </c>
      <c r="K206" s="168">
        <f>SUM(I206:J206)</f>
        <v>3750</v>
      </c>
      <c r="L206" s="168"/>
      <c r="M206" s="168">
        <f>SUM(K206:L206)</f>
        <v>3750</v>
      </c>
      <c r="N206" s="168">
        <v>1200</v>
      </c>
      <c r="O206" s="168">
        <f>SUM(M206:N206)</f>
        <v>4950</v>
      </c>
      <c r="P206" s="168"/>
      <c r="Q206" s="168">
        <f>SUM(O206:P206)</f>
        <v>4950</v>
      </c>
      <c r="R206" s="168"/>
      <c r="S206" s="168">
        <f>SUM(Q206:R206)</f>
        <v>4950</v>
      </c>
    </row>
    <row r="207" spans="1:19" s="102" customFormat="1" ht="21.75" customHeight="1">
      <c r="A207" s="169"/>
      <c r="B207" s="169"/>
      <c r="C207" s="169"/>
      <c r="D207" s="170" t="s">
        <v>442</v>
      </c>
      <c r="E207" s="168">
        <v>2000</v>
      </c>
      <c r="F207" s="168"/>
      <c r="G207" s="168">
        <f>SUM(E207:F207)</f>
        <v>2000</v>
      </c>
      <c r="H207" s="168"/>
      <c r="I207" s="168">
        <f>SUM(G207:H207)</f>
        <v>2000</v>
      </c>
      <c r="J207" s="168"/>
      <c r="K207" s="168">
        <f>SUM(I207:J207)</f>
        <v>2000</v>
      </c>
      <c r="L207" s="168"/>
      <c r="M207" s="168">
        <f>SUM(K207:L207)</f>
        <v>2000</v>
      </c>
      <c r="N207" s="168"/>
      <c r="O207" s="168">
        <f>SUM(M207:N207)</f>
        <v>2000</v>
      </c>
      <c r="P207" s="168"/>
      <c r="Q207" s="168">
        <f>SUM(O207:P207)</f>
        <v>2000</v>
      </c>
      <c r="R207" s="168"/>
      <c r="S207" s="168">
        <f>SUM(Q207:R207)</f>
        <v>2000</v>
      </c>
    </row>
    <row r="208" spans="1:19" s="22" customFormat="1" ht="24" customHeight="1">
      <c r="A208" s="162"/>
      <c r="B208" s="162">
        <v>90095</v>
      </c>
      <c r="C208" s="163"/>
      <c r="D208" s="164" t="s">
        <v>17</v>
      </c>
      <c r="E208" s="165">
        <f aca="true" t="shared" si="114" ref="E208:S208">SUM(E209,)</f>
        <v>1220</v>
      </c>
      <c r="F208" s="165">
        <f t="shared" si="114"/>
        <v>0</v>
      </c>
      <c r="G208" s="165">
        <f t="shared" si="114"/>
        <v>1220</v>
      </c>
      <c r="H208" s="165">
        <f t="shared" si="114"/>
        <v>0</v>
      </c>
      <c r="I208" s="165">
        <f t="shared" si="114"/>
        <v>1220</v>
      </c>
      <c r="J208" s="165">
        <f t="shared" si="114"/>
        <v>0</v>
      </c>
      <c r="K208" s="165">
        <f t="shared" si="114"/>
        <v>1220</v>
      </c>
      <c r="L208" s="165">
        <f t="shared" si="114"/>
        <v>0</v>
      </c>
      <c r="M208" s="165">
        <f t="shared" si="114"/>
        <v>1220</v>
      </c>
      <c r="N208" s="165">
        <f t="shared" si="114"/>
        <v>0</v>
      </c>
      <c r="O208" s="165">
        <f t="shared" si="114"/>
        <v>1220</v>
      </c>
      <c r="P208" s="165">
        <f t="shared" si="114"/>
        <v>0</v>
      </c>
      <c r="Q208" s="165">
        <f t="shared" si="114"/>
        <v>1220</v>
      </c>
      <c r="R208" s="165">
        <f t="shared" si="114"/>
        <v>0</v>
      </c>
      <c r="S208" s="165">
        <f t="shared" si="114"/>
        <v>1220</v>
      </c>
    </row>
    <row r="209" spans="1:19" s="22" customFormat="1" ht="17.25" customHeight="1">
      <c r="A209" s="162"/>
      <c r="B209" s="163"/>
      <c r="C209" s="163">
        <v>4210</v>
      </c>
      <c r="D209" s="176" t="s">
        <v>116</v>
      </c>
      <c r="E209" s="165">
        <f aca="true" t="shared" si="115" ref="E209:S209">SUM(E210:E210)</f>
        <v>1220</v>
      </c>
      <c r="F209" s="165">
        <f t="shared" si="115"/>
        <v>0</v>
      </c>
      <c r="G209" s="165">
        <f t="shared" si="115"/>
        <v>1220</v>
      </c>
      <c r="H209" s="165">
        <f t="shared" si="115"/>
        <v>0</v>
      </c>
      <c r="I209" s="165">
        <f t="shared" si="115"/>
        <v>1220</v>
      </c>
      <c r="J209" s="165">
        <f t="shared" si="115"/>
        <v>0</v>
      </c>
      <c r="K209" s="165">
        <f t="shared" si="115"/>
        <v>1220</v>
      </c>
      <c r="L209" s="165">
        <f t="shared" si="115"/>
        <v>0</v>
      </c>
      <c r="M209" s="165">
        <f t="shared" si="115"/>
        <v>1220</v>
      </c>
      <c r="N209" s="165">
        <f t="shared" si="115"/>
        <v>0</v>
      </c>
      <c r="O209" s="165">
        <f t="shared" si="115"/>
        <v>1220</v>
      </c>
      <c r="P209" s="165">
        <f t="shared" si="115"/>
        <v>0</v>
      </c>
      <c r="Q209" s="165">
        <f t="shared" si="115"/>
        <v>1220</v>
      </c>
      <c r="R209" s="165">
        <f t="shared" si="115"/>
        <v>0</v>
      </c>
      <c r="S209" s="165">
        <f t="shared" si="115"/>
        <v>1220</v>
      </c>
    </row>
    <row r="210" spans="1:19" s="22" customFormat="1" ht="17.25" customHeight="1">
      <c r="A210" s="166"/>
      <c r="B210" s="166"/>
      <c r="C210" s="166"/>
      <c r="D210" s="167" t="s">
        <v>426</v>
      </c>
      <c r="E210" s="168">
        <v>1220</v>
      </c>
      <c r="F210" s="168"/>
      <c r="G210" s="168">
        <f>SUM(E210:F210)</f>
        <v>1220</v>
      </c>
      <c r="H210" s="168"/>
      <c r="I210" s="168">
        <f>SUM(G210:H210)</f>
        <v>1220</v>
      </c>
      <c r="J210" s="168"/>
      <c r="K210" s="168">
        <f>SUM(I210:J210)</f>
        <v>1220</v>
      </c>
      <c r="L210" s="168"/>
      <c r="M210" s="168">
        <f>SUM(K210:L210)</f>
        <v>1220</v>
      </c>
      <c r="N210" s="168"/>
      <c r="O210" s="168">
        <f>SUM(M210:N210)</f>
        <v>1220</v>
      </c>
      <c r="P210" s="168"/>
      <c r="Q210" s="168">
        <f>SUM(O210:P210)</f>
        <v>1220</v>
      </c>
      <c r="R210" s="168"/>
      <c r="S210" s="168">
        <f>SUM(Q210:R210)</f>
        <v>1220</v>
      </c>
    </row>
    <row r="211" spans="1:19" s="6" customFormat="1" ht="24" customHeight="1">
      <c r="A211" s="155" t="s">
        <v>86</v>
      </c>
      <c r="B211" s="156"/>
      <c r="C211" s="156"/>
      <c r="D211" s="157" t="s">
        <v>168</v>
      </c>
      <c r="E211" s="158">
        <f aca="true" t="shared" si="116" ref="E211:S211">E212</f>
        <v>68040</v>
      </c>
      <c r="F211" s="158">
        <f t="shared" si="116"/>
        <v>0</v>
      </c>
      <c r="G211" s="158">
        <f t="shared" si="116"/>
        <v>68040</v>
      </c>
      <c r="H211" s="158">
        <f t="shared" si="116"/>
        <v>0</v>
      </c>
      <c r="I211" s="158">
        <f t="shared" si="116"/>
        <v>68040</v>
      </c>
      <c r="J211" s="158">
        <f t="shared" si="116"/>
        <v>3258</v>
      </c>
      <c r="K211" s="158">
        <f t="shared" si="116"/>
        <v>71298</v>
      </c>
      <c r="L211" s="158">
        <f t="shared" si="116"/>
        <v>0</v>
      </c>
      <c r="M211" s="158">
        <f t="shared" si="116"/>
        <v>71298</v>
      </c>
      <c r="N211" s="158">
        <f t="shared" si="116"/>
        <v>-2622</v>
      </c>
      <c r="O211" s="158">
        <f t="shared" si="116"/>
        <v>68676</v>
      </c>
      <c r="P211" s="158">
        <f t="shared" si="116"/>
        <v>-6485</v>
      </c>
      <c r="Q211" s="158">
        <f t="shared" si="116"/>
        <v>62191</v>
      </c>
      <c r="R211" s="158">
        <f t="shared" si="116"/>
        <v>0</v>
      </c>
      <c r="S211" s="158">
        <f t="shared" si="116"/>
        <v>62191</v>
      </c>
    </row>
    <row r="212" spans="1:19" s="22" customFormat="1" ht="24" customHeight="1">
      <c r="A212" s="162"/>
      <c r="B212" s="162" t="s">
        <v>169</v>
      </c>
      <c r="C212" s="163"/>
      <c r="D212" s="164" t="s">
        <v>181</v>
      </c>
      <c r="E212" s="165">
        <f>SUM(E213,E225,E241,E248,E255,)</f>
        <v>68040</v>
      </c>
      <c r="F212" s="165">
        <f>SUM(F213,F225,F241,F248,F255,)</f>
        <v>0</v>
      </c>
      <c r="G212" s="165">
        <f aca="true" t="shared" si="117" ref="G212:Q212">SUM(G213,G225,G241,G248,G255,G272)</f>
        <v>68040</v>
      </c>
      <c r="H212" s="165">
        <f t="shared" si="117"/>
        <v>0</v>
      </c>
      <c r="I212" s="165">
        <f t="shared" si="117"/>
        <v>68040</v>
      </c>
      <c r="J212" s="165">
        <f t="shared" si="117"/>
        <v>3258</v>
      </c>
      <c r="K212" s="165">
        <f t="shared" si="117"/>
        <v>71298</v>
      </c>
      <c r="L212" s="165">
        <f t="shared" si="117"/>
        <v>0</v>
      </c>
      <c r="M212" s="165">
        <f t="shared" si="117"/>
        <v>71298</v>
      </c>
      <c r="N212" s="165">
        <f t="shared" si="117"/>
        <v>-2622</v>
      </c>
      <c r="O212" s="165">
        <f t="shared" si="117"/>
        <v>68676</v>
      </c>
      <c r="P212" s="165">
        <f t="shared" si="117"/>
        <v>-6485</v>
      </c>
      <c r="Q212" s="165">
        <f t="shared" si="117"/>
        <v>62191</v>
      </c>
      <c r="R212" s="165">
        <f>SUM(R213,R225,R241,R248,R255,R272)</f>
        <v>0</v>
      </c>
      <c r="S212" s="165">
        <f>SUM(S213,S225,S241,S248,S255,S272)</f>
        <v>62191</v>
      </c>
    </row>
    <row r="213" spans="1:19" s="22" customFormat="1" ht="18" customHeight="1">
      <c r="A213" s="162"/>
      <c r="B213" s="162"/>
      <c r="C213" s="162" t="s">
        <v>444</v>
      </c>
      <c r="D213" s="164" t="s">
        <v>116</v>
      </c>
      <c r="E213" s="165">
        <f aca="true" t="shared" si="118" ref="E213:Q213">SUM(E214:E224)</f>
        <v>23830</v>
      </c>
      <c r="F213" s="165">
        <f t="shared" si="118"/>
        <v>0</v>
      </c>
      <c r="G213" s="165">
        <f t="shared" si="118"/>
        <v>23830</v>
      </c>
      <c r="H213" s="165">
        <f t="shared" si="118"/>
        <v>-170</v>
      </c>
      <c r="I213" s="165">
        <f t="shared" si="118"/>
        <v>23660</v>
      </c>
      <c r="J213" s="165">
        <f t="shared" si="118"/>
        <v>740</v>
      </c>
      <c r="K213" s="165">
        <f t="shared" si="118"/>
        <v>24400</v>
      </c>
      <c r="L213" s="165">
        <f t="shared" si="118"/>
        <v>0</v>
      </c>
      <c r="M213" s="165">
        <f t="shared" si="118"/>
        <v>24400</v>
      </c>
      <c r="N213" s="165">
        <f t="shared" si="118"/>
        <v>-1880</v>
      </c>
      <c r="O213" s="165">
        <f t="shared" si="118"/>
        <v>22520</v>
      </c>
      <c r="P213" s="165">
        <f t="shared" si="118"/>
        <v>-6040</v>
      </c>
      <c r="Q213" s="165">
        <f t="shared" si="118"/>
        <v>16480</v>
      </c>
      <c r="R213" s="165">
        <f>SUM(R214:R224)</f>
        <v>-250</v>
      </c>
      <c r="S213" s="165">
        <f>SUM(S214:S224)</f>
        <v>16230</v>
      </c>
    </row>
    <row r="214" spans="1:19" s="22" customFormat="1" ht="18.75" customHeight="1">
      <c r="A214" s="166"/>
      <c r="B214" s="166"/>
      <c r="C214" s="166"/>
      <c r="D214" s="167" t="s">
        <v>427</v>
      </c>
      <c r="E214" s="168">
        <v>1000</v>
      </c>
      <c r="F214" s="168"/>
      <c r="G214" s="168">
        <f aca="true" t="shared" si="119" ref="G214:G224">SUM(E214:F214)</f>
        <v>1000</v>
      </c>
      <c r="H214" s="168"/>
      <c r="I214" s="168">
        <f aca="true" t="shared" si="120" ref="I214:I224">SUM(G214:H214)</f>
        <v>1000</v>
      </c>
      <c r="J214" s="168">
        <f>1000-260</f>
        <v>740</v>
      </c>
      <c r="K214" s="168">
        <f aca="true" t="shared" si="121" ref="K214:K224">SUM(I214:J214)</f>
        <v>1740</v>
      </c>
      <c r="L214" s="168"/>
      <c r="M214" s="168">
        <f aca="true" t="shared" si="122" ref="M214:M224">SUM(K214:L214)</f>
        <v>1740</v>
      </c>
      <c r="N214" s="168"/>
      <c r="O214" s="168">
        <f aca="true" t="shared" si="123" ref="O214:O224">SUM(M214:N214)</f>
        <v>1740</v>
      </c>
      <c r="P214" s="168"/>
      <c r="Q214" s="168">
        <f aca="true" t="shared" si="124" ref="Q214:Q224">SUM(O214:P214)</f>
        <v>1740</v>
      </c>
      <c r="R214" s="168"/>
      <c r="S214" s="168">
        <f aca="true" t="shared" si="125" ref="S214:S224">SUM(Q214:R214)</f>
        <v>1740</v>
      </c>
    </row>
    <row r="215" spans="1:19" s="22" customFormat="1" ht="17.25" customHeight="1">
      <c r="A215" s="166"/>
      <c r="B215" s="166"/>
      <c r="C215" s="166"/>
      <c r="D215" s="167" t="s">
        <v>439</v>
      </c>
      <c r="E215" s="168">
        <v>5300</v>
      </c>
      <c r="F215" s="168"/>
      <c r="G215" s="168">
        <f t="shared" si="119"/>
        <v>5300</v>
      </c>
      <c r="H215" s="168"/>
      <c r="I215" s="168">
        <f t="shared" si="120"/>
        <v>5300</v>
      </c>
      <c r="J215" s="168"/>
      <c r="K215" s="168">
        <f t="shared" si="121"/>
        <v>5300</v>
      </c>
      <c r="L215" s="168"/>
      <c r="M215" s="168">
        <f t="shared" si="122"/>
        <v>5300</v>
      </c>
      <c r="N215" s="168"/>
      <c r="O215" s="168">
        <f t="shared" si="123"/>
        <v>5300</v>
      </c>
      <c r="P215" s="168"/>
      <c r="Q215" s="168">
        <f t="shared" si="124"/>
        <v>5300</v>
      </c>
      <c r="R215" s="168"/>
      <c r="S215" s="168">
        <f t="shared" si="125"/>
        <v>5300</v>
      </c>
    </row>
    <row r="216" spans="1:19" s="22" customFormat="1" ht="18.75" customHeight="1">
      <c r="A216" s="166"/>
      <c r="B216" s="166"/>
      <c r="C216" s="166"/>
      <c r="D216" s="167" t="s">
        <v>428</v>
      </c>
      <c r="E216" s="168">
        <v>2900</v>
      </c>
      <c r="F216" s="168"/>
      <c r="G216" s="168">
        <f t="shared" si="119"/>
        <v>2900</v>
      </c>
      <c r="H216" s="168">
        <v>-170</v>
      </c>
      <c r="I216" s="168">
        <f t="shared" si="120"/>
        <v>2730</v>
      </c>
      <c r="J216" s="168"/>
      <c r="K216" s="168">
        <f t="shared" si="121"/>
        <v>2730</v>
      </c>
      <c r="L216" s="168"/>
      <c r="M216" s="168">
        <f t="shared" si="122"/>
        <v>2730</v>
      </c>
      <c r="N216" s="168">
        <v>-2200</v>
      </c>
      <c r="O216" s="168">
        <f t="shared" si="123"/>
        <v>530</v>
      </c>
      <c r="P216" s="168"/>
      <c r="Q216" s="168">
        <f t="shared" si="124"/>
        <v>530</v>
      </c>
      <c r="R216" s="168"/>
      <c r="S216" s="168">
        <f t="shared" si="125"/>
        <v>530</v>
      </c>
    </row>
    <row r="217" spans="1:19" s="22" customFormat="1" ht="18" customHeight="1">
      <c r="A217" s="166"/>
      <c r="B217" s="166"/>
      <c r="C217" s="166"/>
      <c r="D217" s="167" t="s">
        <v>429</v>
      </c>
      <c r="E217" s="168">
        <v>2310</v>
      </c>
      <c r="F217" s="168"/>
      <c r="G217" s="168">
        <f t="shared" si="119"/>
        <v>2310</v>
      </c>
      <c r="H217" s="168"/>
      <c r="I217" s="168">
        <f t="shared" si="120"/>
        <v>2310</v>
      </c>
      <c r="J217" s="168"/>
      <c r="K217" s="168">
        <f t="shared" si="121"/>
        <v>2310</v>
      </c>
      <c r="L217" s="168"/>
      <c r="M217" s="168">
        <f t="shared" si="122"/>
        <v>2310</v>
      </c>
      <c r="N217" s="168"/>
      <c r="O217" s="168">
        <f t="shared" si="123"/>
        <v>2310</v>
      </c>
      <c r="P217" s="168"/>
      <c r="Q217" s="168">
        <f t="shared" si="124"/>
        <v>2310</v>
      </c>
      <c r="R217" s="168"/>
      <c r="S217" s="168">
        <f t="shared" si="125"/>
        <v>2310</v>
      </c>
    </row>
    <row r="218" spans="1:19" s="22" customFormat="1" ht="18.75" customHeight="1">
      <c r="A218" s="166"/>
      <c r="B218" s="166"/>
      <c r="C218" s="166"/>
      <c r="D218" s="167" t="s">
        <v>430</v>
      </c>
      <c r="E218" s="168">
        <v>6040</v>
      </c>
      <c r="F218" s="168"/>
      <c r="G218" s="168">
        <f t="shared" si="119"/>
        <v>6040</v>
      </c>
      <c r="H218" s="168"/>
      <c r="I218" s="168">
        <f t="shared" si="120"/>
        <v>6040</v>
      </c>
      <c r="J218" s="168"/>
      <c r="K218" s="168">
        <f t="shared" si="121"/>
        <v>6040</v>
      </c>
      <c r="L218" s="168"/>
      <c r="M218" s="168">
        <f t="shared" si="122"/>
        <v>6040</v>
      </c>
      <c r="N218" s="168"/>
      <c r="O218" s="168">
        <f t="shared" si="123"/>
        <v>6040</v>
      </c>
      <c r="P218" s="168">
        <v>-6040</v>
      </c>
      <c r="Q218" s="168">
        <f t="shared" si="124"/>
        <v>0</v>
      </c>
      <c r="R218" s="168"/>
      <c r="S218" s="168">
        <f t="shared" si="125"/>
        <v>0</v>
      </c>
    </row>
    <row r="219" spans="1:19" s="178" customFormat="1" ht="18" customHeight="1">
      <c r="A219" s="177"/>
      <c r="B219" s="177"/>
      <c r="C219" s="177"/>
      <c r="D219" s="167" t="s">
        <v>440</v>
      </c>
      <c r="E219" s="168">
        <v>1000</v>
      </c>
      <c r="F219" s="168"/>
      <c r="G219" s="168">
        <f t="shared" si="119"/>
        <v>1000</v>
      </c>
      <c r="H219" s="168"/>
      <c r="I219" s="168">
        <f t="shared" si="120"/>
        <v>1000</v>
      </c>
      <c r="J219" s="168"/>
      <c r="K219" s="168">
        <f t="shared" si="121"/>
        <v>1000</v>
      </c>
      <c r="L219" s="168"/>
      <c r="M219" s="168">
        <f t="shared" si="122"/>
        <v>1000</v>
      </c>
      <c r="N219" s="168"/>
      <c r="O219" s="168">
        <f t="shared" si="123"/>
        <v>1000</v>
      </c>
      <c r="P219" s="168">
        <f>-1000+1900</f>
        <v>900</v>
      </c>
      <c r="Q219" s="168">
        <f t="shared" si="124"/>
        <v>1900</v>
      </c>
      <c r="R219" s="168"/>
      <c r="S219" s="168">
        <f t="shared" si="125"/>
        <v>1900</v>
      </c>
    </row>
    <row r="220" spans="1:19" s="178" customFormat="1" ht="18" customHeight="1">
      <c r="A220" s="177"/>
      <c r="B220" s="177"/>
      <c r="C220" s="177"/>
      <c r="D220" s="167" t="s">
        <v>431</v>
      </c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>
        <v>0</v>
      </c>
      <c r="R220" s="168"/>
      <c r="S220" s="168">
        <f t="shared" si="125"/>
        <v>0</v>
      </c>
    </row>
    <row r="221" spans="1:19" s="22" customFormat="1" ht="18.75" customHeight="1">
      <c r="A221" s="166"/>
      <c r="B221" s="166"/>
      <c r="C221" s="166"/>
      <c r="D221" s="167" t="s">
        <v>441</v>
      </c>
      <c r="E221" s="168">
        <v>2750</v>
      </c>
      <c r="F221" s="168"/>
      <c r="G221" s="168">
        <f t="shared" si="119"/>
        <v>2750</v>
      </c>
      <c r="H221" s="168"/>
      <c r="I221" s="168">
        <f t="shared" si="120"/>
        <v>2750</v>
      </c>
      <c r="J221" s="168"/>
      <c r="K221" s="168">
        <f t="shared" si="121"/>
        <v>2750</v>
      </c>
      <c r="L221" s="168"/>
      <c r="M221" s="168">
        <f t="shared" si="122"/>
        <v>2750</v>
      </c>
      <c r="N221" s="168">
        <v>320</v>
      </c>
      <c r="O221" s="168">
        <f t="shared" si="123"/>
        <v>3070</v>
      </c>
      <c r="P221" s="168"/>
      <c r="Q221" s="168">
        <f t="shared" si="124"/>
        <v>3070</v>
      </c>
      <c r="R221" s="168"/>
      <c r="S221" s="168">
        <f t="shared" si="125"/>
        <v>3070</v>
      </c>
    </row>
    <row r="222" spans="1:19" s="22" customFormat="1" ht="21.75" customHeight="1">
      <c r="A222" s="166"/>
      <c r="B222" s="166"/>
      <c r="C222" s="166"/>
      <c r="D222" s="167" t="s">
        <v>442</v>
      </c>
      <c r="E222" s="168">
        <v>810</v>
      </c>
      <c r="F222" s="168"/>
      <c r="G222" s="168">
        <f t="shared" si="119"/>
        <v>810</v>
      </c>
      <c r="H222" s="168"/>
      <c r="I222" s="168">
        <f t="shared" si="120"/>
        <v>810</v>
      </c>
      <c r="J222" s="168"/>
      <c r="K222" s="168">
        <f t="shared" si="121"/>
        <v>810</v>
      </c>
      <c r="L222" s="168"/>
      <c r="M222" s="168">
        <f t="shared" si="122"/>
        <v>810</v>
      </c>
      <c r="N222" s="168"/>
      <c r="O222" s="168">
        <f t="shared" si="123"/>
        <v>810</v>
      </c>
      <c r="P222" s="168"/>
      <c r="Q222" s="168">
        <f t="shared" si="124"/>
        <v>810</v>
      </c>
      <c r="R222" s="168">
        <v>-250</v>
      </c>
      <c r="S222" s="168">
        <f t="shared" si="125"/>
        <v>560</v>
      </c>
    </row>
    <row r="223" spans="1:19" s="22" customFormat="1" ht="21.75" customHeight="1">
      <c r="A223" s="166"/>
      <c r="B223" s="166"/>
      <c r="C223" s="166"/>
      <c r="D223" s="167" t="s">
        <v>452</v>
      </c>
      <c r="E223" s="168">
        <v>1000</v>
      </c>
      <c r="F223" s="168"/>
      <c r="G223" s="168">
        <f t="shared" si="119"/>
        <v>1000</v>
      </c>
      <c r="H223" s="168"/>
      <c r="I223" s="168">
        <f t="shared" si="120"/>
        <v>1000</v>
      </c>
      <c r="J223" s="168"/>
      <c r="K223" s="168">
        <f t="shared" si="121"/>
        <v>1000</v>
      </c>
      <c r="L223" s="168"/>
      <c r="M223" s="168">
        <f t="shared" si="122"/>
        <v>1000</v>
      </c>
      <c r="N223" s="168"/>
      <c r="O223" s="168">
        <f t="shared" si="123"/>
        <v>1000</v>
      </c>
      <c r="P223" s="168">
        <v>-900</v>
      </c>
      <c r="Q223" s="168">
        <f t="shared" si="124"/>
        <v>100</v>
      </c>
      <c r="R223" s="168"/>
      <c r="S223" s="168">
        <f t="shared" si="125"/>
        <v>100</v>
      </c>
    </row>
    <row r="224" spans="1:19" s="22" customFormat="1" ht="21.75" customHeight="1">
      <c r="A224" s="166"/>
      <c r="B224" s="166"/>
      <c r="C224" s="166"/>
      <c r="D224" s="167" t="s">
        <v>446</v>
      </c>
      <c r="E224" s="168">
        <v>720</v>
      </c>
      <c r="F224" s="168"/>
      <c r="G224" s="168">
        <f t="shared" si="119"/>
        <v>720</v>
      </c>
      <c r="H224" s="168"/>
      <c r="I224" s="168">
        <f t="shared" si="120"/>
        <v>720</v>
      </c>
      <c r="J224" s="168"/>
      <c r="K224" s="168">
        <f t="shared" si="121"/>
        <v>720</v>
      </c>
      <c r="L224" s="168"/>
      <c r="M224" s="168">
        <f t="shared" si="122"/>
        <v>720</v>
      </c>
      <c r="N224" s="168"/>
      <c r="O224" s="168">
        <f t="shared" si="123"/>
        <v>720</v>
      </c>
      <c r="P224" s="168"/>
      <c r="Q224" s="168">
        <f t="shared" si="124"/>
        <v>720</v>
      </c>
      <c r="R224" s="168"/>
      <c r="S224" s="168">
        <f t="shared" si="125"/>
        <v>720</v>
      </c>
    </row>
    <row r="225" spans="1:19" s="22" customFormat="1" ht="18" customHeight="1">
      <c r="A225" s="162"/>
      <c r="B225" s="162"/>
      <c r="C225" s="162" t="s">
        <v>453</v>
      </c>
      <c r="D225" s="164" t="s">
        <v>119</v>
      </c>
      <c r="E225" s="165">
        <f aca="true" t="shared" si="126" ref="E225:Q225">SUM(E226:E240)</f>
        <v>12000</v>
      </c>
      <c r="F225" s="165">
        <f t="shared" si="126"/>
        <v>0</v>
      </c>
      <c r="G225" s="165">
        <f t="shared" si="126"/>
        <v>12000</v>
      </c>
      <c r="H225" s="165">
        <f t="shared" si="126"/>
        <v>0</v>
      </c>
      <c r="I225" s="165">
        <f t="shared" si="126"/>
        <v>12000</v>
      </c>
      <c r="J225" s="165">
        <f t="shared" si="126"/>
        <v>0</v>
      </c>
      <c r="K225" s="165">
        <f t="shared" si="126"/>
        <v>12000</v>
      </c>
      <c r="L225" s="165">
        <f t="shared" si="126"/>
        <v>0</v>
      </c>
      <c r="M225" s="165">
        <f t="shared" si="126"/>
        <v>12000</v>
      </c>
      <c r="N225" s="165">
        <f t="shared" si="126"/>
        <v>-232</v>
      </c>
      <c r="O225" s="165">
        <f t="shared" si="126"/>
        <v>11768</v>
      </c>
      <c r="P225" s="165">
        <f t="shared" si="126"/>
        <v>690</v>
      </c>
      <c r="Q225" s="165">
        <f t="shared" si="126"/>
        <v>12458</v>
      </c>
      <c r="R225" s="165">
        <f>SUM(R226:R240)</f>
        <v>250</v>
      </c>
      <c r="S225" s="165">
        <f>SUM(S226:S240)</f>
        <v>12708</v>
      </c>
    </row>
    <row r="226" spans="1:19" s="22" customFormat="1" ht="18" customHeight="1">
      <c r="A226" s="166"/>
      <c r="B226" s="166"/>
      <c r="C226" s="166"/>
      <c r="D226" s="167" t="s">
        <v>437</v>
      </c>
      <c r="E226" s="168">
        <v>1300</v>
      </c>
      <c r="F226" s="168"/>
      <c r="G226" s="168">
        <f aca="true" t="shared" si="127" ref="G226:G240">SUM(E226:F226)</f>
        <v>1300</v>
      </c>
      <c r="H226" s="168"/>
      <c r="I226" s="168">
        <f aca="true" t="shared" si="128" ref="I226:I240">SUM(G226:H226)</f>
        <v>1300</v>
      </c>
      <c r="J226" s="168"/>
      <c r="K226" s="168">
        <f aca="true" t="shared" si="129" ref="K226:K240">SUM(I226:J226)</f>
        <v>1300</v>
      </c>
      <c r="L226" s="168"/>
      <c r="M226" s="168">
        <f aca="true" t="shared" si="130" ref="M226:M240">SUM(K226:L226)</f>
        <v>1300</v>
      </c>
      <c r="N226" s="168"/>
      <c r="O226" s="168">
        <f aca="true" t="shared" si="131" ref="O226:O240">SUM(M226:N226)</f>
        <v>1300</v>
      </c>
      <c r="P226" s="168"/>
      <c r="Q226" s="168">
        <f aca="true" t="shared" si="132" ref="Q226:Q240">SUM(O226:P226)</f>
        <v>1300</v>
      </c>
      <c r="R226" s="168"/>
      <c r="S226" s="168">
        <f aca="true" t="shared" si="133" ref="S226:S240">SUM(Q226:R226)</f>
        <v>1300</v>
      </c>
    </row>
    <row r="227" spans="1:19" s="22" customFormat="1" ht="17.25" customHeight="1">
      <c r="A227" s="166"/>
      <c r="B227" s="166"/>
      <c r="C227" s="166"/>
      <c r="D227" s="167" t="s">
        <v>438</v>
      </c>
      <c r="E227" s="168">
        <v>450</v>
      </c>
      <c r="F227" s="168"/>
      <c r="G227" s="168">
        <f t="shared" si="127"/>
        <v>450</v>
      </c>
      <c r="H227" s="168"/>
      <c r="I227" s="168">
        <f t="shared" si="128"/>
        <v>450</v>
      </c>
      <c r="J227" s="168"/>
      <c r="K227" s="168">
        <f t="shared" si="129"/>
        <v>450</v>
      </c>
      <c r="L227" s="168"/>
      <c r="M227" s="168">
        <f t="shared" si="130"/>
        <v>450</v>
      </c>
      <c r="N227" s="168"/>
      <c r="O227" s="168">
        <f t="shared" si="131"/>
        <v>450</v>
      </c>
      <c r="P227" s="168"/>
      <c r="Q227" s="168">
        <f t="shared" si="132"/>
        <v>450</v>
      </c>
      <c r="R227" s="168"/>
      <c r="S227" s="168">
        <f t="shared" si="133"/>
        <v>450</v>
      </c>
    </row>
    <row r="228" spans="1:19" s="22" customFormat="1" ht="21.75" customHeight="1">
      <c r="A228" s="166"/>
      <c r="B228" s="166"/>
      <c r="C228" s="166"/>
      <c r="D228" s="167" t="s">
        <v>427</v>
      </c>
      <c r="E228" s="168">
        <v>1500</v>
      </c>
      <c r="F228" s="168"/>
      <c r="G228" s="168">
        <f t="shared" si="127"/>
        <v>1500</v>
      </c>
      <c r="H228" s="168"/>
      <c r="I228" s="168">
        <f t="shared" si="128"/>
        <v>1500</v>
      </c>
      <c r="J228" s="168"/>
      <c r="K228" s="168">
        <f t="shared" si="129"/>
        <v>1500</v>
      </c>
      <c r="L228" s="168"/>
      <c r="M228" s="168">
        <f t="shared" si="130"/>
        <v>1500</v>
      </c>
      <c r="N228" s="168"/>
      <c r="O228" s="168">
        <f t="shared" si="131"/>
        <v>1500</v>
      </c>
      <c r="P228" s="168">
        <v>1000</v>
      </c>
      <c r="Q228" s="168">
        <f t="shared" si="132"/>
        <v>2500</v>
      </c>
      <c r="R228" s="168"/>
      <c r="S228" s="168">
        <f t="shared" si="133"/>
        <v>2500</v>
      </c>
    </row>
    <row r="229" spans="1:19" s="22" customFormat="1" ht="21.75" customHeight="1">
      <c r="A229" s="166"/>
      <c r="B229" s="166"/>
      <c r="C229" s="166"/>
      <c r="D229" s="167" t="s">
        <v>439</v>
      </c>
      <c r="E229" s="168">
        <v>600</v>
      </c>
      <c r="F229" s="168"/>
      <c r="G229" s="168">
        <f t="shared" si="127"/>
        <v>600</v>
      </c>
      <c r="H229" s="168"/>
      <c r="I229" s="168">
        <f t="shared" si="128"/>
        <v>600</v>
      </c>
      <c r="J229" s="168"/>
      <c r="K229" s="168">
        <f t="shared" si="129"/>
        <v>600</v>
      </c>
      <c r="L229" s="168"/>
      <c r="M229" s="168">
        <f t="shared" si="130"/>
        <v>600</v>
      </c>
      <c r="N229" s="168"/>
      <c r="O229" s="168">
        <f t="shared" si="131"/>
        <v>600</v>
      </c>
      <c r="P229" s="168"/>
      <c r="Q229" s="168">
        <f t="shared" si="132"/>
        <v>600</v>
      </c>
      <c r="R229" s="168"/>
      <c r="S229" s="168">
        <f t="shared" si="133"/>
        <v>600</v>
      </c>
    </row>
    <row r="230" spans="1:19" s="22" customFormat="1" ht="21.75" customHeight="1">
      <c r="A230" s="166"/>
      <c r="B230" s="166"/>
      <c r="C230" s="166"/>
      <c r="D230" s="167" t="s">
        <v>428</v>
      </c>
      <c r="E230" s="168">
        <v>800</v>
      </c>
      <c r="F230" s="168"/>
      <c r="G230" s="168">
        <f t="shared" si="127"/>
        <v>800</v>
      </c>
      <c r="H230" s="168"/>
      <c r="I230" s="168">
        <f t="shared" si="128"/>
        <v>800</v>
      </c>
      <c r="J230" s="168"/>
      <c r="K230" s="168">
        <f t="shared" si="129"/>
        <v>800</v>
      </c>
      <c r="L230" s="168"/>
      <c r="M230" s="168">
        <f t="shared" si="130"/>
        <v>800</v>
      </c>
      <c r="N230" s="168"/>
      <c r="O230" s="168">
        <f t="shared" si="131"/>
        <v>800</v>
      </c>
      <c r="P230" s="168"/>
      <c r="Q230" s="168">
        <f t="shared" si="132"/>
        <v>800</v>
      </c>
      <c r="R230" s="168"/>
      <c r="S230" s="168">
        <f t="shared" si="133"/>
        <v>800</v>
      </c>
    </row>
    <row r="231" spans="1:19" s="22" customFormat="1" ht="21.75" customHeight="1">
      <c r="A231" s="166"/>
      <c r="B231" s="166"/>
      <c r="C231" s="166"/>
      <c r="D231" s="167" t="s">
        <v>429</v>
      </c>
      <c r="E231" s="168">
        <v>900</v>
      </c>
      <c r="F231" s="168"/>
      <c r="G231" s="168">
        <f t="shared" si="127"/>
        <v>900</v>
      </c>
      <c r="H231" s="168"/>
      <c r="I231" s="168">
        <f t="shared" si="128"/>
        <v>900</v>
      </c>
      <c r="J231" s="168"/>
      <c r="K231" s="168">
        <f t="shared" si="129"/>
        <v>900</v>
      </c>
      <c r="L231" s="168"/>
      <c r="M231" s="168">
        <f t="shared" si="130"/>
        <v>900</v>
      </c>
      <c r="N231" s="168"/>
      <c r="O231" s="168">
        <f t="shared" si="131"/>
        <v>900</v>
      </c>
      <c r="P231" s="168"/>
      <c r="Q231" s="168">
        <f t="shared" si="132"/>
        <v>900</v>
      </c>
      <c r="R231" s="168"/>
      <c r="S231" s="168">
        <f t="shared" si="133"/>
        <v>900</v>
      </c>
    </row>
    <row r="232" spans="1:19" s="22" customFormat="1" ht="21.75" customHeight="1">
      <c r="A232" s="166"/>
      <c r="B232" s="166"/>
      <c r="C232" s="166"/>
      <c r="D232" s="167" t="s">
        <v>430</v>
      </c>
      <c r="E232" s="168">
        <v>900</v>
      </c>
      <c r="F232" s="168"/>
      <c r="G232" s="168">
        <f t="shared" si="127"/>
        <v>900</v>
      </c>
      <c r="H232" s="168"/>
      <c r="I232" s="168">
        <f t="shared" si="128"/>
        <v>900</v>
      </c>
      <c r="J232" s="168"/>
      <c r="K232" s="168">
        <f t="shared" si="129"/>
        <v>900</v>
      </c>
      <c r="L232" s="168"/>
      <c r="M232" s="168">
        <f t="shared" si="130"/>
        <v>900</v>
      </c>
      <c r="N232" s="168"/>
      <c r="O232" s="168">
        <f t="shared" si="131"/>
        <v>900</v>
      </c>
      <c r="P232" s="168"/>
      <c r="Q232" s="168">
        <f t="shared" si="132"/>
        <v>900</v>
      </c>
      <c r="R232" s="168"/>
      <c r="S232" s="168">
        <f t="shared" si="133"/>
        <v>900</v>
      </c>
    </row>
    <row r="233" spans="1:19" s="178" customFormat="1" ht="21.75" customHeight="1">
      <c r="A233" s="177"/>
      <c r="B233" s="177"/>
      <c r="C233" s="177"/>
      <c r="D233" s="167" t="s">
        <v>440</v>
      </c>
      <c r="E233" s="168">
        <v>400</v>
      </c>
      <c r="F233" s="168"/>
      <c r="G233" s="168">
        <f t="shared" si="127"/>
        <v>400</v>
      </c>
      <c r="H233" s="168"/>
      <c r="I233" s="168">
        <f t="shared" si="128"/>
        <v>400</v>
      </c>
      <c r="J233" s="168"/>
      <c r="K233" s="168">
        <f t="shared" si="129"/>
        <v>400</v>
      </c>
      <c r="L233" s="168"/>
      <c r="M233" s="168">
        <f t="shared" si="130"/>
        <v>400</v>
      </c>
      <c r="N233" s="168"/>
      <c r="O233" s="168">
        <f t="shared" si="131"/>
        <v>400</v>
      </c>
      <c r="P233" s="168">
        <v>-400</v>
      </c>
      <c r="Q233" s="168">
        <f t="shared" si="132"/>
        <v>0</v>
      </c>
      <c r="R233" s="168"/>
      <c r="S233" s="168">
        <f t="shared" si="133"/>
        <v>0</v>
      </c>
    </row>
    <row r="234" spans="1:19" s="22" customFormat="1" ht="21.75" customHeight="1">
      <c r="A234" s="166"/>
      <c r="B234" s="166"/>
      <c r="C234" s="166"/>
      <c r="D234" s="167" t="s">
        <v>431</v>
      </c>
      <c r="E234" s="168">
        <v>600</v>
      </c>
      <c r="F234" s="168"/>
      <c r="G234" s="168">
        <f t="shared" si="127"/>
        <v>600</v>
      </c>
      <c r="H234" s="168"/>
      <c r="I234" s="168">
        <f t="shared" si="128"/>
        <v>600</v>
      </c>
      <c r="J234" s="168"/>
      <c r="K234" s="168">
        <f t="shared" si="129"/>
        <v>600</v>
      </c>
      <c r="L234" s="168"/>
      <c r="M234" s="168">
        <f t="shared" si="130"/>
        <v>600</v>
      </c>
      <c r="N234" s="168"/>
      <c r="O234" s="168">
        <f t="shared" si="131"/>
        <v>600</v>
      </c>
      <c r="P234" s="168"/>
      <c r="Q234" s="168">
        <f t="shared" si="132"/>
        <v>600</v>
      </c>
      <c r="R234" s="168"/>
      <c r="S234" s="168">
        <f t="shared" si="133"/>
        <v>600</v>
      </c>
    </row>
    <row r="235" spans="1:19" s="22" customFormat="1" ht="21.75" customHeight="1">
      <c r="A235" s="166"/>
      <c r="B235" s="166"/>
      <c r="C235" s="166"/>
      <c r="D235" s="167" t="s">
        <v>434</v>
      </c>
      <c r="E235" s="168">
        <v>1100</v>
      </c>
      <c r="F235" s="168"/>
      <c r="G235" s="168">
        <f t="shared" si="127"/>
        <v>1100</v>
      </c>
      <c r="H235" s="168"/>
      <c r="I235" s="168">
        <f t="shared" si="128"/>
        <v>1100</v>
      </c>
      <c r="J235" s="168"/>
      <c r="K235" s="168">
        <f t="shared" si="129"/>
        <v>1100</v>
      </c>
      <c r="L235" s="168"/>
      <c r="M235" s="168">
        <f t="shared" si="130"/>
        <v>1100</v>
      </c>
      <c r="N235" s="168">
        <v>-232</v>
      </c>
      <c r="O235" s="168">
        <f t="shared" si="131"/>
        <v>868</v>
      </c>
      <c r="P235" s="168">
        <v>90</v>
      </c>
      <c r="Q235" s="168">
        <f t="shared" si="132"/>
        <v>958</v>
      </c>
      <c r="R235" s="168"/>
      <c r="S235" s="168">
        <f t="shared" si="133"/>
        <v>958</v>
      </c>
    </row>
    <row r="236" spans="1:19" s="22" customFormat="1" ht="21.75" customHeight="1">
      <c r="A236" s="166"/>
      <c r="B236" s="166"/>
      <c r="C236" s="166"/>
      <c r="D236" s="167" t="s">
        <v>441</v>
      </c>
      <c r="E236" s="168">
        <v>900</v>
      </c>
      <c r="F236" s="168"/>
      <c r="G236" s="168">
        <f t="shared" si="127"/>
        <v>900</v>
      </c>
      <c r="H236" s="168"/>
      <c r="I236" s="168">
        <f t="shared" si="128"/>
        <v>900</v>
      </c>
      <c r="J236" s="168"/>
      <c r="K236" s="168">
        <f t="shared" si="129"/>
        <v>900</v>
      </c>
      <c r="L236" s="168"/>
      <c r="M236" s="168">
        <f t="shared" si="130"/>
        <v>900</v>
      </c>
      <c r="N236" s="168"/>
      <c r="O236" s="168">
        <f t="shared" si="131"/>
        <v>900</v>
      </c>
      <c r="P236" s="168"/>
      <c r="Q236" s="168">
        <f t="shared" si="132"/>
        <v>900</v>
      </c>
      <c r="R236" s="168"/>
      <c r="S236" s="168">
        <f t="shared" si="133"/>
        <v>900</v>
      </c>
    </row>
    <row r="237" spans="1:19" s="22" customFormat="1" ht="21.75" customHeight="1">
      <c r="A237" s="166"/>
      <c r="B237" s="166"/>
      <c r="C237" s="166"/>
      <c r="D237" s="167" t="s">
        <v>442</v>
      </c>
      <c r="E237" s="168">
        <v>1200</v>
      </c>
      <c r="F237" s="168"/>
      <c r="G237" s="168">
        <f t="shared" si="127"/>
        <v>1200</v>
      </c>
      <c r="H237" s="168"/>
      <c r="I237" s="168">
        <f t="shared" si="128"/>
        <v>1200</v>
      </c>
      <c r="J237" s="168"/>
      <c r="K237" s="168">
        <f t="shared" si="129"/>
        <v>1200</v>
      </c>
      <c r="L237" s="168"/>
      <c r="M237" s="168">
        <f t="shared" si="130"/>
        <v>1200</v>
      </c>
      <c r="N237" s="168"/>
      <c r="O237" s="168">
        <f t="shared" si="131"/>
        <v>1200</v>
      </c>
      <c r="P237" s="168"/>
      <c r="Q237" s="168">
        <f t="shared" si="132"/>
        <v>1200</v>
      </c>
      <c r="R237" s="168">
        <v>250</v>
      </c>
      <c r="S237" s="168">
        <f t="shared" si="133"/>
        <v>1450</v>
      </c>
    </row>
    <row r="238" spans="1:19" s="22" customFormat="1" ht="21.75" customHeight="1">
      <c r="A238" s="166"/>
      <c r="B238" s="166"/>
      <c r="C238" s="166"/>
      <c r="D238" s="167" t="s">
        <v>445</v>
      </c>
      <c r="E238" s="168">
        <v>300</v>
      </c>
      <c r="F238" s="168"/>
      <c r="G238" s="168">
        <f t="shared" si="127"/>
        <v>300</v>
      </c>
      <c r="H238" s="168"/>
      <c r="I238" s="168">
        <f t="shared" si="128"/>
        <v>300</v>
      </c>
      <c r="J238" s="168"/>
      <c r="K238" s="168">
        <f t="shared" si="129"/>
        <v>300</v>
      </c>
      <c r="L238" s="168"/>
      <c r="M238" s="168">
        <f t="shared" si="130"/>
        <v>300</v>
      </c>
      <c r="N238" s="168"/>
      <c r="O238" s="168">
        <f t="shared" si="131"/>
        <v>300</v>
      </c>
      <c r="P238" s="168"/>
      <c r="Q238" s="168">
        <f t="shared" si="132"/>
        <v>300</v>
      </c>
      <c r="R238" s="168"/>
      <c r="S238" s="168">
        <f t="shared" si="133"/>
        <v>300</v>
      </c>
    </row>
    <row r="239" spans="1:19" s="22" customFormat="1" ht="21.75" customHeight="1">
      <c r="A239" s="166"/>
      <c r="B239" s="166"/>
      <c r="C239" s="166"/>
      <c r="D239" s="167" t="s">
        <v>436</v>
      </c>
      <c r="E239" s="168">
        <v>300</v>
      </c>
      <c r="F239" s="168"/>
      <c r="G239" s="168">
        <f t="shared" si="127"/>
        <v>300</v>
      </c>
      <c r="H239" s="168"/>
      <c r="I239" s="168">
        <f t="shared" si="128"/>
        <v>300</v>
      </c>
      <c r="J239" s="168"/>
      <c r="K239" s="168">
        <f t="shared" si="129"/>
        <v>300</v>
      </c>
      <c r="L239" s="168"/>
      <c r="M239" s="168">
        <f t="shared" si="130"/>
        <v>300</v>
      </c>
      <c r="N239" s="168"/>
      <c r="O239" s="168">
        <f t="shared" si="131"/>
        <v>300</v>
      </c>
      <c r="P239" s="168"/>
      <c r="Q239" s="168">
        <f t="shared" si="132"/>
        <v>300</v>
      </c>
      <c r="R239" s="168"/>
      <c r="S239" s="168">
        <f t="shared" si="133"/>
        <v>300</v>
      </c>
    </row>
    <row r="240" spans="1:19" s="22" customFormat="1" ht="21.75" customHeight="1">
      <c r="A240" s="166"/>
      <c r="B240" s="166"/>
      <c r="C240" s="166"/>
      <c r="D240" s="167" t="s">
        <v>446</v>
      </c>
      <c r="E240" s="168">
        <v>750</v>
      </c>
      <c r="F240" s="168"/>
      <c r="G240" s="168">
        <f t="shared" si="127"/>
        <v>750</v>
      </c>
      <c r="H240" s="168"/>
      <c r="I240" s="168">
        <f t="shared" si="128"/>
        <v>750</v>
      </c>
      <c r="J240" s="168"/>
      <c r="K240" s="168">
        <f t="shared" si="129"/>
        <v>750</v>
      </c>
      <c r="L240" s="168"/>
      <c r="M240" s="168">
        <f t="shared" si="130"/>
        <v>750</v>
      </c>
      <c r="N240" s="168"/>
      <c r="O240" s="168">
        <f t="shared" si="131"/>
        <v>750</v>
      </c>
      <c r="P240" s="168"/>
      <c r="Q240" s="168">
        <f t="shared" si="132"/>
        <v>750</v>
      </c>
      <c r="R240" s="168"/>
      <c r="S240" s="168">
        <f t="shared" si="133"/>
        <v>750</v>
      </c>
    </row>
    <row r="241" spans="1:19" s="22" customFormat="1" ht="21.75" customHeight="1">
      <c r="A241" s="162"/>
      <c r="B241" s="162"/>
      <c r="C241" s="163">
        <v>4270</v>
      </c>
      <c r="D241" s="176" t="s">
        <v>102</v>
      </c>
      <c r="E241" s="165">
        <f aca="true" t="shared" si="134" ref="E241:Q241">SUM(E242:E247)</f>
        <v>20880</v>
      </c>
      <c r="F241" s="165">
        <f t="shared" si="134"/>
        <v>0</v>
      </c>
      <c r="G241" s="165">
        <f t="shared" si="134"/>
        <v>20880</v>
      </c>
      <c r="H241" s="165">
        <f t="shared" si="134"/>
        <v>-2000</v>
      </c>
      <c r="I241" s="165">
        <f t="shared" si="134"/>
        <v>18880</v>
      </c>
      <c r="J241" s="165">
        <f t="shared" si="134"/>
        <v>2000</v>
      </c>
      <c r="K241" s="165">
        <f t="shared" si="134"/>
        <v>20880</v>
      </c>
      <c r="L241" s="165">
        <f t="shared" si="134"/>
        <v>0</v>
      </c>
      <c r="M241" s="165">
        <f t="shared" si="134"/>
        <v>20880</v>
      </c>
      <c r="N241" s="165">
        <f t="shared" si="134"/>
        <v>-1500</v>
      </c>
      <c r="O241" s="165">
        <f t="shared" si="134"/>
        <v>19380</v>
      </c>
      <c r="P241" s="165">
        <f t="shared" si="134"/>
        <v>7940</v>
      </c>
      <c r="Q241" s="165">
        <f t="shared" si="134"/>
        <v>27320</v>
      </c>
      <c r="R241" s="165">
        <f>SUM(R242:R247)</f>
        <v>0</v>
      </c>
      <c r="S241" s="165">
        <f>SUM(S242:S247)</f>
        <v>27320</v>
      </c>
    </row>
    <row r="242" spans="1:19" s="24" customFormat="1" ht="21.75" customHeight="1">
      <c r="A242" s="173"/>
      <c r="B242" s="173"/>
      <c r="C242" s="172"/>
      <c r="D242" s="167" t="s">
        <v>427</v>
      </c>
      <c r="E242" s="168">
        <v>4930</v>
      </c>
      <c r="F242" s="168"/>
      <c r="G242" s="168">
        <f>SUM(E242:F242)</f>
        <v>4930</v>
      </c>
      <c r="H242" s="168"/>
      <c r="I242" s="168">
        <f>SUM(G242:H242)</f>
        <v>4930</v>
      </c>
      <c r="J242" s="168">
        <v>2000</v>
      </c>
      <c r="K242" s="168">
        <f>SUM(I242:J242)</f>
        <v>6930</v>
      </c>
      <c r="L242" s="168"/>
      <c r="M242" s="168">
        <f>SUM(K242:L242)</f>
        <v>6930</v>
      </c>
      <c r="N242" s="168"/>
      <c r="O242" s="168">
        <f>SUM(M242:N242)</f>
        <v>6930</v>
      </c>
      <c r="P242" s="168">
        <v>1000</v>
      </c>
      <c r="Q242" s="168">
        <f aca="true" t="shared" si="135" ref="Q242:Q247">SUM(O242:P242)</f>
        <v>7930</v>
      </c>
      <c r="R242" s="168"/>
      <c r="S242" s="168">
        <f aca="true" t="shared" si="136" ref="S242:S247">SUM(Q242:R242)</f>
        <v>7930</v>
      </c>
    </row>
    <row r="243" spans="1:19" s="24" customFormat="1" ht="21.75" customHeight="1">
      <c r="A243" s="166"/>
      <c r="B243" s="166"/>
      <c r="C243" s="166"/>
      <c r="D243" s="167" t="s">
        <v>442</v>
      </c>
      <c r="E243" s="168">
        <v>5150</v>
      </c>
      <c r="F243" s="168"/>
      <c r="G243" s="168">
        <f>SUM(E243:F243)</f>
        <v>5150</v>
      </c>
      <c r="H243" s="168">
        <v>-2000</v>
      </c>
      <c r="I243" s="168">
        <f>SUM(G243:H243)</f>
        <v>3150</v>
      </c>
      <c r="J243" s="168"/>
      <c r="K243" s="168">
        <f>SUM(I243:J243)</f>
        <v>3150</v>
      </c>
      <c r="L243" s="168"/>
      <c r="M243" s="168">
        <f>SUM(K243:L243)</f>
        <v>3150</v>
      </c>
      <c r="N243" s="168">
        <v>-1500</v>
      </c>
      <c r="O243" s="168">
        <f>SUM(M243:N243)</f>
        <v>1650</v>
      </c>
      <c r="P243" s="168"/>
      <c r="Q243" s="168">
        <f t="shared" si="135"/>
        <v>1650</v>
      </c>
      <c r="R243" s="168"/>
      <c r="S243" s="168">
        <f t="shared" si="136"/>
        <v>1650</v>
      </c>
    </row>
    <row r="244" spans="1:19" s="24" customFormat="1" ht="21.75" customHeight="1">
      <c r="A244" s="166"/>
      <c r="B244" s="166"/>
      <c r="C244" s="166"/>
      <c r="D244" s="167" t="s">
        <v>430</v>
      </c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>
        <v>0</v>
      </c>
      <c r="P244" s="168">
        <v>6040</v>
      </c>
      <c r="Q244" s="168">
        <f t="shared" si="135"/>
        <v>6040</v>
      </c>
      <c r="R244" s="168"/>
      <c r="S244" s="168">
        <f t="shared" si="136"/>
        <v>6040</v>
      </c>
    </row>
    <row r="245" spans="1:19" s="24" customFormat="1" ht="21.75" customHeight="1">
      <c r="A245" s="166"/>
      <c r="B245" s="166"/>
      <c r="C245" s="166"/>
      <c r="D245" s="167" t="s">
        <v>431</v>
      </c>
      <c r="E245" s="168">
        <v>5000</v>
      </c>
      <c r="F245" s="168"/>
      <c r="G245" s="168">
        <f>SUM(E245:F245)</f>
        <v>5000</v>
      </c>
      <c r="H245" s="168"/>
      <c r="I245" s="168">
        <f>SUM(G245:H245)</f>
        <v>5000</v>
      </c>
      <c r="J245" s="168"/>
      <c r="K245" s="168">
        <f>SUM(I245:J245)</f>
        <v>5000</v>
      </c>
      <c r="L245" s="168"/>
      <c r="M245" s="168">
        <f>SUM(K245:L245)</f>
        <v>5000</v>
      </c>
      <c r="N245" s="168"/>
      <c r="O245" s="168">
        <f>SUM(M245:N245)</f>
        <v>5000</v>
      </c>
      <c r="P245" s="168"/>
      <c r="Q245" s="168">
        <f t="shared" si="135"/>
        <v>5000</v>
      </c>
      <c r="R245" s="168"/>
      <c r="S245" s="168">
        <f t="shared" si="136"/>
        <v>5000</v>
      </c>
    </row>
    <row r="246" spans="1:19" s="24" customFormat="1" ht="21.75" customHeight="1">
      <c r="A246" s="166"/>
      <c r="B246" s="166"/>
      <c r="C246" s="166"/>
      <c r="D246" s="167" t="s">
        <v>445</v>
      </c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>
        <v>0</v>
      </c>
      <c r="P246" s="168">
        <v>900</v>
      </c>
      <c r="Q246" s="168">
        <f t="shared" si="135"/>
        <v>900</v>
      </c>
      <c r="R246" s="168"/>
      <c r="S246" s="168">
        <f t="shared" si="136"/>
        <v>900</v>
      </c>
    </row>
    <row r="247" spans="1:19" s="24" customFormat="1" ht="21.75" customHeight="1">
      <c r="A247" s="166"/>
      <c r="B247" s="166"/>
      <c r="C247" s="166"/>
      <c r="D247" s="167" t="s">
        <v>446</v>
      </c>
      <c r="E247" s="168">
        <v>5800</v>
      </c>
      <c r="F247" s="168"/>
      <c r="G247" s="168">
        <f>SUM(E247:F247)</f>
        <v>5800</v>
      </c>
      <c r="H247" s="168"/>
      <c r="I247" s="168">
        <f>SUM(G247:H247)</f>
        <v>5800</v>
      </c>
      <c r="J247" s="168"/>
      <c r="K247" s="168">
        <f>SUM(I247:J247)</f>
        <v>5800</v>
      </c>
      <c r="L247" s="168"/>
      <c r="M247" s="168">
        <f>SUM(K247:L247)</f>
        <v>5800</v>
      </c>
      <c r="N247" s="168"/>
      <c r="O247" s="168">
        <f>SUM(M247:N247)</f>
        <v>5800</v>
      </c>
      <c r="P247" s="168"/>
      <c r="Q247" s="168">
        <f t="shared" si="135"/>
        <v>5800</v>
      </c>
      <c r="R247" s="168"/>
      <c r="S247" s="168">
        <f t="shared" si="136"/>
        <v>5800</v>
      </c>
    </row>
    <row r="248" spans="1:19" s="22" customFormat="1" ht="17.25" customHeight="1">
      <c r="A248" s="162"/>
      <c r="B248" s="162"/>
      <c r="C248" s="163">
        <v>4300</v>
      </c>
      <c r="D248" s="176" t="s">
        <v>103</v>
      </c>
      <c r="E248" s="165">
        <f aca="true" t="shared" si="137" ref="E248:Q248">SUM(E249:E254)</f>
        <v>9845</v>
      </c>
      <c r="F248" s="165">
        <f t="shared" si="137"/>
        <v>0</v>
      </c>
      <c r="G248" s="165">
        <f t="shared" si="137"/>
        <v>9845</v>
      </c>
      <c r="H248" s="165">
        <f t="shared" si="137"/>
        <v>170</v>
      </c>
      <c r="I248" s="165">
        <f t="shared" si="137"/>
        <v>10015</v>
      </c>
      <c r="J248" s="165">
        <f t="shared" si="137"/>
        <v>518</v>
      </c>
      <c r="K248" s="165">
        <f t="shared" si="137"/>
        <v>10533</v>
      </c>
      <c r="L248" s="165">
        <f t="shared" si="137"/>
        <v>0</v>
      </c>
      <c r="M248" s="165">
        <f t="shared" si="137"/>
        <v>10533</v>
      </c>
      <c r="N248" s="165">
        <f t="shared" si="137"/>
        <v>-510</v>
      </c>
      <c r="O248" s="165">
        <f t="shared" si="137"/>
        <v>10023</v>
      </c>
      <c r="P248" s="165">
        <f t="shared" si="137"/>
        <v>-9075</v>
      </c>
      <c r="Q248" s="165">
        <f t="shared" si="137"/>
        <v>948</v>
      </c>
      <c r="R248" s="165">
        <f>SUM(R249:R254)</f>
        <v>0</v>
      </c>
      <c r="S248" s="165">
        <f>SUM(S249:S254)</f>
        <v>948</v>
      </c>
    </row>
    <row r="249" spans="1:19" s="22" customFormat="1" ht="21.75" customHeight="1">
      <c r="A249" s="166"/>
      <c r="B249" s="166"/>
      <c r="C249" s="166"/>
      <c r="D249" s="167" t="s">
        <v>430</v>
      </c>
      <c r="E249" s="168">
        <v>350</v>
      </c>
      <c r="F249" s="168"/>
      <c r="G249" s="168">
        <f>SUM(E249:F249)</f>
        <v>350</v>
      </c>
      <c r="H249" s="168"/>
      <c r="I249" s="168">
        <f>SUM(G249:H249)</f>
        <v>350</v>
      </c>
      <c r="J249" s="168"/>
      <c r="K249" s="168">
        <f aca="true" t="shared" si="138" ref="K249:K254">SUM(I249:J249)</f>
        <v>350</v>
      </c>
      <c r="L249" s="168"/>
      <c r="M249" s="168">
        <f aca="true" t="shared" si="139" ref="M249:M254">SUM(K249:L249)</f>
        <v>350</v>
      </c>
      <c r="N249" s="168"/>
      <c r="O249" s="168">
        <f aca="true" t="shared" si="140" ref="O249:O254">SUM(M249:N249)</f>
        <v>350</v>
      </c>
      <c r="P249" s="168"/>
      <c r="Q249" s="168">
        <f aca="true" t="shared" si="141" ref="Q249:Q254">SUM(O249:P249)</f>
        <v>350</v>
      </c>
      <c r="R249" s="168"/>
      <c r="S249" s="168">
        <f aca="true" t="shared" si="142" ref="S249:S254">SUM(Q249:R249)</f>
        <v>350</v>
      </c>
    </row>
    <row r="250" spans="1:19" s="22" customFormat="1" ht="21.75" customHeight="1">
      <c r="A250" s="166"/>
      <c r="B250" s="166"/>
      <c r="C250" s="166"/>
      <c r="D250" s="167" t="s">
        <v>428</v>
      </c>
      <c r="E250" s="168"/>
      <c r="F250" s="168"/>
      <c r="G250" s="168">
        <v>0</v>
      </c>
      <c r="H250" s="168">
        <v>170</v>
      </c>
      <c r="I250" s="168">
        <f>SUM(G250:H250)</f>
        <v>170</v>
      </c>
      <c r="J250" s="168"/>
      <c r="K250" s="168">
        <f t="shared" si="138"/>
        <v>170</v>
      </c>
      <c r="L250" s="168"/>
      <c r="M250" s="168">
        <f t="shared" si="139"/>
        <v>170</v>
      </c>
      <c r="N250" s="168"/>
      <c r="O250" s="168">
        <f t="shared" si="140"/>
        <v>170</v>
      </c>
      <c r="P250" s="168"/>
      <c r="Q250" s="168">
        <f t="shared" si="141"/>
        <v>170</v>
      </c>
      <c r="R250" s="168"/>
      <c r="S250" s="168">
        <f t="shared" si="142"/>
        <v>170</v>
      </c>
    </row>
    <row r="251" spans="1:19" s="102" customFormat="1" ht="21.75" customHeight="1">
      <c r="A251" s="169"/>
      <c r="B251" s="169"/>
      <c r="C251" s="169"/>
      <c r="D251" s="170" t="s">
        <v>440</v>
      </c>
      <c r="E251" s="168">
        <v>4000</v>
      </c>
      <c r="F251" s="168"/>
      <c r="G251" s="168">
        <f>SUM(E251:F251)</f>
        <v>4000</v>
      </c>
      <c r="H251" s="168"/>
      <c r="I251" s="168">
        <f>SUM(G251:H251)</f>
        <v>4000</v>
      </c>
      <c r="J251" s="168"/>
      <c r="K251" s="168">
        <f t="shared" si="138"/>
        <v>4000</v>
      </c>
      <c r="L251" s="168"/>
      <c r="M251" s="168">
        <f t="shared" si="139"/>
        <v>4000</v>
      </c>
      <c r="N251" s="168"/>
      <c r="O251" s="168">
        <f t="shared" si="140"/>
        <v>4000</v>
      </c>
      <c r="P251" s="168">
        <v>-4000</v>
      </c>
      <c r="Q251" s="168">
        <f t="shared" si="141"/>
        <v>0</v>
      </c>
      <c r="R251" s="168"/>
      <c r="S251" s="168">
        <f t="shared" si="142"/>
        <v>0</v>
      </c>
    </row>
    <row r="252" spans="1:19" s="102" customFormat="1" ht="21.75" customHeight="1">
      <c r="A252" s="169"/>
      <c r="B252" s="169"/>
      <c r="C252" s="169"/>
      <c r="D252" s="170" t="s">
        <v>434</v>
      </c>
      <c r="E252" s="168"/>
      <c r="F252" s="168"/>
      <c r="G252" s="168"/>
      <c r="H252" s="168"/>
      <c r="I252" s="168">
        <v>0</v>
      </c>
      <c r="J252" s="168">
        <v>258</v>
      </c>
      <c r="K252" s="168">
        <f t="shared" si="138"/>
        <v>258</v>
      </c>
      <c r="L252" s="168"/>
      <c r="M252" s="168">
        <f t="shared" si="139"/>
        <v>258</v>
      </c>
      <c r="N252" s="168"/>
      <c r="O252" s="168">
        <f t="shared" si="140"/>
        <v>258</v>
      </c>
      <c r="P252" s="168">
        <v>-90</v>
      </c>
      <c r="Q252" s="168">
        <f t="shared" si="141"/>
        <v>168</v>
      </c>
      <c r="R252" s="168"/>
      <c r="S252" s="168">
        <f t="shared" si="142"/>
        <v>168</v>
      </c>
    </row>
    <row r="253" spans="1:19" s="102" customFormat="1" ht="21.75" customHeight="1">
      <c r="A253" s="169"/>
      <c r="B253" s="169"/>
      <c r="C253" s="169"/>
      <c r="D253" s="170" t="s">
        <v>427</v>
      </c>
      <c r="E253" s="168"/>
      <c r="F253" s="168"/>
      <c r="G253" s="168"/>
      <c r="H253" s="168"/>
      <c r="I253" s="168">
        <v>0</v>
      </c>
      <c r="J253" s="168">
        <v>260</v>
      </c>
      <c r="K253" s="168">
        <f t="shared" si="138"/>
        <v>260</v>
      </c>
      <c r="L253" s="168"/>
      <c r="M253" s="168">
        <f t="shared" si="139"/>
        <v>260</v>
      </c>
      <c r="N253" s="168"/>
      <c r="O253" s="168">
        <f t="shared" si="140"/>
        <v>260</v>
      </c>
      <c r="P253" s="168"/>
      <c r="Q253" s="168">
        <f t="shared" si="141"/>
        <v>260</v>
      </c>
      <c r="R253" s="168"/>
      <c r="S253" s="168">
        <f t="shared" si="142"/>
        <v>260</v>
      </c>
    </row>
    <row r="254" spans="1:19" s="102" customFormat="1" ht="21.75" customHeight="1">
      <c r="A254" s="169"/>
      <c r="B254" s="169"/>
      <c r="C254" s="169"/>
      <c r="D254" s="170" t="s">
        <v>432</v>
      </c>
      <c r="E254" s="168">
        <v>5495</v>
      </c>
      <c r="F254" s="168"/>
      <c r="G254" s="168">
        <f>SUM(E254:F254)</f>
        <v>5495</v>
      </c>
      <c r="H254" s="168"/>
      <c r="I254" s="168">
        <f>SUM(G254:H254)</f>
        <v>5495</v>
      </c>
      <c r="J254" s="168"/>
      <c r="K254" s="168">
        <f t="shared" si="138"/>
        <v>5495</v>
      </c>
      <c r="L254" s="168"/>
      <c r="M254" s="168">
        <f t="shared" si="139"/>
        <v>5495</v>
      </c>
      <c r="N254" s="168">
        <v>-510</v>
      </c>
      <c r="O254" s="168">
        <f t="shared" si="140"/>
        <v>4985</v>
      </c>
      <c r="P254" s="168">
        <v>-4985</v>
      </c>
      <c r="Q254" s="168">
        <f t="shared" si="141"/>
        <v>0</v>
      </c>
      <c r="R254" s="168"/>
      <c r="S254" s="168">
        <f t="shared" si="142"/>
        <v>0</v>
      </c>
    </row>
    <row r="255" spans="1:19" s="22" customFormat="1" ht="18" customHeight="1">
      <c r="A255" s="162"/>
      <c r="B255" s="162"/>
      <c r="C255" s="163">
        <v>4430</v>
      </c>
      <c r="D255" s="176" t="s">
        <v>118</v>
      </c>
      <c r="E255" s="165">
        <f aca="true" t="shared" si="143" ref="E255:Q255">SUM(E256:E271)</f>
        <v>1485</v>
      </c>
      <c r="F255" s="165">
        <f t="shared" si="143"/>
        <v>0</v>
      </c>
      <c r="G255" s="165">
        <f t="shared" si="143"/>
        <v>1485</v>
      </c>
      <c r="H255" s="165">
        <f t="shared" si="143"/>
        <v>0</v>
      </c>
      <c r="I255" s="165">
        <f t="shared" si="143"/>
        <v>1485</v>
      </c>
      <c r="J255" s="165">
        <f t="shared" si="143"/>
        <v>0</v>
      </c>
      <c r="K255" s="165">
        <f t="shared" si="143"/>
        <v>1485</v>
      </c>
      <c r="L255" s="165">
        <f t="shared" si="143"/>
        <v>0</v>
      </c>
      <c r="M255" s="165">
        <f t="shared" si="143"/>
        <v>1485</v>
      </c>
      <c r="N255" s="165">
        <f t="shared" si="143"/>
        <v>0</v>
      </c>
      <c r="O255" s="165">
        <f t="shared" si="143"/>
        <v>1485</v>
      </c>
      <c r="P255" s="165">
        <f t="shared" si="143"/>
        <v>0</v>
      </c>
      <c r="Q255" s="165">
        <f t="shared" si="143"/>
        <v>1485</v>
      </c>
      <c r="R255" s="165">
        <f>SUM(R256:R271)</f>
        <v>0</v>
      </c>
      <c r="S255" s="165">
        <f>SUM(S256:S271)</f>
        <v>1485</v>
      </c>
    </row>
    <row r="256" spans="1:19" s="22" customFormat="1" ht="21.75" customHeight="1">
      <c r="A256" s="166"/>
      <c r="B256" s="166"/>
      <c r="C256" s="166"/>
      <c r="D256" s="167" t="s">
        <v>437</v>
      </c>
      <c r="E256" s="168">
        <v>220</v>
      </c>
      <c r="F256" s="168"/>
      <c r="G256" s="168">
        <f aca="true" t="shared" si="144" ref="G256:G271">SUM(E256:F256)</f>
        <v>220</v>
      </c>
      <c r="H256" s="168"/>
      <c r="I256" s="168">
        <f aca="true" t="shared" si="145" ref="I256:I271">SUM(G256:H256)</f>
        <v>220</v>
      </c>
      <c r="J256" s="168"/>
      <c r="K256" s="168">
        <f aca="true" t="shared" si="146" ref="K256:K271">SUM(I256:J256)</f>
        <v>220</v>
      </c>
      <c r="L256" s="168"/>
      <c r="M256" s="168">
        <f aca="true" t="shared" si="147" ref="M256:M271">SUM(K256:L256)</f>
        <v>220</v>
      </c>
      <c r="N256" s="168"/>
      <c r="O256" s="168">
        <f aca="true" t="shared" si="148" ref="O256:O271">SUM(M256:N256)</f>
        <v>220</v>
      </c>
      <c r="P256" s="168"/>
      <c r="Q256" s="168">
        <f aca="true" t="shared" si="149" ref="Q256:Q271">SUM(O256:P256)</f>
        <v>220</v>
      </c>
      <c r="R256" s="168"/>
      <c r="S256" s="168">
        <f aca="true" t="shared" si="150" ref="S256:S271">SUM(Q256:R256)</f>
        <v>220</v>
      </c>
    </row>
    <row r="257" spans="1:19" s="22" customFormat="1" ht="21.75" customHeight="1">
      <c r="A257" s="166"/>
      <c r="B257" s="166"/>
      <c r="C257" s="166"/>
      <c r="D257" s="167" t="s">
        <v>438</v>
      </c>
      <c r="E257" s="168">
        <v>120</v>
      </c>
      <c r="F257" s="168"/>
      <c r="G257" s="168">
        <f t="shared" si="144"/>
        <v>120</v>
      </c>
      <c r="H257" s="168"/>
      <c r="I257" s="168">
        <f t="shared" si="145"/>
        <v>120</v>
      </c>
      <c r="J257" s="168"/>
      <c r="K257" s="168">
        <f t="shared" si="146"/>
        <v>120</v>
      </c>
      <c r="L257" s="168"/>
      <c r="M257" s="168">
        <f t="shared" si="147"/>
        <v>120</v>
      </c>
      <c r="N257" s="168"/>
      <c r="O257" s="168">
        <f t="shared" si="148"/>
        <v>120</v>
      </c>
      <c r="P257" s="168"/>
      <c r="Q257" s="168">
        <f t="shared" si="149"/>
        <v>120</v>
      </c>
      <c r="R257" s="168"/>
      <c r="S257" s="168">
        <f t="shared" si="150"/>
        <v>120</v>
      </c>
    </row>
    <row r="258" spans="1:19" s="22" customFormat="1" ht="21.75" customHeight="1">
      <c r="A258" s="166"/>
      <c r="B258" s="166"/>
      <c r="C258" s="166"/>
      <c r="D258" s="167" t="s">
        <v>427</v>
      </c>
      <c r="E258" s="168">
        <v>100</v>
      </c>
      <c r="F258" s="168"/>
      <c r="G258" s="168">
        <f t="shared" si="144"/>
        <v>100</v>
      </c>
      <c r="H258" s="168"/>
      <c r="I258" s="168">
        <f t="shared" si="145"/>
        <v>100</v>
      </c>
      <c r="J258" s="168"/>
      <c r="K258" s="168">
        <f t="shared" si="146"/>
        <v>100</v>
      </c>
      <c r="L258" s="168"/>
      <c r="M258" s="168">
        <f t="shared" si="147"/>
        <v>100</v>
      </c>
      <c r="N258" s="168"/>
      <c r="O258" s="168">
        <f t="shared" si="148"/>
        <v>100</v>
      </c>
      <c r="P258" s="168"/>
      <c r="Q258" s="168">
        <f t="shared" si="149"/>
        <v>100</v>
      </c>
      <c r="R258" s="168"/>
      <c r="S258" s="168">
        <f t="shared" si="150"/>
        <v>100</v>
      </c>
    </row>
    <row r="259" spans="1:19" s="22" customFormat="1" ht="21.75" customHeight="1">
      <c r="A259" s="166"/>
      <c r="B259" s="166"/>
      <c r="C259" s="166"/>
      <c r="D259" s="167" t="s">
        <v>439</v>
      </c>
      <c r="E259" s="168">
        <v>100</v>
      </c>
      <c r="F259" s="168"/>
      <c r="G259" s="168">
        <f t="shared" si="144"/>
        <v>100</v>
      </c>
      <c r="H259" s="168"/>
      <c r="I259" s="168">
        <f t="shared" si="145"/>
        <v>100</v>
      </c>
      <c r="J259" s="168"/>
      <c r="K259" s="168">
        <f t="shared" si="146"/>
        <v>100</v>
      </c>
      <c r="L259" s="168"/>
      <c r="M259" s="168">
        <f t="shared" si="147"/>
        <v>100</v>
      </c>
      <c r="N259" s="168"/>
      <c r="O259" s="168">
        <f t="shared" si="148"/>
        <v>100</v>
      </c>
      <c r="P259" s="168"/>
      <c r="Q259" s="168">
        <f t="shared" si="149"/>
        <v>100</v>
      </c>
      <c r="R259" s="168"/>
      <c r="S259" s="168">
        <f t="shared" si="150"/>
        <v>100</v>
      </c>
    </row>
    <row r="260" spans="1:19" s="22" customFormat="1" ht="21.75" customHeight="1">
      <c r="A260" s="166"/>
      <c r="B260" s="166"/>
      <c r="C260" s="166"/>
      <c r="D260" s="167" t="s">
        <v>428</v>
      </c>
      <c r="E260" s="168">
        <v>80</v>
      </c>
      <c r="F260" s="168"/>
      <c r="G260" s="168">
        <f t="shared" si="144"/>
        <v>80</v>
      </c>
      <c r="H260" s="168"/>
      <c r="I260" s="168">
        <f t="shared" si="145"/>
        <v>80</v>
      </c>
      <c r="J260" s="168"/>
      <c r="K260" s="168">
        <f t="shared" si="146"/>
        <v>80</v>
      </c>
      <c r="L260" s="168"/>
      <c r="M260" s="168">
        <f t="shared" si="147"/>
        <v>80</v>
      </c>
      <c r="N260" s="168"/>
      <c r="O260" s="168">
        <f t="shared" si="148"/>
        <v>80</v>
      </c>
      <c r="P260" s="168"/>
      <c r="Q260" s="168">
        <f t="shared" si="149"/>
        <v>80</v>
      </c>
      <c r="R260" s="168"/>
      <c r="S260" s="168">
        <f t="shared" si="150"/>
        <v>80</v>
      </c>
    </row>
    <row r="261" spans="1:19" s="22" customFormat="1" ht="21.75" customHeight="1">
      <c r="A261" s="166"/>
      <c r="B261" s="166"/>
      <c r="C261" s="166"/>
      <c r="D261" s="167" t="s">
        <v>429</v>
      </c>
      <c r="E261" s="168">
        <v>100</v>
      </c>
      <c r="F261" s="168"/>
      <c r="G261" s="168">
        <f t="shared" si="144"/>
        <v>100</v>
      </c>
      <c r="H261" s="168"/>
      <c r="I261" s="168">
        <f t="shared" si="145"/>
        <v>100</v>
      </c>
      <c r="J261" s="168"/>
      <c r="K261" s="168">
        <f t="shared" si="146"/>
        <v>100</v>
      </c>
      <c r="L261" s="168"/>
      <c r="M261" s="168">
        <f t="shared" si="147"/>
        <v>100</v>
      </c>
      <c r="N261" s="168"/>
      <c r="O261" s="168">
        <f t="shared" si="148"/>
        <v>100</v>
      </c>
      <c r="P261" s="168"/>
      <c r="Q261" s="168">
        <f t="shared" si="149"/>
        <v>100</v>
      </c>
      <c r="R261" s="168"/>
      <c r="S261" s="168">
        <f t="shared" si="150"/>
        <v>100</v>
      </c>
    </row>
    <row r="262" spans="1:19" s="22" customFormat="1" ht="21.75" customHeight="1">
      <c r="A262" s="166"/>
      <c r="B262" s="166"/>
      <c r="C262" s="166"/>
      <c r="D262" s="167" t="s">
        <v>430</v>
      </c>
      <c r="E262" s="168">
        <v>60</v>
      </c>
      <c r="F262" s="168"/>
      <c r="G262" s="168">
        <f t="shared" si="144"/>
        <v>60</v>
      </c>
      <c r="H262" s="168"/>
      <c r="I262" s="168">
        <f t="shared" si="145"/>
        <v>60</v>
      </c>
      <c r="J262" s="168"/>
      <c r="K262" s="168">
        <f t="shared" si="146"/>
        <v>60</v>
      </c>
      <c r="L262" s="168"/>
      <c r="M262" s="168">
        <f t="shared" si="147"/>
        <v>60</v>
      </c>
      <c r="N262" s="168"/>
      <c r="O262" s="168">
        <f t="shared" si="148"/>
        <v>60</v>
      </c>
      <c r="P262" s="168"/>
      <c r="Q262" s="168">
        <f t="shared" si="149"/>
        <v>60</v>
      </c>
      <c r="R262" s="168"/>
      <c r="S262" s="168">
        <f t="shared" si="150"/>
        <v>60</v>
      </c>
    </row>
    <row r="263" spans="1:19" s="22" customFormat="1" ht="21.75" customHeight="1">
      <c r="A263" s="166"/>
      <c r="B263" s="166"/>
      <c r="C263" s="166"/>
      <c r="D263" s="167" t="s">
        <v>440</v>
      </c>
      <c r="E263" s="168">
        <v>50</v>
      </c>
      <c r="F263" s="168"/>
      <c r="G263" s="168">
        <f t="shared" si="144"/>
        <v>50</v>
      </c>
      <c r="H263" s="168"/>
      <c r="I263" s="168">
        <f t="shared" si="145"/>
        <v>50</v>
      </c>
      <c r="J263" s="168"/>
      <c r="K263" s="168">
        <f t="shared" si="146"/>
        <v>50</v>
      </c>
      <c r="L263" s="168"/>
      <c r="M263" s="168">
        <f t="shared" si="147"/>
        <v>50</v>
      </c>
      <c r="N263" s="168"/>
      <c r="O263" s="168">
        <f t="shared" si="148"/>
        <v>50</v>
      </c>
      <c r="P263" s="168"/>
      <c r="Q263" s="168">
        <f t="shared" si="149"/>
        <v>50</v>
      </c>
      <c r="R263" s="168"/>
      <c r="S263" s="168">
        <f t="shared" si="150"/>
        <v>50</v>
      </c>
    </row>
    <row r="264" spans="1:19" s="22" customFormat="1" ht="21.75" customHeight="1">
      <c r="A264" s="166"/>
      <c r="B264" s="166"/>
      <c r="C264" s="166"/>
      <c r="D264" s="167" t="s">
        <v>431</v>
      </c>
      <c r="E264" s="168">
        <v>80</v>
      </c>
      <c r="F264" s="168"/>
      <c r="G264" s="168">
        <f t="shared" si="144"/>
        <v>80</v>
      </c>
      <c r="H264" s="168"/>
      <c r="I264" s="168">
        <f t="shared" si="145"/>
        <v>80</v>
      </c>
      <c r="J264" s="168"/>
      <c r="K264" s="168">
        <f t="shared" si="146"/>
        <v>80</v>
      </c>
      <c r="L264" s="168"/>
      <c r="M264" s="168">
        <f t="shared" si="147"/>
        <v>80</v>
      </c>
      <c r="N264" s="168"/>
      <c r="O264" s="168">
        <f t="shared" si="148"/>
        <v>80</v>
      </c>
      <c r="P264" s="168"/>
      <c r="Q264" s="168">
        <f t="shared" si="149"/>
        <v>80</v>
      </c>
      <c r="R264" s="168"/>
      <c r="S264" s="168">
        <f t="shared" si="150"/>
        <v>80</v>
      </c>
    </row>
    <row r="265" spans="1:19" s="22" customFormat="1" ht="21.75" customHeight="1">
      <c r="A265" s="166"/>
      <c r="B265" s="166"/>
      <c r="C265" s="166"/>
      <c r="D265" s="167" t="s">
        <v>432</v>
      </c>
      <c r="E265" s="168">
        <v>15</v>
      </c>
      <c r="F265" s="168"/>
      <c r="G265" s="168">
        <f t="shared" si="144"/>
        <v>15</v>
      </c>
      <c r="H265" s="168"/>
      <c r="I265" s="168">
        <f t="shared" si="145"/>
        <v>15</v>
      </c>
      <c r="J265" s="168"/>
      <c r="K265" s="168">
        <f t="shared" si="146"/>
        <v>15</v>
      </c>
      <c r="L265" s="168"/>
      <c r="M265" s="168">
        <f t="shared" si="147"/>
        <v>15</v>
      </c>
      <c r="N265" s="168"/>
      <c r="O265" s="168">
        <f t="shared" si="148"/>
        <v>15</v>
      </c>
      <c r="P265" s="168"/>
      <c r="Q265" s="168">
        <f t="shared" si="149"/>
        <v>15</v>
      </c>
      <c r="R265" s="168"/>
      <c r="S265" s="168">
        <f t="shared" si="150"/>
        <v>15</v>
      </c>
    </row>
    <row r="266" spans="1:19" s="22" customFormat="1" ht="21.75" customHeight="1">
      <c r="A266" s="166"/>
      <c r="B266" s="166"/>
      <c r="C266" s="166"/>
      <c r="D266" s="167" t="s">
        <v>434</v>
      </c>
      <c r="E266" s="168">
        <v>130</v>
      </c>
      <c r="F266" s="168"/>
      <c r="G266" s="168">
        <f t="shared" si="144"/>
        <v>130</v>
      </c>
      <c r="H266" s="168"/>
      <c r="I266" s="168">
        <f t="shared" si="145"/>
        <v>130</v>
      </c>
      <c r="J266" s="168"/>
      <c r="K266" s="168">
        <f t="shared" si="146"/>
        <v>130</v>
      </c>
      <c r="L266" s="168"/>
      <c r="M266" s="168">
        <f t="shared" si="147"/>
        <v>130</v>
      </c>
      <c r="N266" s="168"/>
      <c r="O266" s="168">
        <f t="shared" si="148"/>
        <v>130</v>
      </c>
      <c r="P266" s="168"/>
      <c r="Q266" s="168">
        <f t="shared" si="149"/>
        <v>130</v>
      </c>
      <c r="R266" s="168"/>
      <c r="S266" s="168">
        <f t="shared" si="150"/>
        <v>130</v>
      </c>
    </row>
    <row r="267" spans="1:19" s="22" customFormat="1" ht="21.75" customHeight="1">
      <c r="A267" s="166"/>
      <c r="B267" s="166"/>
      <c r="C267" s="166"/>
      <c r="D267" s="167" t="s">
        <v>441</v>
      </c>
      <c r="E267" s="168">
        <v>100</v>
      </c>
      <c r="F267" s="168"/>
      <c r="G267" s="168">
        <f t="shared" si="144"/>
        <v>100</v>
      </c>
      <c r="H267" s="168"/>
      <c r="I267" s="168">
        <f t="shared" si="145"/>
        <v>100</v>
      </c>
      <c r="J267" s="168"/>
      <c r="K267" s="168">
        <f t="shared" si="146"/>
        <v>100</v>
      </c>
      <c r="L267" s="168"/>
      <c r="M267" s="168">
        <f t="shared" si="147"/>
        <v>100</v>
      </c>
      <c r="N267" s="168"/>
      <c r="O267" s="168">
        <f t="shared" si="148"/>
        <v>100</v>
      </c>
      <c r="P267" s="168"/>
      <c r="Q267" s="168">
        <f t="shared" si="149"/>
        <v>100</v>
      </c>
      <c r="R267" s="168"/>
      <c r="S267" s="168">
        <f t="shared" si="150"/>
        <v>100</v>
      </c>
    </row>
    <row r="268" spans="1:19" s="22" customFormat="1" ht="21.75" customHeight="1">
      <c r="A268" s="166"/>
      <c r="B268" s="166"/>
      <c r="C268" s="166"/>
      <c r="D268" s="167" t="s">
        <v>442</v>
      </c>
      <c r="E268" s="168">
        <v>80</v>
      </c>
      <c r="F268" s="168"/>
      <c r="G268" s="168">
        <f t="shared" si="144"/>
        <v>80</v>
      </c>
      <c r="H268" s="168"/>
      <c r="I268" s="168">
        <f t="shared" si="145"/>
        <v>80</v>
      </c>
      <c r="J268" s="168"/>
      <c r="K268" s="168">
        <f t="shared" si="146"/>
        <v>80</v>
      </c>
      <c r="L268" s="168"/>
      <c r="M268" s="168">
        <f t="shared" si="147"/>
        <v>80</v>
      </c>
      <c r="N268" s="168"/>
      <c r="O268" s="168">
        <f t="shared" si="148"/>
        <v>80</v>
      </c>
      <c r="P268" s="168"/>
      <c r="Q268" s="168">
        <f t="shared" si="149"/>
        <v>80</v>
      </c>
      <c r="R268" s="168"/>
      <c r="S268" s="168">
        <f t="shared" si="150"/>
        <v>80</v>
      </c>
    </row>
    <row r="269" spans="1:19" s="22" customFormat="1" ht="21.75" customHeight="1">
      <c r="A269" s="166"/>
      <c r="B269" s="166"/>
      <c r="C269" s="166"/>
      <c r="D269" s="167" t="s">
        <v>445</v>
      </c>
      <c r="E269" s="168">
        <v>100</v>
      </c>
      <c r="F269" s="168"/>
      <c r="G269" s="168">
        <f t="shared" si="144"/>
        <v>100</v>
      </c>
      <c r="H269" s="168"/>
      <c r="I269" s="168">
        <f t="shared" si="145"/>
        <v>100</v>
      </c>
      <c r="J269" s="168"/>
      <c r="K269" s="168">
        <f t="shared" si="146"/>
        <v>100</v>
      </c>
      <c r="L269" s="168"/>
      <c r="M269" s="168">
        <f t="shared" si="147"/>
        <v>100</v>
      </c>
      <c r="N269" s="168"/>
      <c r="O269" s="168">
        <f t="shared" si="148"/>
        <v>100</v>
      </c>
      <c r="P269" s="168"/>
      <c r="Q269" s="168">
        <f t="shared" si="149"/>
        <v>100</v>
      </c>
      <c r="R269" s="168"/>
      <c r="S269" s="168">
        <f t="shared" si="150"/>
        <v>100</v>
      </c>
    </row>
    <row r="270" spans="1:19" s="22" customFormat="1" ht="21.75" customHeight="1">
      <c r="A270" s="166"/>
      <c r="B270" s="166"/>
      <c r="C270" s="166"/>
      <c r="D270" s="167" t="s">
        <v>436</v>
      </c>
      <c r="E270" s="168">
        <v>50</v>
      </c>
      <c r="F270" s="168"/>
      <c r="G270" s="168">
        <f t="shared" si="144"/>
        <v>50</v>
      </c>
      <c r="H270" s="168"/>
      <c r="I270" s="168">
        <f t="shared" si="145"/>
        <v>50</v>
      </c>
      <c r="J270" s="168"/>
      <c r="K270" s="168">
        <f t="shared" si="146"/>
        <v>50</v>
      </c>
      <c r="L270" s="168"/>
      <c r="M270" s="168">
        <f t="shared" si="147"/>
        <v>50</v>
      </c>
      <c r="N270" s="168"/>
      <c r="O270" s="168">
        <f t="shared" si="148"/>
        <v>50</v>
      </c>
      <c r="P270" s="168"/>
      <c r="Q270" s="168">
        <f t="shared" si="149"/>
        <v>50</v>
      </c>
      <c r="R270" s="168"/>
      <c r="S270" s="168">
        <f t="shared" si="150"/>
        <v>50</v>
      </c>
    </row>
    <row r="271" spans="1:19" s="22" customFormat="1" ht="21.75" customHeight="1">
      <c r="A271" s="166"/>
      <c r="B271" s="166"/>
      <c r="C271" s="166"/>
      <c r="D271" s="167" t="s">
        <v>446</v>
      </c>
      <c r="E271" s="168">
        <v>100</v>
      </c>
      <c r="F271" s="168"/>
      <c r="G271" s="168">
        <f t="shared" si="144"/>
        <v>100</v>
      </c>
      <c r="H271" s="168"/>
      <c r="I271" s="168">
        <f t="shared" si="145"/>
        <v>100</v>
      </c>
      <c r="J271" s="168"/>
      <c r="K271" s="168">
        <f t="shared" si="146"/>
        <v>100</v>
      </c>
      <c r="L271" s="168"/>
      <c r="M271" s="168">
        <f t="shared" si="147"/>
        <v>100</v>
      </c>
      <c r="N271" s="168"/>
      <c r="O271" s="168">
        <f t="shared" si="148"/>
        <v>100</v>
      </c>
      <c r="P271" s="168"/>
      <c r="Q271" s="168">
        <f t="shared" si="149"/>
        <v>100</v>
      </c>
      <c r="R271" s="168"/>
      <c r="S271" s="168">
        <f t="shared" si="150"/>
        <v>100</v>
      </c>
    </row>
    <row r="272" spans="1:19" s="22" customFormat="1" ht="21.75" customHeight="1">
      <c r="A272" s="171"/>
      <c r="B272" s="171"/>
      <c r="C272" s="171">
        <v>6050</v>
      </c>
      <c r="D272" s="164" t="s">
        <v>97</v>
      </c>
      <c r="E272" s="165"/>
      <c r="F272" s="165"/>
      <c r="G272" s="165">
        <f aca="true" t="shared" si="151" ref="G272:S272">SUM(G273)</f>
        <v>0</v>
      </c>
      <c r="H272" s="165">
        <f t="shared" si="151"/>
        <v>2000</v>
      </c>
      <c r="I272" s="165">
        <f t="shared" si="151"/>
        <v>2000</v>
      </c>
      <c r="J272" s="165">
        <f t="shared" si="151"/>
        <v>0</v>
      </c>
      <c r="K272" s="165">
        <f t="shared" si="151"/>
        <v>2000</v>
      </c>
      <c r="L272" s="165">
        <f t="shared" si="151"/>
        <v>0</v>
      </c>
      <c r="M272" s="165">
        <f t="shared" si="151"/>
        <v>2000</v>
      </c>
      <c r="N272" s="165">
        <f t="shared" si="151"/>
        <v>1500</v>
      </c>
      <c r="O272" s="165">
        <f t="shared" si="151"/>
        <v>3500</v>
      </c>
      <c r="P272" s="165">
        <f t="shared" si="151"/>
        <v>0</v>
      </c>
      <c r="Q272" s="165">
        <f t="shared" si="151"/>
        <v>3500</v>
      </c>
      <c r="R272" s="165">
        <f t="shared" si="151"/>
        <v>0</v>
      </c>
      <c r="S272" s="165">
        <f t="shared" si="151"/>
        <v>3500</v>
      </c>
    </row>
    <row r="273" spans="1:19" s="22" customFormat="1" ht="21.75" customHeight="1">
      <c r="A273" s="166"/>
      <c r="B273" s="166"/>
      <c r="C273" s="166"/>
      <c r="D273" s="167" t="s">
        <v>442</v>
      </c>
      <c r="E273" s="168"/>
      <c r="F273" s="168"/>
      <c r="G273" s="168">
        <v>0</v>
      </c>
      <c r="H273" s="168">
        <v>2000</v>
      </c>
      <c r="I273" s="168">
        <f>SUM(G273:H273)</f>
        <v>2000</v>
      </c>
      <c r="J273" s="168"/>
      <c r="K273" s="168">
        <f>SUM(I273:J273)</f>
        <v>2000</v>
      </c>
      <c r="L273" s="168"/>
      <c r="M273" s="168">
        <f>SUM(K273:L273)</f>
        <v>2000</v>
      </c>
      <c r="N273" s="168">
        <v>1500</v>
      </c>
      <c r="O273" s="168">
        <f>SUM(M273:N273)</f>
        <v>3500</v>
      </c>
      <c r="P273" s="168"/>
      <c r="Q273" s="168">
        <f>SUM(O273:P273)</f>
        <v>3500</v>
      </c>
      <c r="R273" s="168"/>
      <c r="S273" s="168">
        <f>SUM(Q273:R273)</f>
        <v>3500</v>
      </c>
    </row>
    <row r="274" spans="1:19" s="6" customFormat="1" ht="19.5" customHeight="1">
      <c r="A274" s="155" t="s">
        <v>172</v>
      </c>
      <c r="B274" s="156"/>
      <c r="C274" s="156"/>
      <c r="D274" s="157" t="s">
        <v>89</v>
      </c>
      <c r="E274" s="158">
        <f aca="true" t="shared" si="152" ref="E274:S274">SUM(E275)</f>
        <v>29990</v>
      </c>
      <c r="F274" s="158">
        <f t="shared" si="152"/>
        <v>0</v>
      </c>
      <c r="G274" s="158">
        <f t="shared" si="152"/>
        <v>29990</v>
      </c>
      <c r="H274" s="158">
        <f t="shared" si="152"/>
        <v>0</v>
      </c>
      <c r="I274" s="158">
        <f t="shared" si="152"/>
        <v>29990</v>
      </c>
      <c r="J274" s="158">
        <f t="shared" si="152"/>
        <v>-2000</v>
      </c>
      <c r="K274" s="158">
        <f t="shared" si="152"/>
        <v>27990</v>
      </c>
      <c r="L274" s="158">
        <f t="shared" si="152"/>
        <v>0</v>
      </c>
      <c r="M274" s="158">
        <f t="shared" si="152"/>
        <v>27990</v>
      </c>
      <c r="N274" s="158">
        <f t="shared" si="152"/>
        <v>-1650</v>
      </c>
      <c r="O274" s="158">
        <f t="shared" si="152"/>
        <v>26340</v>
      </c>
      <c r="P274" s="158">
        <f t="shared" si="152"/>
        <v>4298</v>
      </c>
      <c r="Q274" s="158">
        <f t="shared" si="152"/>
        <v>30638</v>
      </c>
      <c r="R274" s="158">
        <f t="shared" si="152"/>
        <v>0</v>
      </c>
      <c r="S274" s="158">
        <f t="shared" si="152"/>
        <v>30638</v>
      </c>
    </row>
    <row r="275" spans="1:19" s="22" customFormat="1" ht="22.5">
      <c r="A275" s="163"/>
      <c r="B275" s="171">
        <v>92605</v>
      </c>
      <c r="C275" s="163"/>
      <c r="D275" s="164" t="s">
        <v>90</v>
      </c>
      <c r="E275" s="165">
        <f>SUM(E276,E287,E289)</f>
        <v>29990</v>
      </c>
      <c r="F275" s="165">
        <f>SUM(F276,F287,F289)</f>
        <v>0</v>
      </c>
      <c r="G275" s="165">
        <f>SUM(G276,G287,G289)</f>
        <v>29990</v>
      </c>
      <c r="H275" s="165">
        <f>SUM(H276,H287,H289)</f>
        <v>0</v>
      </c>
      <c r="I275" s="165">
        <f aca="true" t="shared" si="153" ref="I275:Q275">SUM(I276,I287,I289,I296)</f>
        <v>29990</v>
      </c>
      <c r="J275" s="165">
        <f t="shared" si="153"/>
        <v>-2000</v>
      </c>
      <c r="K275" s="165">
        <f t="shared" si="153"/>
        <v>27990</v>
      </c>
      <c r="L275" s="165">
        <f t="shared" si="153"/>
        <v>0</v>
      </c>
      <c r="M275" s="165">
        <f t="shared" si="153"/>
        <v>27990</v>
      </c>
      <c r="N275" s="165">
        <f t="shared" si="153"/>
        <v>-1650</v>
      </c>
      <c r="O275" s="165">
        <f t="shared" si="153"/>
        <v>26340</v>
      </c>
      <c r="P275" s="165">
        <f t="shared" si="153"/>
        <v>4298</v>
      </c>
      <c r="Q275" s="165">
        <f t="shared" si="153"/>
        <v>30638</v>
      </c>
      <c r="R275" s="165">
        <f>SUM(R276,R287,R289,R296)</f>
        <v>0</v>
      </c>
      <c r="S275" s="165">
        <f>SUM(S276,S287,S289,S296)</f>
        <v>30638</v>
      </c>
    </row>
    <row r="276" spans="1:19" s="22" customFormat="1" ht="21.75" customHeight="1">
      <c r="A276" s="163"/>
      <c r="B276" s="162"/>
      <c r="C276" s="162" t="s">
        <v>444</v>
      </c>
      <c r="D276" s="164" t="s">
        <v>116</v>
      </c>
      <c r="E276" s="165">
        <f aca="true" t="shared" si="154" ref="E276:Q276">SUM(E277:E286)</f>
        <v>17350</v>
      </c>
      <c r="F276" s="165">
        <f t="shared" si="154"/>
        <v>-560</v>
      </c>
      <c r="G276" s="165">
        <f t="shared" si="154"/>
        <v>16790</v>
      </c>
      <c r="H276" s="165">
        <f t="shared" si="154"/>
        <v>0</v>
      </c>
      <c r="I276" s="165">
        <f t="shared" si="154"/>
        <v>16790</v>
      </c>
      <c r="J276" s="165">
        <f t="shared" si="154"/>
        <v>-3200</v>
      </c>
      <c r="K276" s="165">
        <f t="shared" si="154"/>
        <v>13590</v>
      </c>
      <c r="L276" s="165">
        <f t="shared" si="154"/>
        <v>2500</v>
      </c>
      <c r="M276" s="165">
        <f t="shared" si="154"/>
        <v>16090</v>
      </c>
      <c r="N276" s="165">
        <f t="shared" si="154"/>
        <v>-1500</v>
      </c>
      <c r="O276" s="165">
        <f t="shared" si="154"/>
        <v>14590</v>
      </c>
      <c r="P276" s="165">
        <f t="shared" si="154"/>
        <v>4896</v>
      </c>
      <c r="Q276" s="165">
        <f t="shared" si="154"/>
        <v>19486</v>
      </c>
      <c r="R276" s="165">
        <f>SUM(R277:R286)</f>
        <v>-1450</v>
      </c>
      <c r="S276" s="165">
        <f>SUM(S277:S286)</f>
        <v>18036</v>
      </c>
    </row>
    <row r="277" spans="1:19" s="102" customFormat="1" ht="21.75" customHeight="1">
      <c r="A277" s="180"/>
      <c r="B277" s="181"/>
      <c r="C277" s="181"/>
      <c r="D277" s="170" t="s">
        <v>437</v>
      </c>
      <c r="E277" s="165">
        <v>1300</v>
      </c>
      <c r="F277" s="165"/>
      <c r="G277" s="165">
        <f aca="true" t="shared" si="155" ref="G277:G282">SUM(E277:F277)</f>
        <v>1300</v>
      </c>
      <c r="H277" s="165"/>
      <c r="I277" s="165">
        <f aca="true" t="shared" si="156" ref="I277:I282">SUM(G277:H277)</f>
        <v>1300</v>
      </c>
      <c r="J277" s="165">
        <v>-1200</v>
      </c>
      <c r="K277" s="165">
        <f aca="true" t="shared" si="157" ref="K277:K282">SUM(I277:J277)</f>
        <v>100</v>
      </c>
      <c r="L277" s="165"/>
      <c r="M277" s="165">
        <f aca="true" t="shared" si="158" ref="M277:M286">SUM(K277:L277)</f>
        <v>100</v>
      </c>
      <c r="N277" s="165"/>
      <c r="O277" s="165">
        <f aca="true" t="shared" si="159" ref="O277:O286">SUM(M277:N277)</f>
        <v>100</v>
      </c>
      <c r="P277" s="165">
        <f>3000+1000+1200</f>
        <v>5200</v>
      </c>
      <c r="Q277" s="165">
        <f aca="true" t="shared" si="160" ref="Q277:Q286">SUM(O277:P277)</f>
        <v>5300</v>
      </c>
      <c r="R277" s="165"/>
      <c r="S277" s="165">
        <f aca="true" t="shared" si="161" ref="S277:S286">SUM(Q277:R277)</f>
        <v>5300</v>
      </c>
    </row>
    <row r="278" spans="1:19" s="22" customFormat="1" ht="21.75" customHeight="1">
      <c r="A278" s="163"/>
      <c r="B278" s="162"/>
      <c r="C278" s="162"/>
      <c r="D278" s="167" t="s">
        <v>427</v>
      </c>
      <c r="E278" s="165">
        <v>2000</v>
      </c>
      <c r="F278" s="165"/>
      <c r="G278" s="165">
        <f t="shared" si="155"/>
        <v>2000</v>
      </c>
      <c r="H278" s="165"/>
      <c r="I278" s="165">
        <f t="shared" si="156"/>
        <v>2000</v>
      </c>
      <c r="J278" s="165">
        <v>-2000</v>
      </c>
      <c r="K278" s="165">
        <f t="shared" si="157"/>
        <v>0</v>
      </c>
      <c r="L278" s="165"/>
      <c r="M278" s="165">
        <f t="shared" si="158"/>
        <v>0</v>
      </c>
      <c r="N278" s="165"/>
      <c r="O278" s="165">
        <f t="shared" si="159"/>
        <v>0</v>
      </c>
      <c r="P278" s="165"/>
      <c r="Q278" s="165">
        <f t="shared" si="160"/>
        <v>0</v>
      </c>
      <c r="R278" s="165"/>
      <c r="S278" s="165">
        <f t="shared" si="161"/>
        <v>0</v>
      </c>
    </row>
    <row r="279" spans="1:19" s="22" customFormat="1" ht="21.75" customHeight="1">
      <c r="A279" s="166"/>
      <c r="B279" s="166"/>
      <c r="C279" s="166"/>
      <c r="D279" s="167" t="s">
        <v>439</v>
      </c>
      <c r="E279" s="168">
        <v>3150</v>
      </c>
      <c r="F279" s="168">
        <v>-560</v>
      </c>
      <c r="G279" s="165">
        <f t="shared" si="155"/>
        <v>2590</v>
      </c>
      <c r="H279" s="168"/>
      <c r="I279" s="165">
        <f t="shared" si="156"/>
        <v>2590</v>
      </c>
      <c r="J279" s="168"/>
      <c r="K279" s="165">
        <f t="shared" si="157"/>
        <v>2590</v>
      </c>
      <c r="L279" s="168"/>
      <c r="M279" s="165">
        <f t="shared" si="158"/>
        <v>2590</v>
      </c>
      <c r="N279" s="168"/>
      <c r="O279" s="165">
        <f t="shared" si="159"/>
        <v>2590</v>
      </c>
      <c r="P279" s="168"/>
      <c r="Q279" s="165">
        <f t="shared" si="160"/>
        <v>2590</v>
      </c>
      <c r="R279" s="168">
        <v>-850</v>
      </c>
      <c r="S279" s="165">
        <f t="shared" si="161"/>
        <v>1740</v>
      </c>
    </row>
    <row r="280" spans="1:19" s="22" customFormat="1" ht="21.75" customHeight="1">
      <c r="A280" s="166"/>
      <c r="B280" s="166"/>
      <c r="C280" s="166"/>
      <c r="D280" s="167" t="s">
        <v>428</v>
      </c>
      <c r="E280" s="168">
        <v>500</v>
      </c>
      <c r="F280" s="168"/>
      <c r="G280" s="165">
        <f t="shared" si="155"/>
        <v>500</v>
      </c>
      <c r="H280" s="168"/>
      <c r="I280" s="165">
        <f t="shared" si="156"/>
        <v>500</v>
      </c>
      <c r="J280" s="168"/>
      <c r="K280" s="165">
        <f t="shared" si="157"/>
        <v>500</v>
      </c>
      <c r="L280" s="168"/>
      <c r="M280" s="165">
        <f t="shared" si="158"/>
        <v>500</v>
      </c>
      <c r="N280" s="168">
        <v>-500</v>
      </c>
      <c r="O280" s="165">
        <f t="shared" si="159"/>
        <v>0</v>
      </c>
      <c r="P280" s="168"/>
      <c r="Q280" s="165">
        <f t="shared" si="160"/>
        <v>0</v>
      </c>
      <c r="R280" s="168"/>
      <c r="S280" s="165">
        <f t="shared" si="161"/>
        <v>0</v>
      </c>
    </row>
    <row r="281" spans="1:19" s="22" customFormat="1" ht="21.75" customHeight="1">
      <c r="A281" s="166"/>
      <c r="B281" s="166"/>
      <c r="C281" s="166"/>
      <c r="D281" s="167" t="s">
        <v>429</v>
      </c>
      <c r="E281" s="168">
        <v>1000</v>
      </c>
      <c r="F281" s="168"/>
      <c r="G281" s="165">
        <f t="shared" si="155"/>
        <v>1000</v>
      </c>
      <c r="H281" s="168"/>
      <c r="I281" s="165">
        <f t="shared" si="156"/>
        <v>1000</v>
      </c>
      <c r="J281" s="168"/>
      <c r="K281" s="165">
        <f t="shared" si="157"/>
        <v>1000</v>
      </c>
      <c r="L281" s="168"/>
      <c r="M281" s="165">
        <f t="shared" si="158"/>
        <v>1000</v>
      </c>
      <c r="N281" s="168"/>
      <c r="O281" s="165">
        <f t="shared" si="159"/>
        <v>1000</v>
      </c>
      <c r="P281" s="168"/>
      <c r="Q281" s="165">
        <f t="shared" si="160"/>
        <v>1000</v>
      </c>
      <c r="R281" s="168">
        <v>-600</v>
      </c>
      <c r="S281" s="165">
        <f t="shared" si="161"/>
        <v>400</v>
      </c>
    </row>
    <row r="282" spans="1:19" s="22" customFormat="1" ht="21.75" customHeight="1">
      <c r="A282" s="166"/>
      <c r="B282" s="166"/>
      <c r="C282" s="166"/>
      <c r="D282" s="167" t="s">
        <v>440</v>
      </c>
      <c r="E282" s="168">
        <v>500</v>
      </c>
      <c r="F282" s="168"/>
      <c r="G282" s="165">
        <f t="shared" si="155"/>
        <v>500</v>
      </c>
      <c r="H282" s="168"/>
      <c r="I282" s="165">
        <f t="shared" si="156"/>
        <v>500</v>
      </c>
      <c r="J282" s="168"/>
      <c r="K282" s="165">
        <f t="shared" si="157"/>
        <v>500</v>
      </c>
      <c r="L282" s="168"/>
      <c r="M282" s="165">
        <f t="shared" si="158"/>
        <v>500</v>
      </c>
      <c r="N282" s="168"/>
      <c r="O282" s="165">
        <f t="shared" si="159"/>
        <v>500</v>
      </c>
      <c r="P282" s="168">
        <v>-302</v>
      </c>
      <c r="Q282" s="165">
        <f t="shared" si="160"/>
        <v>198</v>
      </c>
      <c r="R282" s="168"/>
      <c r="S282" s="165">
        <f t="shared" si="161"/>
        <v>198</v>
      </c>
    </row>
    <row r="283" spans="1:19" s="22" customFormat="1" ht="21.75" customHeight="1">
      <c r="A283" s="166"/>
      <c r="B283" s="166"/>
      <c r="C283" s="166"/>
      <c r="D283" s="167" t="s">
        <v>431</v>
      </c>
      <c r="E283" s="168"/>
      <c r="F283" s="168"/>
      <c r="G283" s="165"/>
      <c r="H283" s="168"/>
      <c r="I283" s="165"/>
      <c r="J283" s="168"/>
      <c r="K283" s="165">
        <v>0</v>
      </c>
      <c r="L283" s="168">
        <v>2500</v>
      </c>
      <c r="M283" s="165">
        <f t="shared" si="158"/>
        <v>2500</v>
      </c>
      <c r="N283" s="168"/>
      <c r="O283" s="165">
        <f t="shared" si="159"/>
        <v>2500</v>
      </c>
      <c r="P283" s="168"/>
      <c r="Q283" s="165">
        <f t="shared" si="160"/>
        <v>2500</v>
      </c>
      <c r="R283" s="168"/>
      <c r="S283" s="165">
        <f t="shared" si="161"/>
        <v>2500</v>
      </c>
    </row>
    <row r="284" spans="1:19" s="22" customFormat="1" ht="21.75" customHeight="1">
      <c r="A284" s="166"/>
      <c r="B284" s="166"/>
      <c r="C284" s="166"/>
      <c r="D284" s="167" t="s">
        <v>432</v>
      </c>
      <c r="E284" s="168">
        <v>1000</v>
      </c>
      <c r="F284" s="168"/>
      <c r="G284" s="165">
        <f>SUM(E284:F284)</f>
        <v>1000</v>
      </c>
      <c r="H284" s="168"/>
      <c r="I284" s="165">
        <f>SUM(G284:H284)</f>
        <v>1000</v>
      </c>
      <c r="J284" s="168"/>
      <c r="K284" s="165">
        <f>SUM(I284:J284)</f>
        <v>1000</v>
      </c>
      <c r="L284" s="168"/>
      <c r="M284" s="165">
        <f t="shared" si="158"/>
        <v>1000</v>
      </c>
      <c r="N284" s="168"/>
      <c r="O284" s="165">
        <f t="shared" si="159"/>
        <v>1000</v>
      </c>
      <c r="P284" s="168"/>
      <c r="Q284" s="165">
        <f t="shared" si="160"/>
        <v>1000</v>
      </c>
      <c r="R284" s="168"/>
      <c r="S284" s="165">
        <f t="shared" si="161"/>
        <v>1000</v>
      </c>
    </row>
    <row r="285" spans="1:19" s="22" customFormat="1" ht="21.75" customHeight="1">
      <c r="A285" s="166"/>
      <c r="B285" s="166"/>
      <c r="C285" s="166"/>
      <c r="D285" s="167" t="s">
        <v>434</v>
      </c>
      <c r="E285" s="168">
        <v>900</v>
      </c>
      <c r="F285" s="168"/>
      <c r="G285" s="165">
        <f>SUM(E285:F285)</f>
        <v>900</v>
      </c>
      <c r="H285" s="168"/>
      <c r="I285" s="165">
        <f>SUM(G285:H285)</f>
        <v>900</v>
      </c>
      <c r="J285" s="168"/>
      <c r="K285" s="165">
        <f>SUM(I285:J285)</f>
        <v>900</v>
      </c>
      <c r="L285" s="168"/>
      <c r="M285" s="165">
        <f t="shared" si="158"/>
        <v>900</v>
      </c>
      <c r="N285" s="168"/>
      <c r="O285" s="165">
        <f t="shared" si="159"/>
        <v>900</v>
      </c>
      <c r="P285" s="168"/>
      <c r="Q285" s="165">
        <f t="shared" si="160"/>
        <v>900</v>
      </c>
      <c r="R285" s="168"/>
      <c r="S285" s="165">
        <f t="shared" si="161"/>
        <v>900</v>
      </c>
    </row>
    <row r="286" spans="1:19" s="22" customFormat="1" ht="21.75" customHeight="1">
      <c r="A286" s="166"/>
      <c r="B286" s="166"/>
      <c r="C286" s="166"/>
      <c r="D286" s="167" t="s">
        <v>441</v>
      </c>
      <c r="E286" s="168">
        <v>7000</v>
      </c>
      <c r="F286" s="168"/>
      <c r="G286" s="165">
        <f>SUM(E286:F286)</f>
        <v>7000</v>
      </c>
      <c r="H286" s="168"/>
      <c r="I286" s="165">
        <f>SUM(G286:H286)</f>
        <v>7000</v>
      </c>
      <c r="J286" s="168"/>
      <c r="K286" s="165">
        <f>SUM(I286:J286)</f>
        <v>7000</v>
      </c>
      <c r="L286" s="168"/>
      <c r="M286" s="165">
        <f t="shared" si="158"/>
        <v>7000</v>
      </c>
      <c r="N286" s="168">
        <f>-240-760</f>
        <v>-1000</v>
      </c>
      <c r="O286" s="165">
        <f t="shared" si="159"/>
        <v>6000</v>
      </c>
      <c r="P286" s="168">
        <v>-2</v>
      </c>
      <c r="Q286" s="165">
        <f t="shared" si="160"/>
        <v>5998</v>
      </c>
      <c r="R286" s="168"/>
      <c r="S286" s="165">
        <f t="shared" si="161"/>
        <v>5998</v>
      </c>
    </row>
    <row r="287" spans="1:19" s="22" customFormat="1" ht="21.75" customHeight="1">
      <c r="A287" s="162"/>
      <c r="B287" s="162"/>
      <c r="C287" s="162" t="s">
        <v>453</v>
      </c>
      <c r="D287" s="164" t="s">
        <v>119</v>
      </c>
      <c r="E287" s="165">
        <f aca="true" t="shared" si="162" ref="E287:S287">SUM(E288:E288)</f>
        <v>500</v>
      </c>
      <c r="F287" s="165">
        <f t="shared" si="162"/>
        <v>0</v>
      </c>
      <c r="G287" s="165">
        <f t="shared" si="162"/>
        <v>500</v>
      </c>
      <c r="H287" s="165">
        <f t="shared" si="162"/>
        <v>0</v>
      </c>
      <c r="I287" s="165">
        <f t="shared" si="162"/>
        <v>500</v>
      </c>
      <c r="J287" s="165">
        <f t="shared" si="162"/>
        <v>0</v>
      </c>
      <c r="K287" s="165">
        <f t="shared" si="162"/>
        <v>500</v>
      </c>
      <c r="L287" s="165">
        <f t="shared" si="162"/>
        <v>0</v>
      </c>
      <c r="M287" s="165">
        <f t="shared" si="162"/>
        <v>500</v>
      </c>
      <c r="N287" s="165">
        <f t="shared" si="162"/>
        <v>-150</v>
      </c>
      <c r="O287" s="165">
        <f t="shared" si="162"/>
        <v>350</v>
      </c>
      <c r="P287" s="165">
        <f t="shared" si="162"/>
        <v>0</v>
      </c>
      <c r="Q287" s="165">
        <f t="shared" si="162"/>
        <v>350</v>
      </c>
      <c r="R287" s="165">
        <f t="shared" si="162"/>
        <v>0</v>
      </c>
      <c r="S287" s="165">
        <f t="shared" si="162"/>
        <v>350</v>
      </c>
    </row>
    <row r="288" spans="1:19" s="22" customFormat="1" ht="21.75" customHeight="1">
      <c r="A288" s="166"/>
      <c r="B288" s="166"/>
      <c r="C288" s="166"/>
      <c r="D288" s="167" t="s">
        <v>434</v>
      </c>
      <c r="E288" s="168">
        <v>500</v>
      </c>
      <c r="F288" s="168"/>
      <c r="G288" s="168">
        <f>SUM(E288:F288)</f>
        <v>500</v>
      </c>
      <c r="H288" s="168"/>
      <c r="I288" s="168">
        <f>SUM(G288:H288)</f>
        <v>500</v>
      </c>
      <c r="J288" s="168"/>
      <c r="K288" s="168">
        <f>SUM(I288:J288)</f>
        <v>500</v>
      </c>
      <c r="L288" s="168"/>
      <c r="M288" s="168">
        <f>SUM(K288:L288)</f>
        <v>500</v>
      </c>
      <c r="N288" s="168">
        <v>-150</v>
      </c>
      <c r="O288" s="168">
        <f>SUM(M288:N288)</f>
        <v>350</v>
      </c>
      <c r="P288" s="168"/>
      <c r="Q288" s="168">
        <f>SUM(O288:P288)</f>
        <v>350</v>
      </c>
      <c r="R288" s="168"/>
      <c r="S288" s="168">
        <f>SUM(Q288:R288)</f>
        <v>350</v>
      </c>
    </row>
    <row r="289" spans="1:19" s="22" customFormat="1" ht="21.75" customHeight="1">
      <c r="A289" s="163"/>
      <c r="B289" s="162"/>
      <c r="C289" s="163">
        <v>4300</v>
      </c>
      <c r="D289" s="176" t="s">
        <v>103</v>
      </c>
      <c r="E289" s="165">
        <f aca="true" t="shared" si="163" ref="E289:Q289">SUM(E290:E295)</f>
        <v>12140</v>
      </c>
      <c r="F289" s="165">
        <f t="shared" si="163"/>
        <v>560</v>
      </c>
      <c r="G289" s="165">
        <f t="shared" si="163"/>
        <v>12700</v>
      </c>
      <c r="H289" s="165">
        <f t="shared" si="163"/>
        <v>0</v>
      </c>
      <c r="I289" s="165">
        <f t="shared" si="163"/>
        <v>12700</v>
      </c>
      <c r="J289" s="165">
        <f t="shared" si="163"/>
        <v>-3200</v>
      </c>
      <c r="K289" s="165">
        <f t="shared" si="163"/>
        <v>9500</v>
      </c>
      <c r="L289" s="165">
        <f t="shared" si="163"/>
        <v>-2500</v>
      </c>
      <c r="M289" s="165">
        <f t="shared" si="163"/>
        <v>7000</v>
      </c>
      <c r="N289" s="165">
        <f t="shared" si="163"/>
        <v>0</v>
      </c>
      <c r="O289" s="165">
        <f t="shared" si="163"/>
        <v>7000</v>
      </c>
      <c r="P289" s="165">
        <f t="shared" si="163"/>
        <v>-598</v>
      </c>
      <c r="Q289" s="165">
        <f t="shared" si="163"/>
        <v>6402</v>
      </c>
      <c r="R289" s="165">
        <f>SUM(R290:R295)</f>
        <v>1450</v>
      </c>
      <c r="S289" s="165">
        <f>SUM(S290:S295)</f>
        <v>7852</v>
      </c>
    </row>
    <row r="290" spans="1:19" s="22" customFormat="1" ht="21.75" customHeight="1">
      <c r="A290" s="166"/>
      <c r="B290" s="166"/>
      <c r="C290" s="166"/>
      <c r="D290" s="167" t="s">
        <v>437</v>
      </c>
      <c r="E290" s="168">
        <v>5000</v>
      </c>
      <c r="F290" s="168"/>
      <c r="G290" s="168">
        <f>SUM(E290:F290)</f>
        <v>5000</v>
      </c>
      <c r="H290" s="168"/>
      <c r="I290" s="168">
        <f>SUM(G290:H290)</f>
        <v>5000</v>
      </c>
      <c r="J290" s="168">
        <v>-3200</v>
      </c>
      <c r="K290" s="168">
        <f>SUM(I290:J290)</f>
        <v>1800</v>
      </c>
      <c r="L290" s="168"/>
      <c r="M290" s="168">
        <f>SUM(K290:L290)</f>
        <v>1800</v>
      </c>
      <c r="N290" s="168"/>
      <c r="O290" s="168">
        <f>SUM(M290:N290)</f>
        <v>1800</v>
      </c>
      <c r="P290" s="168">
        <v>-1200</v>
      </c>
      <c r="Q290" s="168">
        <f>SUM(O290:P290)</f>
        <v>600</v>
      </c>
      <c r="R290" s="168"/>
      <c r="S290" s="168">
        <f aca="true" t="shared" si="164" ref="S290:S295">SUM(Q290:R290)</f>
        <v>600</v>
      </c>
    </row>
    <row r="291" spans="1:19" s="22" customFormat="1" ht="21.75" customHeight="1">
      <c r="A291" s="166"/>
      <c r="B291" s="166"/>
      <c r="C291" s="166"/>
      <c r="D291" s="167" t="s">
        <v>439</v>
      </c>
      <c r="E291" s="168">
        <v>0</v>
      </c>
      <c r="F291" s="168">
        <v>560</v>
      </c>
      <c r="G291" s="168">
        <f>SUM(E291:F291)</f>
        <v>560</v>
      </c>
      <c r="H291" s="168"/>
      <c r="I291" s="168">
        <f>SUM(G291:H291)</f>
        <v>560</v>
      </c>
      <c r="J291" s="168"/>
      <c r="K291" s="168">
        <f>SUM(I291:J291)</f>
        <v>560</v>
      </c>
      <c r="L291" s="168"/>
      <c r="M291" s="168">
        <f>SUM(K291:L291)</f>
        <v>560</v>
      </c>
      <c r="N291" s="168"/>
      <c r="O291" s="168">
        <f>SUM(M291:N291)</f>
        <v>560</v>
      </c>
      <c r="P291" s="168"/>
      <c r="Q291" s="168">
        <f>SUM(O291:P291)</f>
        <v>560</v>
      </c>
      <c r="R291" s="168">
        <v>850</v>
      </c>
      <c r="S291" s="168">
        <f t="shared" si="164"/>
        <v>1410</v>
      </c>
    </row>
    <row r="292" spans="1:19" s="22" customFormat="1" ht="21.75" customHeight="1">
      <c r="A292" s="166"/>
      <c r="B292" s="166"/>
      <c r="C292" s="166"/>
      <c r="D292" s="167" t="s">
        <v>440</v>
      </c>
      <c r="E292" s="168">
        <v>500</v>
      </c>
      <c r="F292" s="168"/>
      <c r="G292" s="168">
        <f>SUM(E292:F292)</f>
        <v>500</v>
      </c>
      <c r="H292" s="168"/>
      <c r="I292" s="168">
        <f>SUM(G292:H292)</f>
        <v>500</v>
      </c>
      <c r="J292" s="168"/>
      <c r="K292" s="168">
        <f>SUM(I292:J292)</f>
        <v>500</v>
      </c>
      <c r="L292" s="168"/>
      <c r="M292" s="168">
        <f>SUM(K292:L292)</f>
        <v>500</v>
      </c>
      <c r="N292" s="168"/>
      <c r="O292" s="168">
        <f>SUM(M292:N292)</f>
        <v>500</v>
      </c>
      <c r="P292" s="168">
        <f>300+302</f>
        <v>602</v>
      </c>
      <c r="Q292" s="168">
        <f>SUM(O292:P292)</f>
        <v>1102</v>
      </c>
      <c r="R292" s="168"/>
      <c r="S292" s="168">
        <f t="shared" si="164"/>
        <v>1102</v>
      </c>
    </row>
    <row r="293" spans="1:19" s="22" customFormat="1" ht="21.75" customHeight="1">
      <c r="A293" s="166"/>
      <c r="B293" s="166"/>
      <c r="C293" s="166"/>
      <c r="D293" s="167" t="s">
        <v>429</v>
      </c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>
        <v>0</v>
      </c>
      <c r="R293" s="168">
        <v>600</v>
      </c>
      <c r="S293" s="168">
        <f t="shared" si="164"/>
        <v>600</v>
      </c>
    </row>
    <row r="294" spans="1:19" s="22" customFormat="1" ht="21.75" customHeight="1">
      <c r="A294" s="166"/>
      <c r="B294" s="166"/>
      <c r="C294" s="166"/>
      <c r="D294" s="167" t="s">
        <v>431</v>
      </c>
      <c r="E294" s="168">
        <v>2500</v>
      </c>
      <c r="F294" s="168"/>
      <c r="G294" s="168">
        <f>SUM(E294:F294)</f>
        <v>2500</v>
      </c>
      <c r="H294" s="168"/>
      <c r="I294" s="168">
        <f>SUM(G294:H294)</f>
        <v>2500</v>
      </c>
      <c r="J294" s="168"/>
      <c r="K294" s="168">
        <f>SUM(I294:J294)</f>
        <v>2500</v>
      </c>
      <c r="L294" s="168">
        <v>-2500</v>
      </c>
      <c r="M294" s="168">
        <f>SUM(K294:L294)</f>
        <v>0</v>
      </c>
      <c r="N294" s="168"/>
      <c r="O294" s="168">
        <f>SUM(M294:N294)</f>
        <v>0</v>
      </c>
      <c r="P294" s="168"/>
      <c r="Q294" s="168">
        <f>SUM(O294:P294)</f>
        <v>0</v>
      </c>
      <c r="R294" s="168"/>
      <c r="S294" s="168">
        <f t="shared" si="164"/>
        <v>0</v>
      </c>
    </row>
    <row r="295" spans="1:19" s="22" customFormat="1" ht="21.75" customHeight="1">
      <c r="A295" s="166"/>
      <c r="B295" s="166"/>
      <c r="C295" s="166"/>
      <c r="D295" s="167" t="s">
        <v>445</v>
      </c>
      <c r="E295" s="168">
        <v>4140</v>
      </c>
      <c r="F295" s="168"/>
      <c r="G295" s="168">
        <f>SUM(E295:F295)</f>
        <v>4140</v>
      </c>
      <c r="H295" s="168"/>
      <c r="I295" s="168">
        <f>SUM(G295:H295)</f>
        <v>4140</v>
      </c>
      <c r="J295" s="168"/>
      <c r="K295" s="168">
        <f>SUM(I295:J295)</f>
        <v>4140</v>
      </c>
      <c r="L295" s="168"/>
      <c r="M295" s="168">
        <f>SUM(K295:L295)</f>
        <v>4140</v>
      </c>
      <c r="N295" s="168"/>
      <c r="O295" s="168">
        <f>SUM(M295:N295)</f>
        <v>4140</v>
      </c>
      <c r="P295" s="168"/>
      <c r="Q295" s="168">
        <f>SUM(O295:P295)</f>
        <v>4140</v>
      </c>
      <c r="R295" s="168"/>
      <c r="S295" s="168">
        <f t="shared" si="164"/>
        <v>4140</v>
      </c>
    </row>
    <row r="296" spans="1:19" s="22" customFormat="1" ht="21.75" customHeight="1">
      <c r="A296" s="171"/>
      <c r="B296" s="171"/>
      <c r="C296" s="171">
        <v>6060</v>
      </c>
      <c r="D296" s="175" t="s">
        <v>120</v>
      </c>
      <c r="E296" s="165"/>
      <c r="F296" s="165"/>
      <c r="G296" s="165"/>
      <c r="H296" s="165"/>
      <c r="I296" s="165">
        <f aca="true" t="shared" si="165" ref="I296:S296">SUM(I297)</f>
        <v>0</v>
      </c>
      <c r="J296" s="165">
        <f t="shared" si="165"/>
        <v>4400</v>
      </c>
      <c r="K296" s="165">
        <f t="shared" si="165"/>
        <v>4400</v>
      </c>
      <c r="L296" s="165">
        <f t="shared" si="165"/>
        <v>0</v>
      </c>
      <c r="M296" s="165">
        <f t="shared" si="165"/>
        <v>4400</v>
      </c>
      <c r="N296" s="165">
        <f t="shared" si="165"/>
        <v>0</v>
      </c>
      <c r="O296" s="165">
        <f t="shared" si="165"/>
        <v>4400</v>
      </c>
      <c r="P296" s="165">
        <f t="shared" si="165"/>
        <v>0</v>
      </c>
      <c r="Q296" s="165">
        <f t="shared" si="165"/>
        <v>4400</v>
      </c>
      <c r="R296" s="165">
        <f t="shared" si="165"/>
        <v>0</v>
      </c>
      <c r="S296" s="165">
        <f t="shared" si="165"/>
        <v>4400</v>
      </c>
    </row>
    <row r="297" spans="1:19" s="22" customFormat="1" ht="18" customHeight="1">
      <c r="A297" s="166"/>
      <c r="B297" s="166"/>
      <c r="C297" s="166"/>
      <c r="D297" s="182" t="s">
        <v>454</v>
      </c>
      <c r="E297" s="168"/>
      <c r="F297" s="168"/>
      <c r="G297" s="168"/>
      <c r="H297" s="168"/>
      <c r="I297" s="168">
        <v>0</v>
      </c>
      <c r="J297" s="168">
        <v>4400</v>
      </c>
      <c r="K297" s="168">
        <f>SUM(I297:J297)</f>
        <v>4400</v>
      </c>
      <c r="L297" s="168"/>
      <c r="M297" s="168">
        <f>SUM(K297:L297)</f>
        <v>4400</v>
      </c>
      <c r="N297" s="168"/>
      <c r="O297" s="168">
        <f>SUM(M297:N297)</f>
        <v>4400</v>
      </c>
      <c r="P297" s="168"/>
      <c r="Q297" s="168">
        <f>SUM(O297:P297)</f>
        <v>4400</v>
      </c>
      <c r="R297" s="168"/>
      <c r="S297" s="168">
        <f>SUM(Q297:R297)</f>
        <v>4400</v>
      </c>
    </row>
    <row r="298" spans="1:19" s="6" customFormat="1" ht="19.5" customHeight="1">
      <c r="A298" s="183"/>
      <c r="B298" s="183"/>
      <c r="C298" s="183"/>
      <c r="D298" s="184" t="s">
        <v>91</v>
      </c>
      <c r="E298" s="158">
        <f aca="true" t="shared" si="166" ref="E298:Q298">SUM(E7,E42,E50,E59,E108,E117,E143,E160,E211,E274,E139)</f>
        <v>390600</v>
      </c>
      <c r="F298" s="158">
        <f t="shared" si="166"/>
        <v>0</v>
      </c>
      <c r="G298" s="158">
        <f t="shared" si="166"/>
        <v>390600</v>
      </c>
      <c r="H298" s="158">
        <f t="shared" si="166"/>
        <v>0</v>
      </c>
      <c r="I298" s="158">
        <f t="shared" si="166"/>
        <v>390600</v>
      </c>
      <c r="J298" s="158">
        <f t="shared" si="166"/>
        <v>-400</v>
      </c>
      <c r="K298" s="158">
        <f t="shared" si="166"/>
        <v>390200</v>
      </c>
      <c r="L298" s="158">
        <f t="shared" si="166"/>
        <v>0</v>
      </c>
      <c r="M298" s="158">
        <f t="shared" si="166"/>
        <v>390200</v>
      </c>
      <c r="N298" s="158">
        <f t="shared" si="166"/>
        <v>0</v>
      </c>
      <c r="O298" s="158">
        <f t="shared" si="166"/>
        <v>390200</v>
      </c>
      <c r="P298" s="158">
        <f t="shared" si="166"/>
        <v>0</v>
      </c>
      <c r="Q298" s="158">
        <f t="shared" si="166"/>
        <v>390200</v>
      </c>
      <c r="R298" s="158">
        <f>SUM(R7,R42,R50,R59,R108,R117,R143,R160,R211,R274,R139)</f>
        <v>0</v>
      </c>
      <c r="S298" s="158">
        <f>SUM(S7,S42,S50,S59,S108,S117,S143,S160,S211,S274,S139)</f>
        <v>390200</v>
      </c>
    </row>
    <row r="301" spans="7:19" ht="12.75">
      <c r="G301" s="41">
        <f>SUM(E298:F298)</f>
        <v>390600</v>
      </c>
      <c r="I301" s="41">
        <f>SUM(G298:H298)</f>
        <v>390600</v>
      </c>
      <c r="K301" s="41"/>
      <c r="M301" s="41"/>
      <c r="O301" s="41"/>
      <c r="Q301" s="41"/>
      <c r="S301" s="41"/>
    </row>
    <row r="302" spans="5:19" ht="12.75"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</row>
  </sheetData>
  <sheetProtection/>
  <mergeCells count="1">
    <mergeCell ref="A5:S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TOMEK</cp:lastModifiedBy>
  <cp:lastPrinted>2008-11-10T13:28:50Z</cp:lastPrinted>
  <dcterms:created xsi:type="dcterms:W3CDTF">2002-10-21T08:56:44Z</dcterms:created>
  <dcterms:modified xsi:type="dcterms:W3CDTF">2008-11-21T09:34:58Z</dcterms:modified>
  <cp:category/>
  <cp:version/>
  <cp:contentType/>
  <cp:contentStatus/>
</cp:coreProperties>
</file>