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3630" windowHeight="2100" tabRatio="606" activeTab="2"/>
  </bookViews>
  <sheets>
    <sheet name="wydatki 2008 zał 2" sheetId="1" r:id="rId1"/>
    <sheet name="admin.zał 6 " sheetId="2" r:id="rId2"/>
    <sheet name="sołectwa zał. " sheetId="3" r:id="rId3"/>
  </sheets>
  <definedNames>
    <definedName name="_xlnm.Print_Titles" localSheetId="1">'admin.zał 6 '!$7:$7</definedName>
    <definedName name="_xlnm.Print_Titles" localSheetId="2">'sołectwa zał. '!$6:$6</definedName>
    <definedName name="_xlnm.Print_Titles" localSheetId="0">'wydatki 2008 zał 2'!$6:$6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I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K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M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O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Q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S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U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V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-500 soł.Smolarnia</t>
        </r>
      </text>
    </comment>
    <comment ref="W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Y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AA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AC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A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E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G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I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K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M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O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Q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S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U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V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soł Smolarnia</t>
        </r>
      </text>
    </comment>
    <comment ref="W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Y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AA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AC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AE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E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G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I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K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M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O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Q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S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U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W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Y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AA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AC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AE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V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opłata roczna za działi nabyte od LUBMORU</t>
        </r>
      </text>
    </comment>
    <comment ref="V5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-5 soł Stobno</t>
        </r>
      </text>
    </comment>
    <comment ref="V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 soł Stobno</t>
        </r>
      </text>
    </comment>
    <comment ref="X1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14.060 składowanie</t>
        </r>
      </text>
    </comment>
    <comment ref="X1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20.000 zł niewygasające 26.752 zł alkoholowe na monitoring</t>
        </r>
      </text>
    </comment>
    <comment ref="V28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4.880 zmniejszenie i przeniesienie do rozdziału 80195
</t>
        </r>
      </text>
    </comment>
    <comment ref="V3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65.857 zł dot. Woj.. Pracownicy młodociani
4.880 zł program Kapitał Ludzki UE</t>
        </r>
      </text>
    </comment>
    <comment ref="E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G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I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K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M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O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Q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S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U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W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Y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AA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AC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AE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V3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13.050 dot. Woj.. Dodatek do wynagrodzenia dla pracowników socjalnych</t>
        </r>
      </text>
    </comment>
    <comment ref="V3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-636 PPK
</t>
        </r>
      </text>
    </comment>
    <comment ref="V3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1500 MGOPS gmina</t>
        </r>
      </text>
    </comment>
    <comment ref="V37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-800 zł PPK</t>
        </r>
      </text>
    </comment>
    <comment ref="V37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-1.500 MGOPS gmina</t>
        </r>
      </text>
    </comment>
    <comment ref="V37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PPK</t>
        </r>
      </text>
    </comment>
    <comment ref="V38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533 PPK</t>
        </r>
      </text>
    </comment>
    <comment ref="V38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103 PPK</t>
        </r>
      </text>
    </comment>
    <comment ref="T38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140.000 środki własne na dozywianie</t>
        </r>
      </text>
    </comment>
    <comment ref="T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25.000 remont HOW</t>
        </r>
      </text>
    </comment>
    <comment ref="E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G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I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K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M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O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Q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S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U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V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1.500 zł soł. Stobno,
-800 zł soł. Rychlik
</t>
        </r>
      </text>
    </comment>
    <comment ref="W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Y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AA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AC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AE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E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G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I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K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M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O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Q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S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U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V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zł soł. Rychlik
-1500 soł Stobno</t>
        </r>
      </text>
    </comment>
    <comment ref="W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Y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AA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AC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AE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V45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250 soł. Rychlik,
300 soł. Radolin,
620 soł. Siedlisko
</t>
        </r>
      </text>
    </comment>
    <comment ref="V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- 250 zł soł Rychlik,
-300 zł soł. Radolin,
-620 zł soł. Siedlisko
</t>
        </r>
      </text>
    </comment>
    <comment ref="E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G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I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K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M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O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Q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S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U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W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Y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AA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AC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AE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E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G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I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K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M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O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Q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S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U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W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Y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AA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AC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AE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E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G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I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K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M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O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Q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S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U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W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Y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AA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AC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AE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V50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2.500 soł. Runowo
</t>
        </r>
      </text>
    </comment>
    <comment ref="E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G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I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K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M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O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Q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S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U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V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-.2500 soł. Runowo</t>
        </r>
      </text>
    </comment>
    <comment ref="W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Y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AA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AC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AE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A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AG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AG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AG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AG4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AG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AG4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AG49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AG50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AG50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AI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AI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AI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AI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AH501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 por.Starostwo
</t>
        </r>
      </text>
    </comment>
    <comment ref="AH50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 zł poroz. Straostwo
</t>
        </r>
      </text>
    </comment>
    <comment ref="AK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AK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AK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AK3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</commentList>
</comments>
</file>

<file path=xl/sharedStrings.xml><?xml version="1.0" encoding="utf-8"?>
<sst xmlns="http://schemas.openxmlformats.org/spreadsheetml/2006/main" count="1213" uniqueCount="397">
  <si>
    <t>Załącznik nr 2 do uchwały Nr  XIX/109/08</t>
  </si>
  <si>
    <t>Rady Miejskiej Trzcianki z dnia 7 kwietnia 2008 r.zmieniający</t>
  </si>
  <si>
    <t>wydatki na zakup i objęcie akcji, wniesienie wkładów do spółek prawa handlowego oraz na uzupełnienie funduszy statutowych banków państwowych i innych instytucji finansowych</t>
  </si>
  <si>
    <t>Załącznik nr 2 do Zarządzenia Nr 81/08</t>
  </si>
  <si>
    <t xml:space="preserve">Rady Miejskiej Trzcianki z dnia 20 maja 2008 r. </t>
  </si>
  <si>
    <t>Załącznik Nr 5 do Zarządzenia Nr 81/08</t>
  </si>
  <si>
    <t>Burmistrza Trzcianki z dnia 27 czerwca 2008 r. zmieniający</t>
  </si>
  <si>
    <t>Leśnictwo</t>
  </si>
  <si>
    <t>dział</t>
  </si>
  <si>
    <t>udziały ZIK</t>
  </si>
  <si>
    <t>akcyza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</si>
  <si>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</si>
  <si>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</si>
  <si>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</si>
  <si>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</si>
  <si>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</si>
  <si>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</si>
  <si>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</si>
  <si>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</si>
  <si>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</si>
  <si>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pozostałe odsetki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</si>
  <si>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</si>
  <si>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</si>
  <si>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</si>
  <si>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</si>
  <si>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</si>
  <si>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</si>
  <si>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</si>
  <si>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</si>
  <si>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</si>
  <si>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</si>
  <si>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</si>
  <si>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straż miejska</t>
  </si>
  <si>
    <t>drogi publiczne wojewódzkie</t>
  </si>
  <si>
    <t>dotacja celowa na pomoc finansową udzieloną między jednostkami samorządu terytorialnego na dofinansowanie własnych zadań inwestycyjnych i zakupów inwestycyjnych</t>
  </si>
  <si>
    <t>Komendy powiatowe Policji</t>
  </si>
  <si>
    <t>75023.4270</t>
  </si>
  <si>
    <t>70095.6050</t>
  </si>
  <si>
    <t>podatek od nieruchomości</t>
  </si>
  <si>
    <t>758</t>
  </si>
  <si>
    <t>Różne rozliczenia</t>
  </si>
  <si>
    <t>Burmistrza Trzcianki z dnia 18 lutego 2008 r.</t>
  </si>
  <si>
    <t xml:space="preserve">Rady Miejskiej Trzcianki z dnia 14 lutego 2008 r. </t>
  </si>
  <si>
    <t>szkoły podstawowe</t>
  </si>
  <si>
    <t>gimnazja</t>
  </si>
  <si>
    <t>Ochrona zdrowia</t>
  </si>
  <si>
    <t>przeciwdziałanie alkoholizmowi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</si>
  <si>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</si>
  <si>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</si>
  <si>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</si>
  <si>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</si>
  <si>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</si>
  <si>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</si>
  <si>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</si>
  <si>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</si>
  <si>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</si>
  <si>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</si>
  <si>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</si>
  <si>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</si>
  <si>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</si>
  <si>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</si>
  <si>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</si>
  <si>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</si>
  <si>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</si>
  <si>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</si>
  <si>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</si>
  <si>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</si>
  <si>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</si>
  <si>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</si>
  <si>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</si>
  <si>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</si>
  <si>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</si>
  <si>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</si>
  <si>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</si>
  <si>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</si>
  <si>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</si>
  <si>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</si>
  <si>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</si>
  <si>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</si>
  <si>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</si>
  <si>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</si>
  <si>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</si>
  <si>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</si>
  <si>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</si>
  <si>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</si>
  <si>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</si>
  <si>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</si>
  <si>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</si>
  <si>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</si>
  <si>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Rady Miejskiej Trzcianki z dnia 20 maja 2008 r.</t>
  </si>
  <si>
    <t>Burmistrza Trzcianki z dnia 27 czerwca 2008 r.zmieniający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</si>
  <si>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</si>
  <si>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</si>
  <si>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</si>
  <si>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</si>
  <si>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</si>
  <si>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</si>
  <si>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</si>
  <si>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</si>
  <si>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</si>
  <si>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</si>
  <si>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</si>
  <si>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</si>
  <si>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</si>
  <si>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</si>
  <si>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</si>
  <si>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</si>
  <si>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</si>
  <si>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</si>
  <si>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</si>
  <si>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</si>
  <si>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</si>
  <si>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</si>
  <si>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</si>
  <si>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</si>
  <si>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</si>
  <si>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</si>
  <si>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</si>
  <si>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</si>
  <si>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</si>
  <si>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</si>
  <si>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</si>
  <si>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</si>
  <si>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</si>
  <si>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</si>
  <si>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</si>
  <si>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</si>
  <si>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</si>
  <si>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</si>
  <si>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</si>
  <si>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</si>
  <si>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</si>
  <si>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</si>
  <si>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</si>
  <si>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</si>
  <si>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</si>
  <si>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</si>
  <si>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</si>
  <si>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</si>
  <si>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</si>
  <si>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</si>
  <si>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</si>
  <si>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</si>
  <si>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</si>
  <si>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</si>
  <si>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</si>
  <si>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</si>
  <si>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</si>
  <si>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</si>
  <si>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</si>
  <si>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</si>
  <si>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Załącznik Nr 5 do uchwały Nr XVII/102/07</t>
  </si>
  <si>
    <t>Załącznik Nr 1 do zarządzenia Nr 24/08</t>
  </si>
  <si>
    <t>pobór podatków, opłat i niepodatkowych należności budżetowych</t>
  </si>
  <si>
    <t>Towarzystwa budownictwa społecznego</t>
  </si>
  <si>
    <t>koszty postępowania sądowego i prokuratorskiego</t>
  </si>
  <si>
    <t xml:space="preserve">dotacja podmiotowa z budżetu dla niepublicznej jednostki systemu oświaty </t>
  </si>
  <si>
    <t xml:space="preserve">Pomoc społeczna </t>
  </si>
  <si>
    <t>Pomoc społeczna</t>
  </si>
  <si>
    <t>Załącznik Nr 2</t>
  </si>
  <si>
    <t>dotacja podmiotowa z budżetu dla samorządowej instytucji kultury</t>
  </si>
  <si>
    <t xml:space="preserve"> wydatki osobowe niezaliczone do wynagrodzeń</t>
  </si>
  <si>
    <t>wynagrodzenia bezosobowe</t>
  </si>
  <si>
    <t>wynagrodzenie bezosobowe</t>
  </si>
  <si>
    <t>instytucje kultury fizycznej</t>
  </si>
  <si>
    <t>zmiany</t>
  </si>
  <si>
    <t>zakup usług zdrowotnych</t>
  </si>
  <si>
    <t>dopłaty w spółkach prawa handlowego</t>
  </si>
  <si>
    <t>plan po 
zmianach</t>
  </si>
  <si>
    <t>różne jednostki obsługi gospodarki mieszkaniowej</t>
  </si>
  <si>
    <t>świadczenia rodzinne oraz składki na ubezpieczenia emerytalne i rentowe z ubezpieczenia społecznego</t>
  </si>
  <si>
    <t>plan po zmianach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</si>
  <si>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</si>
  <si>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</si>
  <si>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</si>
  <si>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</si>
  <si>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</si>
  <si>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</si>
  <si>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            </t>
  </si>
  <si>
    <t>wydatki osobowe niezaliczone do wynagrodzeń</t>
  </si>
  <si>
    <t>zakup usług medycznych</t>
  </si>
  <si>
    <t>składki na fundusz pracy</t>
  </si>
  <si>
    <t>zakup usług dostepu do sieci interet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</si>
  <si>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</si>
  <si>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</si>
  <si>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</si>
  <si>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 xml:space="preserve">do Uchwały Nr </t>
  </si>
  <si>
    <t xml:space="preserve">z dnia </t>
  </si>
  <si>
    <t>opłaty z tytułu zakupu usług telekomunikacyjnych telefonii stacjonarnej</t>
  </si>
  <si>
    <t>zakup materiałów papierniczych do sprzętu drukarskiego i urządzeń kesrograficznych</t>
  </si>
  <si>
    <t>Załącznik nr 2 do uchwały Nr XXI/120/08</t>
  </si>
  <si>
    <t>Rady Miejskiej Trzcianki z dnia 20 maja 2008 r.zmieniający</t>
  </si>
  <si>
    <t>Załącznik Nr 6 do Uchwały Nr XXI/120/08</t>
  </si>
  <si>
    <t>Rady Miejskiej Trzcianki z dnia 20 maja 2008 r. zmieniający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</si>
  <si>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</si>
  <si>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</si>
  <si>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</si>
  <si>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</si>
  <si>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Rady Miejskiej Trzcianki z dnia 14 lutego 2008 r.</t>
  </si>
  <si>
    <t>Burmistrza Trzcianki z dnia 18 lutego 2008 r.zmieniający</t>
  </si>
  <si>
    <t>Rady Miejskiej Trzcianki z dnia 21.12.2007 r.</t>
  </si>
  <si>
    <t>Wydatki związane z realizacją zadań z zakresu administracji rządowej i innych zadań zleconych ustawami - plan na rok 2008</t>
  </si>
  <si>
    <t>obrona cywilna</t>
  </si>
  <si>
    <t>opłaty za administrowanie i czynsze za budynki, lokale i pomieszczenia garażowe</t>
  </si>
  <si>
    <t>01095</t>
  </si>
  <si>
    <t>MGOPS</t>
  </si>
  <si>
    <t>Kręta i Żwirowa</t>
  </si>
  <si>
    <t>Konopnickiej</t>
  </si>
  <si>
    <t>Mickiewicza</t>
  </si>
  <si>
    <t>oświetlenie Sikor 27 Stycznia</t>
  </si>
  <si>
    <t>Broniewskiego Staszica</t>
  </si>
  <si>
    <t>70095.6</t>
  </si>
  <si>
    <t>rezerwa</t>
  </si>
  <si>
    <t>stołówka</t>
  </si>
  <si>
    <t>platforma</t>
  </si>
  <si>
    <t>czynsze</t>
  </si>
  <si>
    <t>dodatki</t>
  </si>
  <si>
    <t>termomoder.</t>
  </si>
  <si>
    <t>rezrwa</t>
  </si>
  <si>
    <t>Pozostałe zadania w zakresie polityki społecznej</t>
  </si>
  <si>
    <t xml:space="preserve">rehabilitacja zawodowa i społeczna </t>
  </si>
  <si>
    <t>Rady Miejskiej Trzcianki z dnia 3 września 2008 r. zmieniający</t>
  </si>
  <si>
    <t>Rady Miejskiej Trzcianki z dnia 3 września 2008 r.</t>
  </si>
  <si>
    <t xml:space="preserve">  </t>
  </si>
  <si>
    <t>Rady Miejskiej Trzcianki z dnia 3 września 2008 r.zmieniający</t>
  </si>
  <si>
    <t>Załącznik nr 2 do Uchwały Nr XXIII/136/08</t>
  </si>
  <si>
    <t>Załącznik Nr 6 do Uchwały Nr XXIII/136/08</t>
  </si>
  <si>
    <t>mzg</t>
  </si>
  <si>
    <t>01038</t>
  </si>
  <si>
    <t>rozwój obszarów wiejskich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</si>
  <si>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</si>
  <si>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</si>
  <si>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</si>
  <si>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</si>
  <si>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Rady Miejskiej Trzcianki z dnia 28 kwietnia 2008 r.</t>
  </si>
  <si>
    <t>dotacaj celowa na pomoc finansową udzielaną między jednostkami samorzadu terytorialnego na dofinansowanie własnych zadań bieżących</t>
  </si>
  <si>
    <t>przedszkola</t>
  </si>
  <si>
    <t>01041</t>
  </si>
  <si>
    <t>Program Rozwoju Obszarów Wiejskich 2007 - 2013</t>
  </si>
  <si>
    <t>składki na ubezpieczenie zdrowotne opłacane za osoby pobierające niektóre świadczenia z pomocy społecznej, niektóre świadczenia rodzinne oraz za osoby uczestniczące w zajęciach w centrum integracji społecznej</t>
  </si>
  <si>
    <t>Burmistrza Trzcianki z dnia 27 czerwca 2008 r.</t>
  </si>
  <si>
    <t xml:space="preserve">Burmistrza Trzcianki z dnia 27 czerwca 2008 r. </t>
  </si>
  <si>
    <t>składki na ubezpieczenie zdrowotne opłacane za osoby pobierające niektóre świadczenia z pomocy społecznej, niektóre świadczenia rodzinne oraz za osoby uczestniczące w zajęciach 
w centrum integracji społecznej</t>
  </si>
  <si>
    <t>świadczenia rodzinne, zaliczka alimentacyjna oraz składki na ubezpieczenia emerytalne i rentowe 
z ubezpieczenia społecznego</t>
  </si>
  <si>
    <t>Dochody od osób prawnych, od osób fizycznych i od innych jednostek nieposiadających osobowości prawnej oraz wydatki związane 
z ich poborem</t>
  </si>
  <si>
    <t>Rady Miejskiej Trzcianki z dnia 7 kwietnia 2008 r.</t>
  </si>
  <si>
    <t>Komendy powiatowe Państwowej Straży Pożarnej</t>
  </si>
  <si>
    <t>Załącznik Nr 2 do uchwały Nr XVII/102/07</t>
  </si>
  <si>
    <t>Rady Miejskiej Trzcianki z dnia 21 grudnia 2007 r.</t>
  </si>
  <si>
    <t>odsetki i dyskonto od krajowych skarbowych papierów wartościowych,   kredytów i pożyczek oraz innych instrumentów finansowych, związanych z obsługą długu krajowego</t>
  </si>
  <si>
    <t>Załącznik nr 2 do uchwały Nr XX/116/08</t>
  </si>
  <si>
    <t>Rady Miejskiej Trzcianki z dnia 28 kwietnia 2008 r.zmieniający</t>
  </si>
  <si>
    <t>zmiana</t>
  </si>
  <si>
    <t>rezerwa na inwestycje i zakupy inwestycyjne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</si>
  <si>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</si>
  <si>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</si>
  <si>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inne formy pomocy dla uczniów</t>
  </si>
  <si>
    <t>80195.4210</t>
  </si>
  <si>
    <t>zakup usług pzostałych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</si>
  <si>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</si>
  <si>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</si>
  <si>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Rady Miejskiej Trzcianki z dnia 14 lutego 2008 r.zmieniający</t>
  </si>
  <si>
    <t>Załącznik Nr 3 do Uchwały Nr XVIII/103/08</t>
  </si>
  <si>
    <t>Załącznik Nr 7 do Uchwały Nr XVIII/103/08</t>
  </si>
  <si>
    <t>Rady Miejskiej Trzcianki z dnia 14 lutego 2008 r. zmieniający</t>
  </si>
  <si>
    <t xml:space="preserve">Wydatki  budżetu gminy Trzcianka - plan po zmianach na rok 2008 </t>
  </si>
  <si>
    <t>drogi publiczne powiatowe</t>
  </si>
  <si>
    <t>60016.60014.6300</t>
  </si>
  <si>
    <t>90001.4300n deszczówka</t>
  </si>
  <si>
    <t>zakup akcesoriów komputerowych, 
w tym programów  i licencji</t>
  </si>
  <si>
    <t>zakup akcesoriów komputerowych, 
w tym programów i licencji</t>
  </si>
  <si>
    <t>zakup usług obejmujących wykonanie ekspertyz, analiz i opinii</t>
  </si>
  <si>
    <t>do Uchwały Nr XVII/102/07</t>
  </si>
  <si>
    <t>z dnia 21 grudnia 2007 r.</t>
  </si>
  <si>
    <t xml:space="preserve">Burmistrza Trzcianki z dnia 3 marca 2008 r. </t>
  </si>
  <si>
    <t xml:space="preserve">Załącznik do zarządzenia Nr 39/08 </t>
  </si>
  <si>
    <t>podatek od towarów i usług (VAT)</t>
  </si>
  <si>
    <t>Burmistrza Trzcianki z dnia 25 marca 2008 r.zmieniający</t>
  </si>
  <si>
    <t>Burmistrza Trzcianki z dnia 3 marca 2008 r.</t>
  </si>
  <si>
    <t>dotacje celowe przekazane dla powiatu na inwestycjie i zakupy inwestycyjne realizowane na podstawie porozumień (umów) między jednostkami samorządu terytorialnego)</t>
  </si>
  <si>
    <t xml:space="preserve">Załącznik Nr 2 do zarządzenia Nr 34/08 </t>
  </si>
  <si>
    <t>kary i odszkodowania wypłacane na rzecz osób fizycznych</t>
  </si>
  <si>
    <t>Burmistrza Trzcianki z dnia 3 marca 2008 r. zmieniający</t>
  </si>
  <si>
    <t>Załącznik Nr 5 do Zarządzenia Nr 34/08</t>
  </si>
  <si>
    <t>Burmistrza Trzcianki z dnia 3 marca 2008 r.zmieniający</t>
  </si>
  <si>
    <t>75011.2010</t>
  </si>
  <si>
    <t>dotacja podmiotowa z budżetu dla publicznej jednostki systemu oświaty prowadzonej przez osobe prawną inną niż jadnostka samorządu terytorialnego lub przez osobę fizyczną</t>
  </si>
  <si>
    <t>80110.2590</t>
  </si>
  <si>
    <t>80101.2540</t>
  </si>
  <si>
    <t>75412.</t>
  </si>
  <si>
    <t>75405,policja</t>
  </si>
  <si>
    <t>rezerwa dla policji</t>
  </si>
  <si>
    <t>75495.6050 monitorin z GKRPA wypocz.</t>
  </si>
  <si>
    <t>zmiana w oświacie</t>
  </si>
  <si>
    <t>90001.6050</t>
  </si>
  <si>
    <t>90015.4300</t>
  </si>
  <si>
    <t>90015.6050</t>
  </si>
  <si>
    <t>admin.75075,75412,75647</t>
  </si>
  <si>
    <t>rem.szkół</t>
  </si>
  <si>
    <t>rem.szkół.subw.</t>
  </si>
  <si>
    <t>skłądowanie admin.spadek</t>
  </si>
  <si>
    <t>rem.szkół zlecenie</t>
  </si>
  <si>
    <t>rem.gimn.</t>
  </si>
  <si>
    <t>zieleń</t>
  </si>
  <si>
    <t>rezerwa inw.</t>
  </si>
  <si>
    <t>zbiórka padłych zwierząt</t>
  </si>
  <si>
    <t>85212.świadczenia</t>
  </si>
  <si>
    <t>ZIK</t>
  </si>
  <si>
    <t>zmniejszenie SP 2</t>
  </si>
  <si>
    <t>80103 zerówka</t>
  </si>
  <si>
    <t>70095.odszkod.</t>
  </si>
  <si>
    <t>80146.2510</t>
  </si>
  <si>
    <t>placówki wychowania pozaszkolnego</t>
  </si>
  <si>
    <t>noc świętojańska 92109.4280</t>
  </si>
  <si>
    <t>85407 remont HOW</t>
  </si>
  <si>
    <t>020</t>
  </si>
  <si>
    <t>02095</t>
  </si>
  <si>
    <t>Rady Miejskiej Trzcianki z dnia 9 października 2008 r. zmieniający</t>
  </si>
  <si>
    <t>Rady Miejskiej Trzcianki z dnia 9 października 2008 r.zmieniający</t>
  </si>
  <si>
    <t>Załącznik nr 2 do Uchwały Nr XXIV/157/08</t>
  </si>
  <si>
    <t>Załącznik Nr 6 do Uchwały Nr XXIV/157/08</t>
  </si>
  <si>
    <t>Rady Miejskiej Trzcianki z dnia 9 października 2008 r.</t>
  </si>
  <si>
    <t xml:space="preserve">Rady Miejskiej Trzcianki z dnia 9 października 2008 r. </t>
  </si>
  <si>
    <t>Załącznik nr 6 do uchwały Nr XIX/109/08</t>
  </si>
  <si>
    <t>Załącznik nr 7 do uchwały Nr XX/116/08</t>
  </si>
  <si>
    <t>Załącznik nr 8 do uchwały Nr XXI/120/08</t>
  </si>
  <si>
    <t>Załącznik nr 7 do Zarządzenia Nr 81/08</t>
  </si>
  <si>
    <t>Załącznik nr 8 do Uchwały Nr XXIII/136/08</t>
  </si>
  <si>
    <t>Załącznik nr 8 do Uchwały Nr XXIV/157/08</t>
  </si>
  <si>
    <t>Załącznik nr 8 do Uchwały Nr XVII/102/07</t>
  </si>
  <si>
    <t>Wydatki jednostek pomocniczych gminy - plan na rok 2008</t>
  </si>
  <si>
    <t>plan 
po zmianach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</si>
  <si>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</si>
  <si>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</si>
  <si>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</si>
  <si>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</si>
  <si>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</si>
  <si>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</si>
  <si>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</si>
  <si>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</si>
  <si>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</si>
  <si>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</si>
  <si>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</si>
  <si>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</si>
  <si>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</si>
  <si>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</si>
  <si>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</si>
  <si>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</si>
  <si>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</si>
  <si>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</si>
  <si>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4210</t>
  </si>
  <si>
    <t>Sołectwo Teresin</t>
  </si>
  <si>
    <t>Sołectwo Wrząca</t>
  </si>
  <si>
    <t>zakup materiałów i wypozażenia</t>
  </si>
  <si>
    <t>zakup usług dostępu do sieci internet</t>
  </si>
  <si>
    <t>kolonie i obozy oraz inne formy wypoczynku dzieci i młodzieży</t>
  </si>
  <si>
    <t xml:space="preserve">Sołectwo Stobno </t>
  </si>
  <si>
    <t>4300</t>
  </si>
  <si>
    <t>SołectwoTeresin</t>
  </si>
  <si>
    <t>4260</t>
  </si>
  <si>
    <t>sołectwo Biała</t>
  </si>
  <si>
    <t>85415. wł. Stypen.</t>
  </si>
  <si>
    <t>85415.wł. Stypend.</t>
  </si>
  <si>
    <t>80195. wł. Kom.kwalif.</t>
  </si>
  <si>
    <t>85214.odszk.rolnikom</t>
  </si>
  <si>
    <t>01095. akcyza</t>
  </si>
  <si>
    <t>85395.program MGOPS UE</t>
  </si>
  <si>
    <t xml:space="preserve">Załącznik nr 2 do Zarządzenia Nr 136/08 </t>
  </si>
  <si>
    <t>Burmistrza Trzcianki z dnia 4 listopada 2008 r.zmieniający</t>
  </si>
  <si>
    <t xml:space="preserve">Załącznik Nr 4 do Zarządzenia Nr 136/08 </t>
  </si>
  <si>
    <t>Burmistrza Trzcianki z dnia 4 listopada 2008 r. zmieniający</t>
  </si>
  <si>
    <t xml:space="preserve">Załącznik nr 5 do Zarządzenia Nr 136/08 </t>
  </si>
  <si>
    <t>Burmistrza Trzcianki z dnia 4 listopada 2008 r.</t>
  </si>
  <si>
    <t xml:space="preserve">Burmistrza Trzcianki z dnia 4 listopada 2008 r. </t>
  </si>
  <si>
    <t>Rady Miejskiej Trzcianki z dnia 27 listopada 2008 r.zmieniający</t>
  </si>
  <si>
    <t>Załącznik nr 2 do uchwały Nr XXV/158/08</t>
  </si>
  <si>
    <t>Rady Miejskiej Trzcianki z dnia 27 listopada 2008 r. zmieniający</t>
  </si>
  <si>
    <t xml:space="preserve">Załącznik Nr 6 do Zarządzenia Nr XXV/158/08 </t>
  </si>
  <si>
    <t>Burmistrza Trzcianki z dnia 27 listopada 2008 r. zmieniający</t>
  </si>
  <si>
    <t>Załącznik nr 8 do Uchwała Nr XXV/158/08</t>
  </si>
  <si>
    <t>Rady Miejskiej Trzcianki z dnia 8 grudnia 2008 r.zmieniający</t>
  </si>
  <si>
    <t>Rady Miejskiej Trzcianki z dnia 27 listopada 2008 r.</t>
  </si>
  <si>
    <t xml:space="preserve">Załącznik Nr 6 do Uchwały Nr XXV/158/08 </t>
  </si>
  <si>
    <t>Załącznik do zarządzenia Nr 153/08</t>
  </si>
  <si>
    <t>Rady Miejskiej Trzcianki z dnia 8 grudnia 2008 r.</t>
  </si>
  <si>
    <t>Rady Miejskiej Trzcianki z dnia 18 grudnia 2008 r.zmieniający</t>
  </si>
  <si>
    <t>Rady Miejskiej Trzcianki z dnia 18 grudnia 2008 r. zmieniający</t>
  </si>
  <si>
    <t>Załącznik nr 8 do Uchwała Nr XXVI/173/08</t>
  </si>
  <si>
    <t>Załącznik Nr 2 do Uchwały Nr XXVI/173/08</t>
  </si>
  <si>
    <t>Rady Miejskiej Trzcianki z dnia 18 grudnia 2008 r.</t>
  </si>
  <si>
    <t>Burmistrza Trzcianki z dnia 30 grudnia 2008 r.zmieniający</t>
  </si>
  <si>
    <t>Burmistrza Trzcianki z dnia 30 grudnia 2008 r. zmieniający</t>
  </si>
  <si>
    <t xml:space="preserve">Załącznik Nr 2 do Zarządzenia Nr 161/08 </t>
  </si>
  <si>
    <t>Załącznik Nr 1 do zarządzenie Nr 161/08</t>
  </si>
  <si>
    <t xml:space="preserve">plan 
</t>
  </si>
  <si>
    <t xml:space="preserve">Rady Miejskiej Trzcianki z dnia 18 grudnia 2008 r. </t>
  </si>
  <si>
    <t>Załącznik nr 3 do zarządzenia nr 161/08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</si>
</sst>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5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 indent="1"/>
    </xf>
    <xf numFmtId="4" fontId="3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indent="1"/>
    </xf>
    <xf numFmtId="4" fontId="2" fillId="0" borderId="11" xfId="0" applyNumberFormat="1" applyFont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vertical="center"/>
    </xf>
    <xf numFmtId="4" fontId="2" fillId="34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/>
    </xf>
    <xf numFmtId="0" fontId="0" fillId="0" borderId="0" xfId="52" applyFont="1" applyAlignment="1">
      <alignment horizontal="left" vertical="center" indent="1"/>
      <protection/>
    </xf>
    <xf numFmtId="0" fontId="0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Font="1" applyAlignment="1">
      <alignment wrapText="1"/>
      <protection/>
    </xf>
    <xf numFmtId="4" fontId="2" fillId="0" borderId="0" xfId="52" applyNumberFormat="1" applyFont="1" applyAlignment="1">
      <alignment vertical="center"/>
      <protection/>
    </xf>
    <xf numFmtId="4" fontId="2" fillId="0" borderId="0" xfId="52" applyNumberFormat="1" applyFont="1" applyAlignment="1">
      <alignment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 quotePrefix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 indent="1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11" xfId="52" applyFont="1" applyBorder="1" applyAlignment="1" quotePrefix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vertical="center" wrapText="1" indent="1"/>
      <protection/>
    </xf>
    <xf numFmtId="0" fontId="2" fillId="0" borderId="11" xfId="52" applyFont="1" applyBorder="1" applyAlignment="1" quotePrefix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left" vertical="center" wrapText="1" indent="1"/>
      <protection/>
    </xf>
    <xf numFmtId="4" fontId="2" fillId="0" borderId="11" xfId="52" applyNumberFormat="1" applyFont="1" applyFill="1" applyBorder="1" applyAlignment="1">
      <alignment horizontal="right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left" vertical="center" wrapText="1" indent="2"/>
      <protection/>
    </xf>
    <xf numFmtId="4" fontId="7" fillId="0" borderId="11" xfId="52" applyNumberFormat="1" applyFont="1" applyFill="1" applyBorder="1" applyAlignment="1">
      <alignment horizontal="right" vertic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left" vertical="center" wrapText="1" indent="2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 quotePrefix="1">
      <alignment horizontal="center" vertical="center" wrapText="1"/>
      <protection/>
    </xf>
    <xf numFmtId="0" fontId="6" fillId="0" borderId="11" xfId="52" applyFont="1" applyBorder="1" applyAlignment="1" quotePrefix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 indent="2"/>
      <protection/>
    </xf>
    <xf numFmtId="0" fontId="2" fillId="0" borderId="11" xfId="52" applyFont="1" applyBorder="1" applyAlignment="1">
      <alignment horizontal="left" vertical="center" inden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2" fillId="0" borderId="11" xfId="52" applyFont="1" applyBorder="1" applyAlignment="1">
      <alignment horizontal="left" vertical="center" wrapText="1" indent="2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 quotePrefix="1">
      <alignment horizontal="center" vertical="center" wrapText="1"/>
      <protection/>
    </xf>
    <xf numFmtId="0" fontId="7" fillId="0" borderId="12" xfId="52" applyFont="1" applyBorder="1" applyAlignment="1">
      <alignment horizontal="left" vertical="center" wrapText="1" indent="2"/>
      <protection/>
    </xf>
    <xf numFmtId="0" fontId="4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0" fillId="0" borderId="11" xfId="0" applyNumberFormat="1" applyFont="1" applyFill="1" applyBorder="1" applyAlignment="1">
      <alignment vertical="center"/>
    </xf>
    <xf numFmtId="4" fontId="51" fillId="0" borderId="11" xfId="52" applyNumberFormat="1" applyFont="1" applyFill="1" applyBorder="1" applyAlignment="1">
      <alignment horizontal="right" vertical="center"/>
      <protection/>
    </xf>
    <xf numFmtId="4" fontId="50" fillId="0" borderId="11" xfId="52" applyNumberFormat="1" applyFont="1" applyFill="1" applyBorder="1" applyAlignment="1">
      <alignment horizontal="right" vertical="center"/>
      <protection/>
    </xf>
    <xf numFmtId="0" fontId="50" fillId="33" borderId="11" xfId="0" applyFont="1" applyFill="1" applyBorder="1" applyAlignment="1" quotePrefix="1">
      <alignment horizontal="center" vertical="center" wrapText="1"/>
    </xf>
    <xf numFmtId="0" fontId="50" fillId="0" borderId="0" xfId="0" applyFont="1" applyAlignment="1">
      <alignment/>
    </xf>
    <xf numFmtId="0" fontId="50" fillId="33" borderId="12" xfId="0" applyFont="1" applyFill="1" applyBorder="1" applyAlignment="1" quotePrefix="1">
      <alignment horizontal="center" vertical="center" wrapText="1"/>
    </xf>
    <xf numFmtId="0" fontId="8" fillId="0" borderId="14" xfId="52" applyFont="1" applyBorder="1" applyAlignment="1">
      <alignment/>
      <protection/>
    </xf>
    <xf numFmtId="0" fontId="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3"/>
  <sheetViews>
    <sheetView zoomScalePageLayoutView="0" workbookViewId="0" topLeftCell="A1">
      <selection activeCell="AJ42" sqref="AJ42"/>
    </sheetView>
  </sheetViews>
  <sheetFormatPr defaultColWidth="9.00390625" defaultRowHeight="12.75"/>
  <cols>
    <col min="1" max="1" width="4.375" style="4" customWidth="1"/>
    <col min="2" max="2" width="7.25390625" style="4" bestFit="1" customWidth="1"/>
    <col min="3" max="3" width="4.375" style="4" bestFit="1" customWidth="1"/>
    <col min="4" max="4" width="35.125" style="4" customWidth="1"/>
    <col min="5" max="5" width="17.125" style="18" hidden="1" customWidth="1"/>
    <col min="6" max="6" width="11.875" style="18" hidden="1" customWidth="1"/>
    <col min="7" max="8" width="0.12890625" style="18" hidden="1" customWidth="1"/>
    <col min="9" max="9" width="39.625" style="18" hidden="1" customWidth="1"/>
    <col min="10" max="10" width="10.375" style="18" hidden="1" customWidth="1"/>
    <col min="11" max="11" width="15.00390625" style="18" hidden="1" customWidth="1"/>
    <col min="12" max="12" width="9.875" style="18" hidden="1" customWidth="1"/>
    <col min="13" max="13" width="40.75390625" style="18" hidden="1" customWidth="1"/>
    <col min="14" max="14" width="8.375" style="18" hidden="1" customWidth="1"/>
    <col min="15" max="15" width="12.25390625" style="18" hidden="1" customWidth="1"/>
    <col min="16" max="16" width="11.25390625" style="18" hidden="1" customWidth="1"/>
    <col min="17" max="17" width="44.375" style="18" hidden="1" customWidth="1"/>
    <col min="18" max="18" width="9.875" style="18" hidden="1" customWidth="1"/>
    <col min="19" max="19" width="41.75390625" style="18" hidden="1" customWidth="1"/>
    <col min="20" max="20" width="11.25390625" style="18" hidden="1" customWidth="1"/>
    <col min="21" max="21" width="42.875" style="18" hidden="1" customWidth="1"/>
    <col min="22" max="22" width="9.25390625" style="18" hidden="1" customWidth="1"/>
    <col min="23" max="23" width="44.375" style="18" hidden="1" customWidth="1"/>
    <col min="24" max="24" width="11.25390625" style="18" hidden="1" customWidth="1"/>
    <col min="25" max="25" width="46.75390625" style="18" hidden="1" customWidth="1"/>
    <col min="26" max="26" width="10.375" style="18" hidden="1" customWidth="1"/>
    <col min="27" max="27" width="41.75390625" style="18" hidden="1" customWidth="1"/>
    <col min="28" max="28" width="9.875" style="18" hidden="1" customWidth="1"/>
    <col min="29" max="29" width="44.875" style="18" hidden="1" customWidth="1"/>
    <col min="30" max="30" width="10.375" style="18" hidden="1" customWidth="1"/>
    <col min="31" max="31" width="43.00390625" style="18" hidden="1" customWidth="1"/>
    <col min="32" max="32" width="8.375" style="18" hidden="1" customWidth="1"/>
    <col min="33" max="33" width="14.75390625" style="18" hidden="1" customWidth="1"/>
    <col min="34" max="34" width="12.75390625" style="18" hidden="1" customWidth="1"/>
    <col min="35" max="35" width="14.75390625" style="18" customWidth="1"/>
    <col min="36" max="36" width="12.75390625" style="18" customWidth="1"/>
    <col min="37" max="37" width="14.75390625" style="18" customWidth="1"/>
    <col min="38" max="38" width="13.625" style="32" bestFit="1" customWidth="1"/>
    <col min="39" max="39" width="12.75390625" style="32" customWidth="1"/>
    <col min="40" max="40" width="12.25390625" style="0" bestFit="1" customWidth="1"/>
    <col min="41" max="41" width="12.75390625" style="0" customWidth="1"/>
  </cols>
  <sheetData>
    <row r="1" spans="1:37" ht="12.75">
      <c r="A1" s="70"/>
      <c r="B1" s="70"/>
      <c r="C1" s="70"/>
      <c r="D1" s="70"/>
      <c r="E1" s="34" t="s">
        <v>159</v>
      </c>
      <c r="F1" s="34" t="s">
        <v>159</v>
      </c>
      <c r="G1" s="34" t="s">
        <v>262</v>
      </c>
      <c r="H1" s="34"/>
      <c r="I1" s="34" t="s">
        <v>152</v>
      </c>
      <c r="J1" s="34"/>
      <c r="K1" s="34" t="s">
        <v>280</v>
      </c>
      <c r="L1" s="34"/>
      <c r="M1" s="34" t="s">
        <v>275</v>
      </c>
      <c r="N1" s="34"/>
      <c r="O1" s="34"/>
      <c r="P1" s="34"/>
      <c r="Q1" s="34" t="s">
        <v>250</v>
      </c>
      <c r="R1" s="34"/>
      <c r="S1" s="34" t="s">
        <v>190</v>
      </c>
      <c r="T1" s="34"/>
      <c r="U1" s="34" t="s">
        <v>3</v>
      </c>
      <c r="V1" s="34"/>
      <c r="W1" s="34" t="s">
        <v>225</v>
      </c>
      <c r="X1" s="34"/>
      <c r="Y1" s="34" t="s">
        <v>319</v>
      </c>
      <c r="Z1" s="34"/>
      <c r="AA1" s="34" t="s">
        <v>367</v>
      </c>
      <c r="AB1" s="34"/>
      <c r="AC1" s="34" t="s">
        <v>375</v>
      </c>
      <c r="AD1" s="34"/>
      <c r="AE1" s="34" t="s">
        <v>383</v>
      </c>
      <c r="AF1" s="34"/>
      <c r="AG1" s="34" t="s">
        <v>388</v>
      </c>
      <c r="AH1" s="34"/>
      <c r="AI1" s="34" t="s">
        <v>393</v>
      </c>
      <c r="AJ1" s="34"/>
      <c r="AK1" s="34"/>
    </row>
    <row r="2" spans="1:37" ht="12.75">
      <c r="A2" s="70"/>
      <c r="B2" s="70"/>
      <c r="C2" s="70"/>
      <c r="D2" s="70"/>
      <c r="E2" s="34" t="s">
        <v>186</v>
      </c>
      <c r="F2" s="34" t="s">
        <v>272</v>
      </c>
      <c r="G2" s="34" t="s">
        <v>261</v>
      </c>
      <c r="H2" s="34"/>
      <c r="I2" s="34" t="s">
        <v>199</v>
      </c>
      <c r="J2" s="34"/>
      <c r="K2" s="34" t="s">
        <v>284</v>
      </c>
      <c r="L2" s="34"/>
      <c r="M2" s="34" t="s">
        <v>277</v>
      </c>
      <c r="N2" s="34"/>
      <c r="O2" s="34"/>
      <c r="P2" s="34"/>
      <c r="Q2" s="34" t="s">
        <v>251</v>
      </c>
      <c r="R2" s="34"/>
      <c r="S2" s="34" t="s">
        <v>191</v>
      </c>
      <c r="T2" s="34"/>
      <c r="U2" s="34" t="s">
        <v>90</v>
      </c>
      <c r="V2" s="34"/>
      <c r="W2" s="34" t="s">
        <v>224</v>
      </c>
      <c r="X2" s="34"/>
      <c r="Y2" s="34" t="s">
        <v>318</v>
      </c>
      <c r="Z2" s="34"/>
      <c r="AA2" s="34" t="s">
        <v>368</v>
      </c>
      <c r="AB2" s="34"/>
      <c r="AC2" s="34" t="s">
        <v>374</v>
      </c>
      <c r="AD2" s="34"/>
      <c r="AE2" s="34" t="s">
        <v>380</v>
      </c>
      <c r="AF2" s="34"/>
      <c r="AG2" s="34" t="s">
        <v>385</v>
      </c>
      <c r="AH2" s="34"/>
      <c r="AI2" s="34" t="s">
        <v>390</v>
      </c>
      <c r="AJ2" s="34"/>
      <c r="AK2" s="34"/>
    </row>
    <row r="3" spans="1:37" ht="12.75">
      <c r="A3" s="70"/>
      <c r="B3" s="70"/>
      <c r="C3" s="70"/>
      <c r="D3" s="70"/>
      <c r="E3" s="34" t="s">
        <v>141</v>
      </c>
      <c r="F3" s="34" t="s">
        <v>141</v>
      </c>
      <c r="G3" s="34" t="s">
        <v>247</v>
      </c>
      <c r="H3" s="34"/>
      <c r="I3" s="34" t="s">
        <v>262</v>
      </c>
      <c r="J3" s="34"/>
      <c r="K3" s="34" t="s">
        <v>152</v>
      </c>
      <c r="L3" s="34"/>
      <c r="M3" s="34" t="s">
        <v>280</v>
      </c>
      <c r="N3" s="34"/>
      <c r="O3" s="34"/>
      <c r="P3" s="34"/>
      <c r="Q3" s="34" t="s">
        <v>0</v>
      </c>
      <c r="R3" s="34"/>
      <c r="S3" s="34" t="s">
        <v>250</v>
      </c>
      <c r="T3" s="34"/>
      <c r="U3" s="34" t="s">
        <v>190</v>
      </c>
      <c r="V3" s="34"/>
      <c r="W3" s="34" t="s">
        <v>3</v>
      </c>
      <c r="X3" s="34"/>
      <c r="Y3" s="34" t="s">
        <v>225</v>
      </c>
      <c r="Z3" s="34"/>
      <c r="AA3" s="34" t="s">
        <v>319</v>
      </c>
      <c r="AB3" s="34"/>
      <c r="AC3" s="34" t="s">
        <v>367</v>
      </c>
      <c r="AD3" s="34"/>
      <c r="AE3" s="34" t="s">
        <v>375</v>
      </c>
      <c r="AF3" s="34"/>
      <c r="AG3" s="34" t="s">
        <v>383</v>
      </c>
      <c r="AH3" s="34"/>
      <c r="AI3" s="34" t="s">
        <v>388</v>
      </c>
      <c r="AJ3" s="34"/>
      <c r="AK3" s="34"/>
    </row>
    <row r="4" spans="1:37" ht="12.75">
      <c r="A4" s="70"/>
      <c r="B4" s="70"/>
      <c r="C4" s="70"/>
      <c r="D4" s="70"/>
      <c r="E4" s="34" t="s">
        <v>187</v>
      </c>
      <c r="F4" s="34" t="s">
        <v>273</v>
      </c>
      <c r="G4" s="34" t="s">
        <v>248</v>
      </c>
      <c r="H4" s="34"/>
      <c r="I4" s="34" t="s">
        <v>198</v>
      </c>
      <c r="J4" s="34"/>
      <c r="K4" s="34" t="s">
        <v>41</v>
      </c>
      <c r="L4" s="34"/>
      <c r="M4" s="34" t="s">
        <v>278</v>
      </c>
      <c r="N4" s="34"/>
      <c r="O4" s="34"/>
      <c r="P4" s="34"/>
      <c r="Q4" s="34" t="s">
        <v>245</v>
      </c>
      <c r="R4" s="34"/>
      <c r="S4" s="34" t="s">
        <v>234</v>
      </c>
      <c r="T4" s="34"/>
      <c r="U4" s="34" t="s">
        <v>89</v>
      </c>
      <c r="V4" s="34"/>
      <c r="W4" s="34" t="s">
        <v>240</v>
      </c>
      <c r="X4" s="34"/>
      <c r="Y4" s="34" t="s">
        <v>222</v>
      </c>
      <c r="Z4" s="34"/>
      <c r="AA4" s="34" t="s">
        <v>321</v>
      </c>
      <c r="AB4" s="34"/>
      <c r="AC4" s="34" t="s">
        <v>372</v>
      </c>
      <c r="AD4" s="34"/>
      <c r="AE4" s="34" t="s">
        <v>381</v>
      </c>
      <c r="AF4" s="34"/>
      <c r="AG4" s="34" t="s">
        <v>384</v>
      </c>
      <c r="AH4" s="34"/>
      <c r="AI4" s="34" t="s">
        <v>389</v>
      </c>
      <c r="AJ4" s="34"/>
      <c r="AK4" s="34"/>
    </row>
    <row r="5" spans="1:37" ht="21" customHeight="1">
      <c r="A5" s="151" t="s">
        <v>265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1:39" s="4" customFormat="1" ht="24.75" customHeight="1">
      <c r="A6" s="24" t="s">
        <v>8</v>
      </c>
      <c r="B6" s="24" t="s">
        <v>11</v>
      </c>
      <c r="C6" s="24" t="s">
        <v>12</v>
      </c>
      <c r="D6" s="24" t="s">
        <v>13</v>
      </c>
      <c r="E6" s="35" t="s">
        <v>138</v>
      </c>
      <c r="F6" s="35" t="s">
        <v>138</v>
      </c>
      <c r="G6" s="35" t="s">
        <v>138</v>
      </c>
      <c r="H6" s="35" t="s">
        <v>165</v>
      </c>
      <c r="I6" s="86" t="s">
        <v>139</v>
      </c>
      <c r="J6" s="35" t="s">
        <v>165</v>
      </c>
      <c r="K6" s="86" t="s">
        <v>138</v>
      </c>
      <c r="L6" s="35" t="s">
        <v>165</v>
      </c>
      <c r="M6" s="86" t="s">
        <v>139</v>
      </c>
      <c r="N6" s="35" t="s">
        <v>165</v>
      </c>
      <c r="O6" s="86" t="s">
        <v>139</v>
      </c>
      <c r="P6" s="35" t="s">
        <v>165</v>
      </c>
      <c r="Q6" s="86" t="s">
        <v>139</v>
      </c>
      <c r="R6" s="35" t="s">
        <v>165</v>
      </c>
      <c r="S6" s="86" t="s">
        <v>138</v>
      </c>
      <c r="T6" s="35" t="s">
        <v>165</v>
      </c>
      <c r="U6" s="86" t="s">
        <v>139</v>
      </c>
      <c r="V6" s="35" t="s">
        <v>165</v>
      </c>
      <c r="W6" s="86" t="s">
        <v>139</v>
      </c>
      <c r="X6" s="35" t="s">
        <v>165</v>
      </c>
      <c r="Y6" s="86" t="s">
        <v>138</v>
      </c>
      <c r="Z6" s="35" t="s">
        <v>165</v>
      </c>
      <c r="AA6" s="86" t="s">
        <v>139</v>
      </c>
      <c r="AB6" s="35" t="s">
        <v>165</v>
      </c>
      <c r="AC6" s="86" t="s">
        <v>139</v>
      </c>
      <c r="AD6" s="35" t="s">
        <v>165</v>
      </c>
      <c r="AE6" s="86" t="s">
        <v>139</v>
      </c>
      <c r="AF6" s="35" t="s">
        <v>165</v>
      </c>
      <c r="AG6" s="86" t="s">
        <v>139</v>
      </c>
      <c r="AH6" s="35" t="s">
        <v>165</v>
      </c>
      <c r="AI6" s="86" t="s">
        <v>139</v>
      </c>
      <c r="AJ6" s="35" t="s">
        <v>165</v>
      </c>
      <c r="AK6" s="86" t="s">
        <v>168</v>
      </c>
      <c r="AL6" s="16"/>
      <c r="AM6" s="16"/>
    </row>
    <row r="7" spans="1:39" s="6" customFormat="1" ht="24.75" customHeight="1">
      <c r="A7" s="22" t="s">
        <v>14</v>
      </c>
      <c r="B7" s="36"/>
      <c r="C7" s="37"/>
      <c r="D7" s="25" t="s">
        <v>15</v>
      </c>
      <c r="E7" s="26">
        <f aca="true" t="shared" si="0" ref="E7:R7">SUM(E8,E10)</f>
        <v>308700</v>
      </c>
      <c r="F7" s="26">
        <f t="shared" si="0"/>
        <v>0</v>
      </c>
      <c r="G7" s="26">
        <f t="shared" si="0"/>
        <v>308700</v>
      </c>
      <c r="H7" s="26">
        <f t="shared" si="0"/>
        <v>0</v>
      </c>
      <c r="I7" s="26">
        <f t="shared" si="0"/>
        <v>308700</v>
      </c>
      <c r="J7" s="26">
        <f t="shared" si="0"/>
        <v>0</v>
      </c>
      <c r="K7" s="26">
        <f t="shared" si="0"/>
        <v>308700</v>
      </c>
      <c r="L7" s="26">
        <f t="shared" si="0"/>
        <v>0</v>
      </c>
      <c r="M7" s="26">
        <f t="shared" si="0"/>
        <v>308700</v>
      </c>
      <c r="N7" s="26">
        <f t="shared" si="0"/>
        <v>0</v>
      </c>
      <c r="O7" s="26">
        <f t="shared" si="0"/>
        <v>308700</v>
      </c>
      <c r="P7" s="26">
        <f t="shared" si="0"/>
        <v>0</v>
      </c>
      <c r="Q7" s="26">
        <f t="shared" si="0"/>
        <v>308700</v>
      </c>
      <c r="R7" s="26">
        <f t="shared" si="0"/>
        <v>0</v>
      </c>
      <c r="S7" s="26">
        <f>SUM(S8,S10,S14)</f>
        <v>308700</v>
      </c>
      <c r="T7" s="26">
        <f>SUM(T8,T10,T14)</f>
        <v>192361</v>
      </c>
      <c r="U7" s="26">
        <f aca="true" t="shared" si="1" ref="U7:Z7">SUM(U8,U10,U14,U12)</f>
        <v>501061</v>
      </c>
      <c r="V7" s="26">
        <f t="shared" si="1"/>
        <v>0</v>
      </c>
      <c r="W7" s="26">
        <f t="shared" si="1"/>
        <v>501061</v>
      </c>
      <c r="X7" s="26">
        <f t="shared" si="1"/>
        <v>0</v>
      </c>
      <c r="Y7" s="26">
        <f t="shared" si="1"/>
        <v>501061</v>
      </c>
      <c r="Z7" s="26">
        <f t="shared" si="1"/>
        <v>0</v>
      </c>
      <c r="AA7" s="26">
        <f aca="true" t="shared" si="2" ref="AA7:AA44">SUM(Y7:Z7)</f>
        <v>501061</v>
      </c>
      <c r="AB7" s="26">
        <f>SUM(AB8,AB10,AB14,AB12)</f>
        <v>224360</v>
      </c>
      <c r="AC7" s="26">
        <f aca="true" t="shared" si="3" ref="AC7:AC44">SUM(AA7:AB7)</f>
        <v>725421</v>
      </c>
      <c r="AD7" s="26">
        <f>SUM(AD8,AD10,AD14,AD12)</f>
        <v>0</v>
      </c>
      <c r="AE7" s="26">
        <f aca="true" t="shared" si="4" ref="AE7:AE13">SUM(AC7:AD7)</f>
        <v>725421</v>
      </c>
      <c r="AF7" s="26">
        <f>SUM(AF8,AF10,AF14,AF12)</f>
        <v>0</v>
      </c>
      <c r="AG7" s="26">
        <f aca="true" t="shared" si="5" ref="AG7:AG13">SUM(AE7:AF7)</f>
        <v>725421</v>
      </c>
      <c r="AH7" s="26">
        <f>SUM(AH8,AH10,AH14,AH12)</f>
        <v>0</v>
      </c>
      <c r="AI7" s="26">
        <f aca="true" t="shared" si="6" ref="AI7:AI13">SUM(AG7:AH7)</f>
        <v>725421</v>
      </c>
      <c r="AJ7" s="26">
        <f>SUM(AJ8,AJ10,AJ14,AJ12)</f>
        <v>0</v>
      </c>
      <c r="AK7" s="26">
        <f aca="true" t="shared" si="7" ref="AK7:AK13">SUM(AI7:AJ7)</f>
        <v>725421</v>
      </c>
      <c r="AL7" s="91"/>
      <c r="AM7" s="91"/>
    </row>
    <row r="8" spans="1:39" s="15" customFormat="1" ht="21.75" customHeight="1">
      <c r="A8" s="41"/>
      <c r="B8" s="55" t="s">
        <v>59</v>
      </c>
      <c r="C8" s="43"/>
      <c r="D8" s="27" t="s">
        <v>60</v>
      </c>
      <c r="E8" s="53">
        <f aca="true" t="shared" si="8" ref="E8:AJ8">SUM(E9)</f>
        <v>8700</v>
      </c>
      <c r="F8" s="53">
        <f t="shared" si="8"/>
        <v>0</v>
      </c>
      <c r="G8" s="53">
        <f t="shared" si="8"/>
        <v>8700</v>
      </c>
      <c r="H8" s="53">
        <f t="shared" si="8"/>
        <v>0</v>
      </c>
      <c r="I8" s="53">
        <f t="shared" si="8"/>
        <v>8700</v>
      </c>
      <c r="J8" s="53">
        <f t="shared" si="8"/>
        <v>0</v>
      </c>
      <c r="K8" s="53">
        <f t="shared" si="8"/>
        <v>8700</v>
      </c>
      <c r="L8" s="53">
        <f t="shared" si="8"/>
        <v>0</v>
      </c>
      <c r="M8" s="53">
        <f t="shared" si="8"/>
        <v>8700</v>
      </c>
      <c r="N8" s="53">
        <f t="shared" si="8"/>
        <v>0</v>
      </c>
      <c r="O8" s="53">
        <f t="shared" si="8"/>
        <v>8700</v>
      </c>
      <c r="P8" s="53">
        <f t="shared" si="8"/>
        <v>0</v>
      </c>
      <c r="Q8" s="53">
        <f t="shared" si="8"/>
        <v>8700</v>
      </c>
      <c r="R8" s="53">
        <f t="shared" si="8"/>
        <v>0</v>
      </c>
      <c r="S8" s="53">
        <f t="shared" si="8"/>
        <v>8700</v>
      </c>
      <c r="T8" s="53">
        <f t="shared" si="8"/>
        <v>0</v>
      </c>
      <c r="U8" s="53">
        <f t="shared" si="8"/>
        <v>8700</v>
      </c>
      <c r="V8" s="53">
        <f t="shared" si="8"/>
        <v>0</v>
      </c>
      <c r="W8" s="53">
        <f t="shared" si="8"/>
        <v>8700</v>
      </c>
      <c r="X8" s="53">
        <f t="shared" si="8"/>
        <v>0</v>
      </c>
      <c r="Y8" s="53">
        <f t="shared" si="8"/>
        <v>8700</v>
      </c>
      <c r="Z8" s="53">
        <f t="shared" si="8"/>
        <v>0</v>
      </c>
      <c r="AA8" s="53">
        <f t="shared" si="2"/>
        <v>8700</v>
      </c>
      <c r="AB8" s="53">
        <f t="shared" si="8"/>
        <v>0</v>
      </c>
      <c r="AC8" s="53">
        <f t="shared" si="3"/>
        <v>8700</v>
      </c>
      <c r="AD8" s="53">
        <f t="shared" si="8"/>
        <v>0</v>
      </c>
      <c r="AE8" s="53">
        <f t="shared" si="4"/>
        <v>8700</v>
      </c>
      <c r="AF8" s="53">
        <f t="shared" si="8"/>
        <v>0</v>
      </c>
      <c r="AG8" s="53">
        <f t="shared" si="5"/>
        <v>8700</v>
      </c>
      <c r="AH8" s="53">
        <f t="shared" si="8"/>
        <v>0</v>
      </c>
      <c r="AI8" s="53">
        <f t="shared" si="6"/>
        <v>8700</v>
      </c>
      <c r="AJ8" s="53">
        <f t="shared" si="8"/>
        <v>0</v>
      </c>
      <c r="AK8" s="53">
        <f t="shared" si="7"/>
        <v>8700</v>
      </c>
      <c r="AL8" s="75"/>
      <c r="AM8" s="75"/>
    </row>
    <row r="9" spans="1:39" s="15" customFormat="1" ht="24">
      <c r="A9" s="56"/>
      <c r="B9" s="57"/>
      <c r="C9" s="43">
        <v>2850</v>
      </c>
      <c r="D9" s="27" t="s">
        <v>61</v>
      </c>
      <c r="E9" s="53">
        <v>8700</v>
      </c>
      <c r="F9" s="53"/>
      <c r="G9" s="53">
        <f>SUM(E9:F9)</f>
        <v>8700</v>
      </c>
      <c r="H9" s="53"/>
      <c r="I9" s="53">
        <f>SUM(G9:H9)</f>
        <v>8700</v>
      </c>
      <c r="J9" s="53"/>
      <c r="K9" s="53">
        <f>SUM(I9:J9)</f>
        <v>8700</v>
      </c>
      <c r="L9" s="53"/>
      <c r="M9" s="53">
        <f>SUM(K9:L9)</f>
        <v>8700</v>
      </c>
      <c r="N9" s="53"/>
      <c r="O9" s="53">
        <f>SUM(M9:N9)</f>
        <v>8700</v>
      </c>
      <c r="P9" s="53"/>
      <c r="Q9" s="53">
        <f>SUM(O9:P9)</f>
        <v>8700</v>
      </c>
      <c r="R9" s="53"/>
      <c r="S9" s="53">
        <f>SUM(Q9:R9)</f>
        <v>8700</v>
      </c>
      <c r="T9" s="53"/>
      <c r="U9" s="53">
        <f>SUM(S9:T9)</f>
        <v>8700</v>
      </c>
      <c r="V9" s="53"/>
      <c r="W9" s="53">
        <f>SUM(U9:V9)</f>
        <v>8700</v>
      </c>
      <c r="X9" s="53"/>
      <c r="Y9" s="53">
        <f>SUM(W9:X9)</f>
        <v>8700</v>
      </c>
      <c r="Z9" s="53"/>
      <c r="AA9" s="53">
        <f t="shared" si="2"/>
        <v>8700</v>
      </c>
      <c r="AB9" s="53"/>
      <c r="AC9" s="53">
        <f t="shared" si="3"/>
        <v>8700</v>
      </c>
      <c r="AD9" s="53"/>
      <c r="AE9" s="53">
        <f t="shared" si="4"/>
        <v>8700</v>
      </c>
      <c r="AF9" s="53"/>
      <c r="AG9" s="53">
        <f t="shared" si="5"/>
        <v>8700</v>
      </c>
      <c r="AH9" s="53"/>
      <c r="AI9" s="53">
        <f t="shared" si="6"/>
        <v>8700</v>
      </c>
      <c r="AJ9" s="53"/>
      <c r="AK9" s="53">
        <f t="shared" si="7"/>
        <v>8700</v>
      </c>
      <c r="AL9" s="75"/>
      <c r="AM9" s="75"/>
    </row>
    <row r="10" spans="1:39" s="15" customFormat="1" ht="22.5" customHeight="1">
      <c r="A10" s="56"/>
      <c r="B10" s="57" t="s">
        <v>228</v>
      </c>
      <c r="C10" s="43"/>
      <c r="D10" s="27" t="s">
        <v>229</v>
      </c>
      <c r="E10" s="53">
        <f aca="true" t="shared" si="9" ref="E10:AJ10">SUM(E11)</f>
        <v>300000</v>
      </c>
      <c r="F10" s="53">
        <f t="shared" si="9"/>
        <v>0</v>
      </c>
      <c r="G10" s="53">
        <f t="shared" si="9"/>
        <v>300000</v>
      </c>
      <c r="H10" s="53">
        <f t="shared" si="9"/>
        <v>0</v>
      </c>
      <c r="I10" s="53">
        <f t="shared" si="9"/>
        <v>300000</v>
      </c>
      <c r="J10" s="53">
        <f t="shared" si="9"/>
        <v>0</v>
      </c>
      <c r="K10" s="53">
        <f t="shared" si="9"/>
        <v>300000</v>
      </c>
      <c r="L10" s="53">
        <f t="shared" si="9"/>
        <v>0</v>
      </c>
      <c r="M10" s="53">
        <f t="shared" si="9"/>
        <v>300000</v>
      </c>
      <c r="N10" s="53">
        <f t="shared" si="9"/>
        <v>0</v>
      </c>
      <c r="O10" s="53">
        <f t="shared" si="9"/>
        <v>300000</v>
      </c>
      <c r="P10" s="53">
        <f t="shared" si="9"/>
        <v>0</v>
      </c>
      <c r="Q10" s="53">
        <f t="shared" si="9"/>
        <v>300000</v>
      </c>
      <c r="R10" s="53">
        <f t="shared" si="9"/>
        <v>0</v>
      </c>
      <c r="S10" s="53">
        <f t="shared" si="9"/>
        <v>300000</v>
      </c>
      <c r="T10" s="53">
        <f t="shared" si="9"/>
        <v>0</v>
      </c>
      <c r="U10" s="53">
        <f t="shared" si="9"/>
        <v>300000</v>
      </c>
      <c r="V10" s="53">
        <f t="shared" si="9"/>
        <v>-300000</v>
      </c>
      <c r="W10" s="53">
        <f t="shared" si="9"/>
        <v>0</v>
      </c>
      <c r="X10" s="53">
        <f t="shared" si="9"/>
        <v>0</v>
      </c>
      <c r="Y10" s="53">
        <f t="shared" si="9"/>
        <v>0</v>
      </c>
      <c r="Z10" s="53">
        <f t="shared" si="9"/>
        <v>0</v>
      </c>
      <c r="AA10" s="53">
        <f t="shared" si="2"/>
        <v>0</v>
      </c>
      <c r="AB10" s="53">
        <f t="shared" si="9"/>
        <v>0</v>
      </c>
      <c r="AC10" s="53">
        <f t="shared" si="3"/>
        <v>0</v>
      </c>
      <c r="AD10" s="53">
        <f t="shared" si="9"/>
        <v>0</v>
      </c>
      <c r="AE10" s="53">
        <f t="shared" si="4"/>
        <v>0</v>
      </c>
      <c r="AF10" s="53">
        <f t="shared" si="9"/>
        <v>0</v>
      </c>
      <c r="AG10" s="53">
        <f t="shared" si="5"/>
        <v>0</v>
      </c>
      <c r="AH10" s="53">
        <f t="shared" si="9"/>
        <v>0</v>
      </c>
      <c r="AI10" s="53">
        <f t="shared" si="6"/>
        <v>0</v>
      </c>
      <c r="AJ10" s="53">
        <f t="shared" si="9"/>
        <v>0</v>
      </c>
      <c r="AK10" s="53">
        <f t="shared" si="7"/>
        <v>0</v>
      </c>
      <c r="AL10" s="75"/>
      <c r="AM10" s="75"/>
    </row>
    <row r="11" spans="1:39" s="15" customFormat="1" ht="21" customHeight="1">
      <c r="A11" s="56"/>
      <c r="B11" s="57"/>
      <c r="C11" s="43">
        <v>4300</v>
      </c>
      <c r="D11" s="27" t="s">
        <v>69</v>
      </c>
      <c r="E11" s="53">
        <v>300000</v>
      </c>
      <c r="F11" s="53"/>
      <c r="G11" s="53">
        <f>SUM(E11:F11)</f>
        <v>300000</v>
      </c>
      <c r="H11" s="53"/>
      <c r="I11" s="53">
        <f>SUM(G11:H11)</f>
        <v>300000</v>
      </c>
      <c r="J11" s="53"/>
      <c r="K11" s="53">
        <f>SUM(I11:J11)</f>
        <v>300000</v>
      </c>
      <c r="L11" s="53"/>
      <c r="M11" s="53">
        <f>SUM(K11:L11)</f>
        <v>300000</v>
      </c>
      <c r="N11" s="53"/>
      <c r="O11" s="53">
        <f>SUM(M11:N11)</f>
        <v>300000</v>
      </c>
      <c r="P11" s="53"/>
      <c r="Q11" s="53">
        <f>SUM(O11:P11)</f>
        <v>300000</v>
      </c>
      <c r="R11" s="53"/>
      <c r="S11" s="53">
        <f>SUM(Q11:R11)</f>
        <v>300000</v>
      </c>
      <c r="T11" s="53"/>
      <c r="U11" s="53">
        <f>SUM(S11:T11)</f>
        <v>300000</v>
      </c>
      <c r="V11" s="53">
        <v>-300000</v>
      </c>
      <c r="W11" s="53">
        <f>SUM(U11:V11)</f>
        <v>0</v>
      </c>
      <c r="X11" s="53"/>
      <c r="Y11" s="53">
        <f>SUM(W11:X11)</f>
        <v>0</v>
      </c>
      <c r="Z11" s="53"/>
      <c r="AA11" s="53">
        <f t="shared" si="2"/>
        <v>0</v>
      </c>
      <c r="AB11" s="53"/>
      <c r="AC11" s="53">
        <f t="shared" si="3"/>
        <v>0</v>
      </c>
      <c r="AD11" s="53"/>
      <c r="AE11" s="53">
        <f t="shared" si="4"/>
        <v>0</v>
      </c>
      <c r="AF11" s="53"/>
      <c r="AG11" s="53">
        <f t="shared" si="5"/>
        <v>0</v>
      </c>
      <c r="AH11" s="53"/>
      <c r="AI11" s="53">
        <f t="shared" si="6"/>
        <v>0</v>
      </c>
      <c r="AJ11" s="53"/>
      <c r="AK11" s="53">
        <f t="shared" si="7"/>
        <v>0</v>
      </c>
      <c r="AL11" s="75"/>
      <c r="AM11" s="75"/>
    </row>
    <row r="12" spans="1:39" s="15" customFormat="1" ht="24">
      <c r="A12" s="56"/>
      <c r="B12" s="57" t="s">
        <v>237</v>
      </c>
      <c r="C12" s="43"/>
      <c r="D12" s="27" t="s">
        <v>238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>
        <f aca="true" t="shared" si="10" ref="U12:AJ12">SUM(U13)</f>
        <v>0</v>
      </c>
      <c r="V12" s="53">
        <f t="shared" si="10"/>
        <v>300000</v>
      </c>
      <c r="W12" s="53">
        <f t="shared" si="10"/>
        <v>300000</v>
      </c>
      <c r="X12" s="53">
        <f t="shared" si="10"/>
        <v>0</v>
      </c>
      <c r="Y12" s="53">
        <f t="shared" si="10"/>
        <v>300000</v>
      </c>
      <c r="Z12" s="53">
        <f t="shared" si="10"/>
        <v>0</v>
      </c>
      <c r="AA12" s="53">
        <f t="shared" si="2"/>
        <v>300000</v>
      </c>
      <c r="AB12" s="53">
        <f t="shared" si="10"/>
        <v>0</v>
      </c>
      <c r="AC12" s="53">
        <f t="shared" si="3"/>
        <v>300000</v>
      </c>
      <c r="AD12" s="53">
        <f t="shared" si="10"/>
        <v>0</v>
      </c>
      <c r="AE12" s="53">
        <f t="shared" si="4"/>
        <v>300000</v>
      </c>
      <c r="AF12" s="53">
        <f t="shared" si="10"/>
        <v>0</v>
      </c>
      <c r="AG12" s="53">
        <f t="shared" si="5"/>
        <v>300000</v>
      </c>
      <c r="AH12" s="53">
        <f t="shared" si="10"/>
        <v>0</v>
      </c>
      <c r="AI12" s="53">
        <f t="shared" si="6"/>
        <v>300000</v>
      </c>
      <c r="AJ12" s="53">
        <f t="shared" si="10"/>
        <v>0</v>
      </c>
      <c r="AK12" s="53">
        <f t="shared" si="7"/>
        <v>300000</v>
      </c>
      <c r="AL12" s="75"/>
      <c r="AM12" s="75"/>
    </row>
    <row r="13" spans="1:39" s="15" customFormat="1" ht="21" customHeight="1">
      <c r="A13" s="56"/>
      <c r="B13" s="57"/>
      <c r="C13" s="43">
        <v>4300</v>
      </c>
      <c r="D13" s="27" t="s">
        <v>69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>
        <v>0</v>
      </c>
      <c r="V13" s="53">
        <v>300000</v>
      </c>
      <c r="W13" s="53">
        <f>SUM(U13:V13)</f>
        <v>300000</v>
      </c>
      <c r="X13" s="53"/>
      <c r="Y13" s="53">
        <f>SUM(W13:X13)</f>
        <v>300000</v>
      </c>
      <c r="Z13" s="53"/>
      <c r="AA13" s="53">
        <f t="shared" si="2"/>
        <v>300000</v>
      </c>
      <c r="AB13" s="53"/>
      <c r="AC13" s="53">
        <f t="shared" si="3"/>
        <v>300000</v>
      </c>
      <c r="AD13" s="53"/>
      <c r="AE13" s="53">
        <f t="shared" si="4"/>
        <v>300000</v>
      </c>
      <c r="AF13" s="53"/>
      <c r="AG13" s="53">
        <f t="shared" si="5"/>
        <v>300000</v>
      </c>
      <c r="AH13" s="53"/>
      <c r="AI13" s="53">
        <f t="shared" si="6"/>
        <v>300000</v>
      </c>
      <c r="AJ13" s="53"/>
      <c r="AK13" s="53">
        <f t="shared" si="7"/>
        <v>300000</v>
      </c>
      <c r="AL13" s="75"/>
      <c r="AM13" s="75"/>
    </row>
    <row r="14" spans="1:39" s="15" customFormat="1" ht="21" customHeight="1">
      <c r="A14" s="56"/>
      <c r="B14" s="57" t="s">
        <v>204</v>
      </c>
      <c r="C14" s="43"/>
      <c r="D14" s="27" t="s">
        <v>16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>
        <f aca="true" t="shared" si="11" ref="S14:Z14">SUM(S15:S18)</f>
        <v>0</v>
      </c>
      <c r="T14" s="53">
        <f t="shared" si="11"/>
        <v>192361</v>
      </c>
      <c r="U14" s="53">
        <f t="shared" si="11"/>
        <v>192361</v>
      </c>
      <c r="V14" s="53">
        <f t="shared" si="11"/>
        <v>0</v>
      </c>
      <c r="W14" s="53">
        <f t="shared" si="11"/>
        <v>192361</v>
      </c>
      <c r="X14" s="53">
        <f t="shared" si="11"/>
        <v>0</v>
      </c>
      <c r="Y14" s="53">
        <f t="shared" si="11"/>
        <v>192361</v>
      </c>
      <c r="Z14" s="53">
        <f t="shared" si="11"/>
        <v>0</v>
      </c>
      <c r="AA14" s="53">
        <f t="shared" si="2"/>
        <v>192361</v>
      </c>
      <c r="AB14" s="53">
        <f aca="true" t="shared" si="12" ref="AB14:AG14">SUM(AB15:AB19)</f>
        <v>224360</v>
      </c>
      <c r="AC14" s="53">
        <f t="shared" si="12"/>
        <v>416721</v>
      </c>
      <c r="AD14" s="53">
        <f t="shared" si="12"/>
        <v>0</v>
      </c>
      <c r="AE14" s="53">
        <f t="shared" si="12"/>
        <v>416721</v>
      </c>
      <c r="AF14" s="53">
        <f t="shared" si="12"/>
        <v>0</v>
      </c>
      <c r="AG14" s="53">
        <f t="shared" si="12"/>
        <v>416721</v>
      </c>
      <c r="AH14" s="53">
        <f>SUM(AH15:AH19)</f>
        <v>0</v>
      </c>
      <c r="AI14" s="53">
        <f>SUM(AI15:AI19)</f>
        <v>416721</v>
      </c>
      <c r="AJ14" s="53">
        <f>SUM(AJ15:AJ19)</f>
        <v>0</v>
      </c>
      <c r="AK14" s="53">
        <f>SUM(AK15:AK19)</f>
        <v>416721</v>
      </c>
      <c r="AL14" s="75"/>
      <c r="AM14" s="75"/>
    </row>
    <row r="15" spans="1:39" s="15" customFormat="1" ht="21" customHeight="1">
      <c r="A15" s="56"/>
      <c r="B15" s="57"/>
      <c r="C15" s="43">
        <v>4210</v>
      </c>
      <c r="D15" s="27" t="s">
        <v>62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>
        <v>0</v>
      </c>
      <c r="T15" s="53">
        <v>772</v>
      </c>
      <c r="U15" s="53">
        <f>SUM(S15:T15)</f>
        <v>772</v>
      </c>
      <c r="V15" s="53"/>
      <c r="W15" s="53">
        <f>SUM(U15:V15)</f>
        <v>772</v>
      </c>
      <c r="X15" s="53"/>
      <c r="Y15" s="53">
        <f>SUM(W15:X15)</f>
        <v>772</v>
      </c>
      <c r="Z15" s="53"/>
      <c r="AA15" s="53">
        <f t="shared" si="2"/>
        <v>772</v>
      </c>
      <c r="AB15" s="53">
        <v>900</v>
      </c>
      <c r="AC15" s="53">
        <f t="shared" si="3"/>
        <v>1672</v>
      </c>
      <c r="AD15" s="53"/>
      <c r="AE15" s="53">
        <f aca="true" t="shared" si="13" ref="AE15:AE44">SUM(AC15:AD15)</f>
        <v>1672</v>
      </c>
      <c r="AF15" s="53"/>
      <c r="AG15" s="53">
        <f aca="true" t="shared" si="14" ref="AG15:AG44">SUM(AE15:AF15)</f>
        <v>1672</v>
      </c>
      <c r="AH15" s="53"/>
      <c r="AI15" s="53">
        <f aca="true" t="shared" si="15" ref="AI15:AI44">SUM(AG15:AH15)</f>
        <v>1672</v>
      </c>
      <c r="AJ15" s="53"/>
      <c r="AK15" s="53">
        <f aca="true" t="shared" si="16" ref="AK15:AK44">SUM(AI15:AJ15)</f>
        <v>1672</v>
      </c>
      <c r="AL15" s="75"/>
      <c r="AM15" s="75"/>
    </row>
    <row r="16" spans="1:39" s="15" customFormat="1" ht="21" customHeight="1">
      <c r="A16" s="56"/>
      <c r="B16" s="57"/>
      <c r="C16" s="43">
        <v>4300</v>
      </c>
      <c r="D16" s="27" t="s">
        <v>69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>
        <v>0</v>
      </c>
      <c r="T16" s="53">
        <v>1000</v>
      </c>
      <c r="U16" s="53">
        <f>SUM(S16:T16)</f>
        <v>1000</v>
      </c>
      <c r="V16" s="53"/>
      <c r="W16" s="53">
        <f>SUM(U16:V16)</f>
        <v>1000</v>
      </c>
      <c r="X16" s="53"/>
      <c r="Y16" s="53">
        <f>SUM(W16:X16)</f>
        <v>1000</v>
      </c>
      <c r="Z16" s="53"/>
      <c r="AA16" s="53">
        <f t="shared" si="2"/>
        <v>1000</v>
      </c>
      <c r="AB16" s="53">
        <v>2599</v>
      </c>
      <c r="AC16" s="53">
        <f t="shared" si="3"/>
        <v>3599</v>
      </c>
      <c r="AD16" s="53"/>
      <c r="AE16" s="53">
        <f t="shared" si="13"/>
        <v>3599</v>
      </c>
      <c r="AF16" s="53"/>
      <c r="AG16" s="53">
        <f t="shared" si="14"/>
        <v>3599</v>
      </c>
      <c r="AH16" s="53"/>
      <c r="AI16" s="53">
        <f t="shared" si="15"/>
        <v>3599</v>
      </c>
      <c r="AJ16" s="53"/>
      <c r="AK16" s="53">
        <f t="shared" si="16"/>
        <v>3599</v>
      </c>
      <c r="AL16" s="75"/>
      <c r="AM16" s="75"/>
    </row>
    <row r="17" spans="1:39" s="15" customFormat="1" ht="21" customHeight="1">
      <c r="A17" s="56"/>
      <c r="B17" s="57"/>
      <c r="C17" s="43">
        <v>4430</v>
      </c>
      <c r="D17" s="27" t="s">
        <v>84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>
        <v>0</v>
      </c>
      <c r="T17" s="53">
        <v>188589</v>
      </c>
      <c r="U17" s="53">
        <f>SUM(S17:T17)</f>
        <v>188589</v>
      </c>
      <c r="V17" s="53"/>
      <c r="W17" s="53">
        <f>SUM(U17:V17)</f>
        <v>188589</v>
      </c>
      <c r="X17" s="53"/>
      <c r="Y17" s="53">
        <f>SUM(W17:X17)</f>
        <v>188589</v>
      </c>
      <c r="Z17" s="53"/>
      <c r="AA17" s="53">
        <f t="shared" si="2"/>
        <v>188589</v>
      </c>
      <c r="AB17" s="53">
        <v>219961</v>
      </c>
      <c r="AC17" s="53">
        <f t="shared" si="3"/>
        <v>408550</v>
      </c>
      <c r="AD17" s="53"/>
      <c r="AE17" s="53">
        <f t="shared" si="13"/>
        <v>408550</v>
      </c>
      <c r="AF17" s="53"/>
      <c r="AG17" s="53">
        <f t="shared" si="14"/>
        <v>408550</v>
      </c>
      <c r="AH17" s="53"/>
      <c r="AI17" s="53">
        <f t="shared" si="15"/>
        <v>408550</v>
      </c>
      <c r="AJ17" s="53"/>
      <c r="AK17" s="53">
        <f t="shared" si="16"/>
        <v>408550</v>
      </c>
      <c r="AL17" s="75"/>
      <c r="AM17" s="75"/>
    </row>
    <row r="18" spans="1:39" s="15" customFormat="1" ht="24">
      <c r="A18" s="56"/>
      <c r="B18" s="57"/>
      <c r="C18" s="43">
        <v>4740</v>
      </c>
      <c r="D18" s="27" t="s">
        <v>189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>
        <v>0</v>
      </c>
      <c r="T18" s="53">
        <v>2000</v>
      </c>
      <c r="U18" s="53">
        <f>SUM(S18:T18)</f>
        <v>2000</v>
      </c>
      <c r="V18" s="53"/>
      <c r="W18" s="53">
        <f>SUM(U18:V18)</f>
        <v>2000</v>
      </c>
      <c r="X18" s="53"/>
      <c r="Y18" s="53">
        <f>SUM(W18:X18)</f>
        <v>2000</v>
      </c>
      <c r="Z18" s="53"/>
      <c r="AA18" s="53">
        <f t="shared" si="2"/>
        <v>2000</v>
      </c>
      <c r="AB18" s="53">
        <v>300</v>
      </c>
      <c r="AC18" s="53">
        <f t="shared" si="3"/>
        <v>2300</v>
      </c>
      <c r="AD18" s="53"/>
      <c r="AE18" s="53">
        <f t="shared" si="13"/>
        <v>2300</v>
      </c>
      <c r="AF18" s="53"/>
      <c r="AG18" s="53">
        <f t="shared" si="14"/>
        <v>2300</v>
      </c>
      <c r="AH18" s="53"/>
      <c r="AI18" s="53">
        <f t="shared" si="15"/>
        <v>2300</v>
      </c>
      <c r="AJ18" s="53"/>
      <c r="AK18" s="53">
        <f t="shared" si="16"/>
        <v>2300</v>
      </c>
      <c r="AL18" s="75"/>
      <c r="AM18" s="75"/>
    </row>
    <row r="19" spans="1:39" s="15" customFormat="1" ht="26.25" customHeight="1">
      <c r="A19" s="56"/>
      <c r="B19" s="57"/>
      <c r="C19" s="43">
        <v>4750</v>
      </c>
      <c r="D19" s="27" t="s">
        <v>194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>
        <v>0</v>
      </c>
      <c r="AB19" s="53">
        <v>600</v>
      </c>
      <c r="AC19" s="53">
        <f t="shared" si="3"/>
        <v>600</v>
      </c>
      <c r="AD19" s="53"/>
      <c r="AE19" s="53">
        <f t="shared" si="13"/>
        <v>600</v>
      </c>
      <c r="AF19" s="53"/>
      <c r="AG19" s="53">
        <f t="shared" si="14"/>
        <v>600</v>
      </c>
      <c r="AH19" s="53"/>
      <c r="AI19" s="53">
        <f t="shared" si="15"/>
        <v>600</v>
      </c>
      <c r="AJ19" s="53"/>
      <c r="AK19" s="53">
        <f t="shared" si="16"/>
        <v>600</v>
      </c>
      <c r="AL19" s="75"/>
      <c r="AM19" s="75"/>
    </row>
    <row r="20" spans="1:39" s="29" customFormat="1" ht="21" customHeight="1">
      <c r="A20" s="83" t="s">
        <v>315</v>
      </c>
      <c r="B20" s="84"/>
      <c r="C20" s="37"/>
      <c r="D20" s="25" t="s">
        <v>7</v>
      </c>
      <c r="E20" s="26">
        <f aca="true" t="shared" si="17" ref="E20:T21">SUM(E21)</f>
        <v>0</v>
      </c>
      <c r="F20" s="26">
        <f t="shared" si="17"/>
        <v>20000</v>
      </c>
      <c r="G20" s="26">
        <f t="shared" si="17"/>
        <v>20000</v>
      </c>
      <c r="H20" s="26">
        <f t="shared" si="17"/>
        <v>0</v>
      </c>
      <c r="I20" s="26">
        <f t="shared" si="17"/>
        <v>20000</v>
      </c>
      <c r="J20" s="26">
        <f t="shared" si="17"/>
        <v>0</v>
      </c>
      <c r="K20" s="26">
        <f t="shared" si="17"/>
        <v>20000</v>
      </c>
      <c r="L20" s="26">
        <f t="shared" si="17"/>
        <v>0</v>
      </c>
      <c r="M20" s="26">
        <f t="shared" si="17"/>
        <v>20000</v>
      </c>
      <c r="N20" s="26">
        <f t="shared" si="17"/>
        <v>0</v>
      </c>
      <c r="O20" s="26">
        <f t="shared" si="17"/>
        <v>20000</v>
      </c>
      <c r="P20" s="26">
        <f t="shared" si="17"/>
        <v>0</v>
      </c>
      <c r="Q20" s="26">
        <f t="shared" si="17"/>
        <v>20000</v>
      </c>
      <c r="R20" s="26">
        <f t="shared" si="17"/>
        <v>0</v>
      </c>
      <c r="S20" s="26">
        <f t="shared" si="17"/>
        <v>20000</v>
      </c>
      <c r="T20" s="26">
        <f t="shared" si="17"/>
        <v>0</v>
      </c>
      <c r="U20" s="26">
        <f aca="true" t="shared" si="18" ref="U20:Z21">SUM(U21)</f>
        <v>20000</v>
      </c>
      <c r="V20" s="26">
        <f t="shared" si="18"/>
        <v>0</v>
      </c>
      <c r="W20" s="26">
        <f t="shared" si="18"/>
        <v>20000</v>
      </c>
      <c r="X20" s="26">
        <f t="shared" si="18"/>
        <v>-20000</v>
      </c>
      <c r="Y20" s="26">
        <f t="shared" si="18"/>
        <v>0</v>
      </c>
      <c r="Z20" s="26">
        <f t="shared" si="18"/>
        <v>0</v>
      </c>
      <c r="AA20" s="26">
        <f t="shared" si="2"/>
        <v>0</v>
      </c>
      <c r="AB20" s="26">
        <f>SUM(AB21)</f>
        <v>0</v>
      </c>
      <c r="AC20" s="26">
        <f t="shared" si="3"/>
        <v>0</v>
      </c>
      <c r="AD20" s="26">
        <f>SUM(AD21)</f>
        <v>0</v>
      </c>
      <c r="AE20" s="26">
        <f t="shared" si="13"/>
        <v>0</v>
      </c>
      <c r="AF20" s="26">
        <f>SUM(AF21)</f>
        <v>0</v>
      </c>
      <c r="AG20" s="26">
        <f t="shared" si="14"/>
        <v>0</v>
      </c>
      <c r="AH20" s="26">
        <f>SUM(AH21)</f>
        <v>0</v>
      </c>
      <c r="AI20" s="26">
        <f t="shared" si="15"/>
        <v>0</v>
      </c>
      <c r="AJ20" s="26">
        <f>SUM(AJ21)</f>
        <v>0</v>
      </c>
      <c r="AK20" s="26">
        <f t="shared" si="16"/>
        <v>0</v>
      </c>
      <c r="AL20" s="28"/>
      <c r="AM20" s="28"/>
    </row>
    <row r="21" spans="1:39" s="15" customFormat="1" ht="21" customHeight="1">
      <c r="A21" s="56"/>
      <c r="B21" s="57" t="s">
        <v>316</v>
      </c>
      <c r="C21" s="43"/>
      <c r="D21" s="27" t="s">
        <v>16</v>
      </c>
      <c r="E21" s="53">
        <f t="shared" si="17"/>
        <v>0</v>
      </c>
      <c r="F21" s="53">
        <f t="shared" si="17"/>
        <v>20000</v>
      </c>
      <c r="G21" s="53">
        <f t="shared" si="17"/>
        <v>20000</v>
      </c>
      <c r="H21" s="53">
        <f t="shared" si="17"/>
        <v>0</v>
      </c>
      <c r="I21" s="53">
        <f t="shared" si="17"/>
        <v>20000</v>
      </c>
      <c r="J21" s="53">
        <f t="shared" si="17"/>
        <v>0</v>
      </c>
      <c r="K21" s="53">
        <f t="shared" si="17"/>
        <v>20000</v>
      </c>
      <c r="L21" s="53">
        <f t="shared" si="17"/>
        <v>0</v>
      </c>
      <c r="M21" s="53">
        <f t="shared" si="17"/>
        <v>20000</v>
      </c>
      <c r="N21" s="53">
        <f t="shared" si="17"/>
        <v>0</v>
      </c>
      <c r="O21" s="53">
        <f aca="true" t="shared" si="19" ref="O21:T21">SUM(O22)</f>
        <v>20000</v>
      </c>
      <c r="P21" s="53">
        <f t="shared" si="19"/>
        <v>0</v>
      </c>
      <c r="Q21" s="53">
        <f t="shared" si="19"/>
        <v>20000</v>
      </c>
      <c r="R21" s="53">
        <f t="shared" si="19"/>
        <v>0</v>
      </c>
      <c r="S21" s="53">
        <f t="shared" si="19"/>
        <v>20000</v>
      </c>
      <c r="T21" s="53">
        <f t="shared" si="19"/>
        <v>0</v>
      </c>
      <c r="U21" s="53">
        <f t="shared" si="18"/>
        <v>20000</v>
      </c>
      <c r="V21" s="53">
        <f t="shared" si="18"/>
        <v>0</v>
      </c>
      <c r="W21" s="53">
        <f t="shared" si="18"/>
        <v>20000</v>
      </c>
      <c r="X21" s="53">
        <f t="shared" si="18"/>
        <v>-20000</v>
      </c>
      <c r="Y21" s="53">
        <f t="shared" si="18"/>
        <v>0</v>
      </c>
      <c r="Z21" s="53">
        <f t="shared" si="18"/>
        <v>0</v>
      </c>
      <c r="AA21" s="53">
        <f t="shared" si="2"/>
        <v>0</v>
      </c>
      <c r="AB21" s="53">
        <f>SUM(AB22)</f>
        <v>0</v>
      </c>
      <c r="AC21" s="53">
        <f t="shared" si="3"/>
        <v>0</v>
      </c>
      <c r="AD21" s="53">
        <f>SUM(AD22)</f>
        <v>0</v>
      </c>
      <c r="AE21" s="53">
        <f t="shared" si="13"/>
        <v>0</v>
      </c>
      <c r="AF21" s="53">
        <f>SUM(AF22)</f>
        <v>0</v>
      </c>
      <c r="AG21" s="53">
        <f t="shared" si="14"/>
        <v>0</v>
      </c>
      <c r="AH21" s="53">
        <f>SUM(AH22)</f>
        <v>0</v>
      </c>
      <c r="AI21" s="53">
        <f t="shared" si="15"/>
        <v>0</v>
      </c>
      <c r="AJ21" s="53">
        <f>SUM(AJ22)</f>
        <v>0</v>
      </c>
      <c r="AK21" s="53">
        <f t="shared" si="16"/>
        <v>0</v>
      </c>
      <c r="AL21" s="75"/>
      <c r="AM21" s="75"/>
    </row>
    <row r="22" spans="1:41" s="15" customFormat="1" ht="21" customHeight="1">
      <c r="A22" s="56"/>
      <c r="B22" s="57"/>
      <c r="C22" s="41">
        <v>6050</v>
      </c>
      <c r="D22" s="27" t="s">
        <v>63</v>
      </c>
      <c r="E22" s="53">
        <v>0</v>
      </c>
      <c r="F22" s="53">
        <v>20000</v>
      </c>
      <c r="G22" s="53">
        <f>SUM(E22:F22)</f>
        <v>20000</v>
      </c>
      <c r="H22" s="53"/>
      <c r="I22" s="53">
        <f>SUM(G22:H22)</f>
        <v>20000</v>
      </c>
      <c r="J22" s="53"/>
      <c r="K22" s="53">
        <f>SUM(I22:J22)</f>
        <v>20000</v>
      </c>
      <c r="L22" s="53"/>
      <c r="M22" s="53">
        <f>SUM(K22:L22)</f>
        <v>20000</v>
      </c>
      <c r="N22" s="53"/>
      <c r="O22" s="53">
        <f>SUM(M22:N22)</f>
        <v>20000</v>
      </c>
      <c r="P22" s="53"/>
      <c r="Q22" s="53">
        <f>SUM(O22:P22)</f>
        <v>20000</v>
      </c>
      <c r="R22" s="53"/>
      <c r="S22" s="53">
        <f>SUM(Q22:R22)</f>
        <v>20000</v>
      </c>
      <c r="T22" s="53"/>
      <c r="U22" s="53">
        <f>SUM(S22:T22)</f>
        <v>20000</v>
      </c>
      <c r="V22" s="53"/>
      <c r="W22" s="53">
        <f>SUM(U22:V22)</f>
        <v>20000</v>
      </c>
      <c r="X22" s="53">
        <v>-20000</v>
      </c>
      <c r="Y22" s="53">
        <f>SUM(W22:X22)</f>
        <v>0</v>
      </c>
      <c r="Z22" s="53"/>
      <c r="AA22" s="53">
        <f t="shared" si="2"/>
        <v>0</v>
      </c>
      <c r="AB22" s="53"/>
      <c r="AC22" s="53">
        <f t="shared" si="3"/>
        <v>0</v>
      </c>
      <c r="AD22" s="53"/>
      <c r="AE22" s="53">
        <f t="shared" si="13"/>
        <v>0</v>
      </c>
      <c r="AF22" s="53"/>
      <c r="AG22" s="53">
        <f t="shared" si="14"/>
        <v>0</v>
      </c>
      <c r="AH22" s="53"/>
      <c r="AI22" s="53">
        <f t="shared" si="15"/>
        <v>0</v>
      </c>
      <c r="AJ22" s="53"/>
      <c r="AK22" s="53">
        <f t="shared" si="16"/>
        <v>0</v>
      </c>
      <c r="AL22" s="75"/>
      <c r="AM22" s="75"/>
      <c r="AN22" s="75"/>
      <c r="AO22" s="75"/>
    </row>
    <row r="23" spans="1:39" s="3" customFormat="1" ht="24.75" customHeight="1">
      <c r="A23" s="22" t="s">
        <v>64</v>
      </c>
      <c r="B23" s="23"/>
      <c r="C23" s="24"/>
      <c r="D23" s="25" t="s">
        <v>65</v>
      </c>
      <c r="E23" s="26">
        <f aca="true" t="shared" si="20" ref="E23:N23">E28</f>
        <v>3755700</v>
      </c>
      <c r="F23" s="26">
        <f t="shared" si="20"/>
        <v>-4000</v>
      </c>
      <c r="G23" s="26">
        <f t="shared" si="20"/>
        <v>3751700</v>
      </c>
      <c r="H23" s="26">
        <f t="shared" si="20"/>
        <v>0</v>
      </c>
      <c r="I23" s="26">
        <f t="shared" si="20"/>
        <v>3751700</v>
      </c>
      <c r="J23" s="26">
        <f t="shared" si="20"/>
        <v>215000</v>
      </c>
      <c r="K23" s="26">
        <f t="shared" si="20"/>
        <v>3966700</v>
      </c>
      <c r="L23" s="26">
        <f t="shared" si="20"/>
        <v>0</v>
      </c>
      <c r="M23" s="26">
        <f t="shared" si="20"/>
        <v>3966700</v>
      </c>
      <c r="N23" s="26">
        <f t="shared" si="20"/>
        <v>0</v>
      </c>
      <c r="O23" s="26">
        <f>SUM(O28)</f>
        <v>3966700</v>
      </c>
      <c r="P23" s="26">
        <f>SUM(P28)</f>
        <v>1455030</v>
      </c>
      <c r="Q23" s="26">
        <f>SUM(Q28)</f>
        <v>5421730</v>
      </c>
      <c r="R23" s="26">
        <f>SUM(R28)</f>
        <v>0</v>
      </c>
      <c r="S23" s="26">
        <f>SUM(S28,S24)</f>
        <v>5421730</v>
      </c>
      <c r="T23" s="26">
        <f>SUM(T28,T24)</f>
        <v>1083492</v>
      </c>
      <c r="U23" s="26">
        <f>SUM(U28,U24)</f>
        <v>6505222</v>
      </c>
      <c r="V23" s="26">
        <f>SUM(V28,V24)</f>
        <v>0</v>
      </c>
      <c r="W23" s="26">
        <f>SUM(W28,W24,W26)</f>
        <v>6505222</v>
      </c>
      <c r="X23" s="26">
        <f>SUM(X28,X24,X26)</f>
        <v>2794195</v>
      </c>
      <c r="Y23" s="26">
        <f>SUM(Y28,Y24,Y26)</f>
        <v>9299417</v>
      </c>
      <c r="Z23" s="26">
        <f>SUM(Z28,Z24,Z26)</f>
        <v>170585</v>
      </c>
      <c r="AA23" s="26">
        <f t="shared" si="2"/>
        <v>9470002</v>
      </c>
      <c r="AB23" s="26">
        <f>SUM(AB28,AB24,AB26)</f>
        <v>0</v>
      </c>
      <c r="AC23" s="26">
        <f t="shared" si="3"/>
        <v>9470002</v>
      </c>
      <c r="AD23" s="26">
        <f>SUM(AD28,AD24,AD26)</f>
        <v>-825653</v>
      </c>
      <c r="AE23" s="26">
        <f t="shared" si="13"/>
        <v>8644349</v>
      </c>
      <c r="AF23" s="26">
        <f>SUM(AF28,AF24,AF26)</f>
        <v>0</v>
      </c>
      <c r="AG23" s="26">
        <f t="shared" si="14"/>
        <v>8644349</v>
      </c>
      <c r="AH23" s="26">
        <f>SUM(AH28,AH24,AH26)</f>
        <v>180</v>
      </c>
      <c r="AI23" s="26">
        <f t="shared" si="15"/>
        <v>8644529</v>
      </c>
      <c r="AJ23" s="26">
        <f>SUM(AJ28,AJ24,AJ26)</f>
        <v>0</v>
      </c>
      <c r="AK23" s="26">
        <f t="shared" si="16"/>
        <v>8644529</v>
      </c>
      <c r="AL23" s="92"/>
      <c r="AM23" s="92"/>
    </row>
    <row r="24" spans="1:39" s="15" customFormat="1" ht="24.75" customHeight="1">
      <c r="A24" s="41"/>
      <c r="B24" s="60">
        <v>60013</v>
      </c>
      <c r="C24" s="59"/>
      <c r="D24" s="27" t="s">
        <v>33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>
        <f aca="true" t="shared" si="21" ref="S24:AJ24">SUM(S25)</f>
        <v>0</v>
      </c>
      <c r="T24" s="53">
        <f t="shared" si="21"/>
        <v>80000</v>
      </c>
      <c r="U24" s="53">
        <f t="shared" si="21"/>
        <v>80000</v>
      </c>
      <c r="V24" s="53">
        <f t="shared" si="21"/>
        <v>0</v>
      </c>
      <c r="W24" s="53">
        <f t="shared" si="21"/>
        <v>80000</v>
      </c>
      <c r="X24" s="53">
        <f t="shared" si="21"/>
        <v>0</v>
      </c>
      <c r="Y24" s="53">
        <f t="shared" si="21"/>
        <v>80000</v>
      </c>
      <c r="Z24" s="53">
        <f t="shared" si="21"/>
        <v>0</v>
      </c>
      <c r="AA24" s="53">
        <f t="shared" si="2"/>
        <v>80000</v>
      </c>
      <c r="AB24" s="53">
        <f t="shared" si="21"/>
        <v>0</v>
      </c>
      <c r="AC24" s="53">
        <f t="shared" si="3"/>
        <v>80000</v>
      </c>
      <c r="AD24" s="53">
        <f t="shared" si="21"/>
        <v>0</v>
      </c>
      <c r="AE24" s="53">
        <f t="shared" si="13"/>
        <v>80000</v>
      </c>
      <c r="AF24" s="53">
        <f t="shared" si="21"/>
        <v>0</v>
      </c>
      <c r="AG24" s="53">
        <f t="shared" si="14"/>
        <v>80000</v>
      </c>
      <c r="AH24" s="53">
        <f t="shared" si="21"/>
        <v>0</v>
      </c>
      <c r="AI24" s="53">
        <f t="shared" si="15"/>
        <v>80000</v>
      </c>
      <c r="AJ24" s="53">
        <f t="shared" si="21"/>
        <v>0</v>
      </c>
      <c r="AK24" s="53">
        <f t="shared" si="16"/>
        <v>80000</v>
      </c>
      <c r="AL24" s="75"/>
      <c r="AM24" s="75"/>
    </row>
    <row r="25" spans="1:41" s="15" customFormat="1" ht="46.5" customHeight="1">
      <c r="A25" s="41"/>
      <c r="B25" s="60"/>
      <c r="C25" s="59">
        <v>6300</v>
      </c>
      <c r="D25" s="27" t="s">
        <v>34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>
        <v>0</v>
      </c>
      <c r="T25" s="53">
        <v>80000</v>
      </c>
      <c r="U25" s="53">
        <f>SUM(S25:T25)</f>
        <v>80000</v>
      </c>
      <c r="V25" s="53"/>
      <c r="W25" s="53">
        <f>SUM(U25:V25)</f>
        <v>80000</v>
      </c>
      <c r="X25" s="53"/>
      <c r="Y25" s="53">
        <f>SUM(W25:X25)</f>
        <v>80000</v>
      </c>
      <c r="Z25" s="53"/>
      <c r="AA25" s="53">
        <f t="shared" si="2"/>
        <v>80000</v>
      </c>
      <c r="AB25" s="53"/>
      <c r="AC25" s="53">
        <f t="shared" si="3"/>
        <v>80000</v>
      </c>
      <c r="AD25" s="53"/>
      <c r="AE25" s="53">
        <f t="shared" si="13"/>
        <v>80000</v>
      </c>
      <c r="AF25" s="53"/>
      <c r="AG25" s="53">
        <f t="shared" si="14"/>
        <v>80000</v>
      </c>
      <c r="AH25" s="53"/>
      <c r="AI25" s="53">
        <f t="shared" si="15"/>
        <v>80000</v>
      </c>
      <c r="AJ25" s="53"/>
      <c r="AK25" s="53">
        <f t="shared" si="16"/>
        <v>80000</v>
      </c>
      <c r="AL25" s="75"/>
      <c r="AM25" s="75"/>
      <c r="AN25" s="75"/>
      <c r="AO25" s="75"/>
    </row>
    <row r="26" spans="1:41" s="15" customFormat="1" ht="22.5" customHeight="1">
      <c r="A26" s="41"/>
      <c r="B26" s="60">
        <v>60014</v>
      </c>
      <c r="C26" s="59"/>
      <c r="D26" s="27" t="s">
        <v>266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>
        <f>SUM(W27)</f>
        <v>0</v>
      </c>
      <c r="X26" s="53">
        <f>SUM(X27)</f>
        <v>128100</v>
      </c>
      <c r="Y26" s="53">
        <f>SUM(Y27)</f>
        <v>128100</v>
      </c>
      <c r="Z26" s="53">
        <f>SUM(Z27)</f>
        <v>0</v>
      </c>
      <c r="AA26" s="53">
        <f t="shared" si="2"/>
        <v>128100</v>
      </c>
      <c r="AB26" s="53">
        <f>SUM(AB27)</f>
        <v>0</v>
      </c>
      <c r="AC26" s="53">
        <f t="shared" si="3"/>
        <v>128100</v>
      </c>
      <c r="AD26" s="53">
        <f>SUM(AD27)</f>
        <v>0</v>
      </c>
      <c r="AE26" s="53">
        <f t="shared" si="13"/>
        <v>128100</v>
      </c>
      <c r="AF26" s="53">
        <f>SUM(AF27)</f>
        <v>0</v>
      </c>
      <c r="AG26" s="53">
        <f t="shared" si="14"/>
        <v>128100</v>
      </c>
      <c r="AH26" s="53">
        <f>SUM(AH27)</f>
        <v>0</v>
      </c>
      <c r="AI26" s="53">
        <f t="shared" si="15"/>
        <v>128100</v>
      </c>
      <c r="AJ26" s="53">
        <f>SUM(AJ27)</f>
        <v>0</v>
      </c>
      <c r="AK26" s="53">
        <f t="shared" si="16"/>
        <v>128100</v>
      </c>
      <c r="AL26" s="75"/>
      <c r="AM26" s="75"/>
      <c r="AN26" s="75"/>
      <c r="AO26" s="75"/>
    </row>
    <row r="27" spans="1:41" s="15" customFormat="1" ht="47.25" customHeight="1">
      <c r="A27" s="41"/>
      <c r="B27" s="60"/>
      <c r="C27" s="59">
        <v>6300</v>
      </c>
      <c r="D27" s="27" t="s">
        <v>34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>
        <v>0</v>
      </c>
      <c r="X27" s="53">
        <f>34500+20000+51200+22400</f>
        <v>128100</v>
      </c>
      <c r="Y27" s="53">
        <f>SUM(W27:X27)</f>
        <v>128100</v>
      </c>
      <c r="Z27" s="53"/>
      <c r="AA27" s="53">
        <f t="shared" si="2"/>
        <v>128100</v>
      </c>
      <c r="AB27" s="53"/>
      <c r="AC27" s="53">
        <f t="shared" si="3"/>
        <v>128100</v>
      </c>
      <c r="AD27" s="53"/>
      <c r="AE27" s="53">
        <f t="shared" si="13"/>
        <v>128100</v>
      </c>
      <c r="AF27" s="53"/>
      <c r="AG27" s="53">
        <f t="shared" si="14"/>
        <v>128100</v>
      </c>
      <c r="AH27" s="53"/>
      <c r="AI27" s="53">
        <f t="shared" si="15"/>
        <v>128100</v>
      </c>
      <c r="AJ27" s="53"/>
      <c r="AK27" s="53">
        <f t="shared" si="16"/>
        <v>128100</v>
      </c>
      <c r="AL27" s="75"/>
      <c r="AM27" s="75"/>
      <c r="AN27" s="75"/>
      <c r="AO27" s="75"/>
    </row>
    <row r="28" spans="1:39" s="15" customFormat="1" ht="21.75" customHeight="1">
      <c r="A28" s="41"/>
      <c r="B28" s="55" t="s">
        <v>66</v>
      </c>
      <c r="C28" s="59"/>
      <c r="D28" s="27" t="s">
        <v>67</v>
      </c>
      <c r="E28" s="53">
        <f aca="true" t="shared" si="22" ref="E28:Z28">SUM(E29:E33)</f>
        <v>3755700</v>
      </c>
      <c r="F28" s="53">
        <f t="shared" si="22"/>
        <v>-4000</v>
      </c>
      <c r="G28" s="53">
        <f t="shared" si="22"/>
        <v>3751700</v>
      </c>
      <c r="H28" s="53">
        <f t="shared" si="22"/>
        <v>0</v>
      </c>
      <c r="I28" s="53">
        <f t="shared" si="22"/>
        <v>3751700</v>
      </c>
      <c r="J28" s="53">
        <f t="shared" si="22"/>
        <v>215000</v>
      </c>
      <c r="K28" s="53">
        <f t="shared" si="22"/>
        <v>3966700</v>
      </c>
      <c r="L28" s="53">
        <f t="shared" si="22"/>
        <v>0</v>
      </c>
      <c r="M28" s="53">
        <f t="shared" si="22"/>
        <v>3966700</v>
      </c>
      <c r="N28" s="53">
        <f t="shared" si="22"/>
        <v>0</v>
      </c>
      <c r="O28" s="53">
        <f t="shared" si="22"/>
        <v>3966700</v>
      </c>
      <c r="P28" s="53">
        <f t="shared" si="22"/>
        <v>1455030</v>
      </c>
      <c r="Q28" s="53">
        <f t="shared" si="22"/>
        <v>5421730</v>
      </c>
      <c r="R28" s="53">
        <f t="shared" si="22"/>
        <v>0</v>
      </c>
      <c r="S28" s="53">
        <f t="shared" si="22"/>
        <v>5421730</v>
      </c>
      <c r="T28" s="53">
        <f t="shared" si="22"/>
        <v>1003492</v>
      </c>
      <c r="U28" s="53">
        <f t="shared" si="22"/>
        <v>6425222</v>
      </c>
      <c r="V28" s="53">
        <f t="shared" si="22"/>
        <v>0</v>
      </c>
      <c r="W28" s="53">
        <f t="shared" si="22"/>
        <v>6425222</v>
      </c>
      <c r="X28" s="53">
        <f t="shared" si="22"/>
        <v>2666095</v>
      </c>
      <c r="Y28" s="53">
        <f t="shared" si="22"/>
        <v>9091317</v>
      </c>
      <c r="Z28" s="53">
        <f t="shared" si="22"/>
        <v>170585</v>
      </c>
      <c r="AA28" s="53">
        <f t="shared" si="2"/>
        <v>9261902</v>
      </c>
      <c r="AB28" s="53">
        <f>SUM(AB29:AB33)</f>
        <v>0</v>
      </c>
      <c r="AC28" s="53">
        <f t="shared" si="3"/>
        <v>9261902</v>
      </c>
      <c r="AD28" s="53">
        <f>SUM(AD29:AD33)</f>
        <v>-825653</v>
      </c>
      <c r="AE28" s="53">
        <f t="shared" si="13"/>
        <v>8436249</v>
      </c>
      <c r="AF28" s="53">
        <f>SUM(AF29:AF33)</f>
        <v>0</v>
      </c>
      <c r="AG28" s="53">
        <f t="shared" si="14"/>
        <v>8436249</v>
      </c>
      <c r="AH28" s="53">
        <f>SUM(AH29:AH33)</f>
        <v>180</v>
      </c>
      <c r="AI28" s="53">
        <f t="shared" si="15"/>
        <v>8436429</v>
      </c>
      <c r="AJ28" s="53">
        <f>SUM(AJ29:AJ33)</f>
        <v>0</v>
      </c>
      <c r="AK28" s="53">
        <f t="shared" si="16"/>
        <v>8436429</v>
      </c>
      <c r="AL28" s="75"/>
      <c r="AM28" s="75"/>
    </row>
    <row r="29" spans="1:39" s="15" customFormat="1" ht="21.75" customHeight="1">
      <c r="A29" s="41"/>
      <c r="B29" s="60"/>
      <c r="C29" s="41">
        <v>4210</v>
      </c>
      <c r="D29" s="27" t="s">
        <v>62</v>
      </c>
      <c r="E29" s="53">
        <v>31780</v>
      </c>
      <c r="F29" s="53"/>
      <c r="G29" s="53">
        <f>SUM(E29:F29)</f>
        <v>31780</v>
      </c>
      <c r="H29" s="53"/>
      <c r="I29" s="53">
        <f>SUM(G29:H29)</f>
        <v>31780</v>
      </c>
      <c r="J29" s="53"/>
      <c r="K29" s="53">
        <f>SUM(I29:J29)</f>
        <v>31780</v>
      </c>
      <c r="L29" s="53"/>
      <c r="M29" s="53">
        <f>SUM(K29:L29)</f>
        <v>31780</v>
      </c>
      <c r="N29" s="53"/>
      <c r="O29" s="53">
        <f>SUM(M29:N29)</f>
        <v>31780</v>
      </c>
      <c r="P29" s="53"/>
      <c r="Q29" s="53">
        <f>SUM(O29:P29)</f>
        <v>31780</v>
      </c>
      <c r="R29" s="53"/>
      <c r="S29" s="53">
        <f>SUM(Q29:R29)</f>
        <v>31780</v>
      </c>
      <c r="T29" s="53">
        <v>-3008</v>
      </c>
      <c r="U29" s="53">
        <f>SUM(S29:T29)</f>
        <v>28772</v>
      </c>
      <c r="V29" s="53">
        <v>-500</v>
      </c>
      <c r="W29" s="53">
        <f>SUM(U29:V29)</f>
        <v>28272</v>
      </c>
      <c r="X29" s="53">
        <v>-1200</v>
      </c>
      <c r="Y29" s="53">
        <f>SUM(W29:X29)</f>
        <v>27072</v>
      </c>
      <c r="Z29" s="53">
        <v>14985</v>
      </c>
      <c r="AA29" s="53">
        <f t="shared" si="2"/>
        <v>42057</v>
      </c>
      <c r="AB29" s="53"/>
      <c r="AC29" s="53">
        <f t="shared" si="3"/>
        <v>42057</v>
      </c>
      <c r="AD29" s="53">
        <v>-928</v>
      </c>
      <c r="AE29" s="53">
        <f t="shared" si="13"/>
        <v>41129</v>
      </c>
      <c r="AF29" s="53"/>
      <c r="AG29" s="53">
        <f t="shared" si="14"/>
        <v>41129</v>
      </c>
      <c r="AH29" s="53"/>
      <c r="AI29" s="53">
        <f t="shared" si="15"/>
        <v>41129</v>
      </c>
      <c r="AJ29" s="53"/>
      <c r="AK29" s="53">
        <f t="shared" si="16"/>
        <v>41129</v>
      </c>
      <c r="AL29" s="75"/>
      <c r="AM29" s="75"/>
    </row>
    <row r="30" spans="1:39" s="15" customFormat="1" ht="21.75" customHeight="1">
      <c r="A30" s="41"/>
      <c r="B30" s="60"/>
      <c r="C30" s="41">
        <v>4270</v>
      </c>
      <c r="D30" s="27" t="s">
        <v>68</v>
      </c>
      <c r="E30" s="53">
        <f>110000+15000+25000</f>
        <v>150000</v>
      </c>
      <c r="F30" s="53"/>
      <c r="G30" s="53">
        <f>SUM(E30:F30)</f>
        <v>150000</v>
      </c>
      <c r="H30" s="53"/>
      <c r="I30" s="53">
        <f>SUM(G30:H30)</f>
        <v>150000</v>
      </c>
      <c r="J30" s="53"/>
      <c r="K30" s="53">
        <f>SUM(I30:J30)</f>
        <v>150000</v>
      </c>
      <c r="L30" s="53"/>
      <c r="M30" s="53">
        <f>SUM(K30:L30)</f>
        <v>150000</v>
      </c>
      <c r="N30" s="53"/>
      <c r="O30" s="53">
        <f>SUM(M30:N30)</f>
        <v>150000</v>
      </c>
      <c r="P30" s="53"/>
      <c r="Q30" s="53">
        <f>SUM(O30:P30)</f>
        <v>150000</v>
      </c>
      <c r="R30" s="53"/>
      <c r="S30" s="53">
        <f>SUM(Q30:R30)</f>
        <v>150000</v>
      </c>
      <c r="T30" s="53"/>
      <c r="U30" s="53">
        <f>SUM(S30:T30)</f>
        <v>150000</v>
      </c>
      <c r="V30" s="53"/>
      <c r="W30" s="53">
        <f>SUM(U30:V30)</f>
        <v>150000</v>
      </c>
      <c r="X30" s="53"/>
      <c r="Y30" s="53">
        <f>SUM(W30:X30)</f>
        <v>150000</v>
      </c>
      <c r="Z30" s="53"/>
      <c r="AA30" s="53">
        <f t="shared" si="2"/>
        <v>150000</v>
      </c>
      <c r="AB30" s="53"/>
      <c r="AC30" s="53">
        <f t="shared" si="3"/>
        <v>150000</v>
      </c>
      <c r="AD30" s="53"/>
      <c r="AE30" s="53">
        <f t="shared" si="13"/>
        <v>150000</v>
      </c>
      <c r="AF30" s="53"/>
      <c r="AG30" s="53">
        <f t="shared" si="14"/>
        <v>150000</v>
      </c>
      <c r="AH30" s="53"/>
      <c r="AI30" s="53">
        <f t="shared" si="15"/>
        <v>150000</v>
      </c>
      <c r="AJ30" s="53"/>
      <c r="AK30" s="53">
        <f t="shared" si="16"/>
        <v>150000</v>
      </c>
      <c r="AL30" s="75"/>
      <c r="AM30" s="75"/>
    </row>
    <row r="31" spans="1:39" s="15" customFormat="1" ht="21.75" customHeight="1">
      <c r="A31" s="41"/>
      <c r="B31" s="60"/>
      <c r="C31" s="41">
        <v>4300</v>
      </c>
      <c r="D31" s="27" t="s">
        <v>69</v>
      </c>
      <c r="E31" s="53">
        <f>70000+80000+200000+51650</f>
        <v>401650</v>
      </c>
      <c r="F31" s="53">
        <v>100000</v>
      </c>
      <c r="G31" s="53">
        <f>SUM(E31:F31)</f>
        <v>501650</v>
      </c>
      <c r="H31" s="53"/>
      <c r="I31" s="53">
        <f>SUM(G31:H31)</f>
        <v>501650</v>
      </c>
      <c r="J31" s="53"/>
      <c r="K31" s="53">
        <f>SUM(I31:J31)</f>
        <v>501650</v>
      </c>
      <c r="L31" s="53"/>
      <c r="M31" s="53">
        <f>SUM(K31:L31)</f>
        <v>501650</v>
      </c>
      <c r="N31" s="53"/>
      <c r="O31" s="53">
        <f>SUM(M31:N31)</f>
        <v>501650</v>
      </c>
      <c r="P31" s="53">
        <f>-3600+9150</f>
        <v>5550</v>
      </c>
      <c r="Q31" s="53">
        <f>SUM(O31:P31)</f>
        <v>507200</v>
      </c>
      <c r="R31" s="53"/>
      <c r="S31" s="53">
        <f>SUM(Q31:R31)</f>
        <v>507200</v>
      </c>
      <c r="T31" s="44">
        <f>-2500+60000</f>
        <v>57500</v>
      </c>
      <c r="U31" s="53">
        <f>SUM(S31:T31)</f>
        <v>564700</v>
      </c>
      <c r="V31" s="44">
        <v>500</v>
      </c>
      <c r="W31" s="53">
        <f>SUM(U31:V31)</f>
        <v>565200</v>
      </c>
      <c r="X31" s="44">
        <v>2200</v>
      </c>
      <c r="Y31" s="53">
        <f>SUM(W31:X31)</f>
        <v>567400</v>
      </c>
      <c r="Z31" s="44">
        <v>47550</v>
      </c>
      <c r="AA31" s="53">
        <f t="shared" si="2"/>
        <v>614950</v>
      </c>
      <c r="AB31" s="44"/>
      <c r="AC31" s="53">
        <f t="shared" si="3"/>
        <v>614950</v>
      </c>
      <c r="AD31" s="44">
        <v>-1150</v>
      </c>
      <c r="AE31" s="53">
        <f t="shared" si="13"/>
        <v>613800</v>
      </c>
      <c r="AF31" s="44"/>
      <c r="AG31" s="53">
        <f t="shared" si="14"/>
        <v>613800</v>
      </c>
      <c r="AH31" s="44"/>
      <c r="AI31" s="53">
        <f t="shared" si="15"/>
        <v>613800</v>
      </c>
      <c r="AJ31" s="44"/>
      <c r="AK31" s="53">
        <f t="shared" si="16"/>
        <v>613800</v>
      </c>
      <c r="AL31" s="75"/>
      <c r="AM31" s="75"/>
    </row>
    <row r="32" spans="1:41" s="15" customFormat="1" ht="21.75" customHeight="1">
      <c r="A32" s="41"/>
      <c r="B32" s="60"/>
      <c r="C32" s="41">
        <v>6050</v>
      </c>
      <c r="D32" s="27" t="s">
        <v>63</v>
      </c>
      <c r="E32" s="53">
        <f>1170000+150000+65000+615000+250000+346000+300000+25000+170000+66270</f>
        <v>3157270</v>
      </c>
      <c r="F32" s="53">
        <f>-265000-400000-250000-346000-100000-300000+300000+80000+15000+80000+20000+220000+40000+15000+144000+20000+30000+20000+20000+15000+190000+260000+90000+125000+60000+28000-150000-65000</f>
        <v>-104000</v>
      </c>
      <c r="G32" s="53">
        <f>SUM(E32:F32)</f>
        <v>3053270</v>
      </c>
      <c r="H32" s="53"/>
      <c r="I32" s="53">
        <f>SUM(G32:H32)</f>
        <v>3053270</v>
      </c>
      <c r="J32" s="53">
        <v>215000</v>
      </c>
      <c r="K32" s="53">
        <f>SUM(I32:J32)</f>
        <v>3268270</v>
      </c>
      <c r="L32" s="53"/>
      <c r="M32" s="53">
        <f>SUM(K32:L32)</f>
        <v>3268270</v>
      </c>
      <c r="N32" s="53"/>
      <c r="O32" s="53">
        <f>SUM(M32:N32)</f>
        <v>3268270</v>
      </c>
      <c r="P32" s="53">
        <f>252000+198000+550880-9150+30850+28900+100000+20000-13000-7000+128000+170000</f>
        <v>1449480</v>
      </c>
      <c r="Q32" s="53">
        <f>SUM(O32:P32)</f>
        <v>4717750</v>
      </c>
      <c r="R32" s="53"/>
      <c r="S32" s="53">
        <f>SUM(Q32:R32)</f>
        <v>4717750</v>
      </c>
      <c r="T32" s="53">
        <f>3000+178000+580000-230000+310000-310000+10000+48000-48000+5000+360000-120000+24000-24000+4000+97000+20000+25000+17000</f>
        <v>949000</v>
      </c>
      <c r="U32" s="53">
        <f>SUM(S32:T32)</f>
        <v>5666750</v>
      </c>
      <c r="V32" s="53"/>
      <c r="W32" s="53">
        <f>SUM(U32:V32)</f>
        <v>5666750</v>
      </c>
      <c r="X32" s="53">
        <f>284000+335000-20300+2000+4000+218000-15500+3795+32000-1400+141000-7500+343000-740880+1590880-177000-157000+819000+12000</f>
        <v>2665095</v>
      </c>
      <c r="Y32" s="53">
        <f>SUM(W32:X32)</f>
        <v>8331845</v>
      </c>
      <c r="Z32" s="53">
        <v>108050</v>
      </c>
      <c r="AA32" s="53">
        <f t="shared" si="2"/>
        <v>8439895</v>
      </c>
      <c r="AB32" s="53"/>
      <c r="AC32" s="53">
        <f t="shared" si="3"/>
        <v>8439895</v>
      </c>
      <c r="AD32" s="53">
        <f>425-804000-20000</f>
        <v>-823575</v>
      </c>
      <c r="AE32" s="53">
        <f t="shared" si="13"/>
        <v>7616320</v>
      </c>
      <c r="AF32" s="53"/>
      <c r="AG32" s="53">
        <f t="shared" si="14"/>
        <v>7616320</v>
      </c>
      <c r="AH32" s="53">
        <v>180</v>
      </c>
      <c r="AI32" s="53">
        <f t="shared" si="15"/>
        <v>7616500</v>
      </c>
      <c r="AJ32" s="53"/>
      <c r="AK32" s="53">
        <f t="shared" si="16"/>
        <v>7616500</v>
      </c>
      <c r="AL32" s="75"/>
      <c r="AM32" s="75"/>
      <c r="AN32" s="75"/>
      <c r="AO32" s="75"/>
    </row>
    <row r="33" spans="1:41" s="15" customFormat="1" ht="24">
      <c r="A33" s="41"/>
      <c r="B33" s="60"/>
      <c r="C33" s="41">
        <v>6060</v>
      </c>
      <c r="D33" s="27" t="s">
        <v>86</v>
      </c>
      <c r="E33" s="53">
        <v>15000</v>
      </c>
      <c r="F33" s="53"/>
      <c r="G33" s="53">
        <f>SUM(E33:F33)</f>
        <v>15000</v>
      </c>
      <c r="H33" s="53"/>
      <c r="I33" s="53">
        <f>SUM(G33:H33)</f>
        <v>15000</v>
      </c>
      <c r="J33" s="53"/>
      <c r="K33" s="53">
        <f>SUM(I33:J33)</f>
        <v>15000</v>
      </c>
      <c r="L33" s="53"/>
      <c r="M33" s="53">
        <f>SUM(K33:L33)</f>
        <v>15000</v>
      </c>
      <c r="N33" s="53"/>
      <c r="O33" s="53">
        <f>SUM(M33:N33)</f>
        <v>15000</v>
      </c>
      <c r="P33" s="53"/>
      <c r="Q33" s="53">
        <f>SUM(O33:P33)</f>
        <v>15000</v>
      </c>
      <c r="R33" s="53"/>
      <c r="S33" s="53">
        <f>SUM(Q33:R33)</f>
        <v>15000</v>
      </c>
      <c r="T33" s="53"/>
      <c r="U33" s="53">
        <f>SUM(S33:T33)</f>
        <v>15000</v>
      </c>
      <c r="V33" s="53"/>
      <c r="W33" s="53">
        <f>SUM(U33:V33)</f>
        <v>15000</v>
      </c>
      <c r="X33" s="53"/>
      <c r="Y33" s="53">
        <f>SUM(W33:X33)</f>
        <v>15000</v>
      </c>
      <c r="Z33" s="53"/>
      <c r="AA33" s="53">
        <f t="shared" si="2"/>
        <v>15000</v>
      </c>
      <c r="AB33" s="53"/>
      <c r="AC33" s="53">
        <f t="shared" si="3"/>
        <v>15000</v>
      </c>
      <c r="AD33" s="53"/>
      <c r="AE33" s="53">
        <f t="shared" si="13"/>
        <v>15000</v>
      </c>
      <c r="AF33" s="53"/>
      <c r="AG33" s="53">
        <f t="shared" si="14"/>
        <v>15000</v>
      </c>
      <c r="AH33" s="53"/>
      <c r="AI33" s="53">
        <f t="shared" si="15"/>
        <v>15000</v>
      </c>
      <c r="AJ33" s="53"/>
      <c r="AK33" s="53">
        <f t="shared" si="16"/>
        <v>15000</v>
      </c>
      <c r="AL33" s="75"/>
      <c r="AM33" s="75"/>
      <c r="AN33" s="75"/>
      <c r="AO33" s="75"/>
    </row>
    <row r="34" spans="1:39" s="3" customFormat="1" ht="24.75" customHeight="1">
      <c r="A34" s="22" t="s">
        <v>17</v>
      </c>
      <c r="B34" s="23"/>
      <c r="C34" s="24"/>
      <c r="D34" s="25" t="s">
        <v>18</v>
      </c>
      <c r="E34" s="26">
        <f aca="true" t="shared" si="23" ref="E34:Z34">SUM(E35,E37,E45,E50)</f>
        <v>1261768</v>
      </c>
      <c r="F34" s="26">
        <f t="shared" si="23"/>
        <v>966400</v>
      </c>
      <c r="G34" s="26">
        <f t="shared" si="23"/>
        <v>2228168</v>
      </c>
      <c r="H34" s="26">
        <f t="shared" si="23"/>
        <v>52000</v>
      </c>
      <c r="I34" s="26">
        <f t="shared" si="23"/>
        <v>2280168</v>
      </c>
      <c r="J34" s="26">
        <f t="shared" si="23"/>
        <v>0</v>
      </c>
      <c r="K34" s="26">
        <f t="shared" si="23"/>
        <v>2280168</v>
      </c>
      <c r="L34" s="26">
        <f t="shared" si="23"/>
        <v>0</v>
      </c>
      <c r="M34" s="26">
        <f t="shared" si="23"/>
        <v>2280168</v>
      </c>
      <c r="N34" s="26">
        <f t="shared" si="23"/>
        <v>0</v>
      </c>
      <c r="O34" s="26">
        <f t="shared" si="23"/>
        <v>2280168</v>
      </c>
      <c r="P34" s="26">
        <f t="shared" si="23"/>
        <v>0</v>
      </c>
      <c r="Q34" s="26">
        <f t="shared" si="23"/>
        <v>2280168</v>
      </c>
      <c r="R34" s="26">
        <f t="shared" si="23"/>
        <v>3621</v>
      </c>
      <c r="S34" s="26">
        <f t="shared" si="23"/>
        <v>2283789</v>
      </c>
      <c r="T34" s="26">
        <f t="shared" si="23"/>
        <v>480000</v>
      </c>
      <c r="U34" s="26">
        <f t="shared" si="23"/>
        <v>2763789</v>
      </c>
      <c r="V34" s="26">
        <f t="shared" si="23"/>
        <v>0</v>
      </c>
      <c r="W34" s="26">
        <f t="shared" si="23"/>
        <v>2763789</v>
      </c>
      <c r="X34" s="26">
        <f t="shared" si="23"/>
        <v>187664</v>
      </c>
      <c r="Y34" s="26">
        <f t="shared" si="23"/>
        <v>2951453</v>
      </c>
      <c r="Z34" s="26">
        <f t="shared" si="23"/>
        <v>583576</v>
      </c>
      <c r="AA34" s="26">
        <f t="shared" si="2"/>
        <v>3535029</v>
      </c>
      <c r="AB34" s="26">
        <f>SUM(AB35,AB37,AB45,AB50)</f>
        <v>0</v>
      </c>
      <c r="AC34" s="26">
        <f t="shared" si="3"/>
        <v>3535029</v>
      </c>
      <c r="AD34" s="26">
        <f>SUM(AD35,AD37,AD45,AD50)</f>
        <v>142571</v>
      </c>
      <c r="AE34" s="26">
        <f t="shared" si="13"/>
        <v>3677600</v>
      </c>
      <c r="AF34" s="26">
        <f>SUM(AF35,AF37,AF45,AF50)</f>
        <v>0</v>
      </c>
      <c r="AG34" s="26">
        <f t="shared" si="14"/>
        <v>3677600</v>
      </c>
      <c r="AH34" s="26">
        <f>SUM(AH35,AH37,AH45,AH50)</f>
        <v>0</v>
      </c>
      <c r="AI34" s="26">
        <f t="shared" si="15"/>
        <v>3677600</v>
      </c>
      <c r="AJ34" s="26">
        <f>SUM(AJ35,AJ37,AJ45,AJ50)</f>
        <v>0</v>
      </c>
      <c r="AK34" s="26">
        <f t="shared" si="16"/>
        <v>3677600</v>
      </c>
      <c r="AL34" s="92"/>
      <c r="AM34" s="92"/>
    </row>
    <row r="35" spans="1:39" s="15" customFormat="1" ht="24.75" customHeight="1">
      <c r="A35" s="41"/>
      <c r="B35" s="60">
        <v>70004</v>
      </c>
      <c r="C35" s="59"/>
      <c r="D35" s="27" t="s">
        <v>169</v>
      </c>
      <c r="E35" s="53">
        <f aca="true" t="shared" si="24" ref="E35:AJ35">SUM(E36)</f>
        <v>63000</v>
      </c>
      <c r="F35" s="53">
        <f t="shared" si="24"/>
        <v>0</v>
      </c>
      <c r="G35" s="53">
        <f t="shared" si="24"/>
        <v>63000</v>
      </c>
      <c r="H35" s="53">
        <f t="shared" si="24"/>
        <v>0</v>
      </c>
      <c r="I35" s="53">
        <f t="shared" si="24"/>
        <v>63000</v>
      </c>
      <c r="J35" s="53">
        <f t="shared" si="24"/>
        <v>0</v>
      </c>
      <c r="K35" s="53">
        <f t="shared" si="24"/>
        <v>63000</v>
      </c>
      <c r="L35" s="53">
        <f t="shared" si="24"/>
        <v>0</v>
      </c>
      <c r="M35" s="53">
        <f t="shared" si="24"/>
        <v>63000</v>
      </c>
      <c r="N35" s="53">
        <f t="shared" si="24"/>
        <v>0</v>
      </c>
      <c r="O35" s="53">
        <f t="shared" si="24"/>
        <v>63000</v>
      </c>
      <c r="P35" s="53">
        <f t="shared" si="24"/>
        <v>0</v>
      </c>
      <c r="Q35" s="53">
        <f t="shared" si="24"/>
        <v>63000</v>
      </c>
      <c r="R35" s="53">
        <f t="shared" si="24"/>
        <v>-18000</v>
      </c>
      <c r="S35" s="53">
        <f t="shared" si="24"/>
        <v>45000</v>
      </c>
      <c r="T35" s="53">
        <f t="shared" si="24"/>
        <v>0</v>
      </c>
      <c r="U35" s="53">
        <f t="shared" si="24"/>
        <v>45000</v>
      </c>
      <c r="V35" s="53">
        <f t="shared" si="24"/>
        <v>0</v>
      </c>
      <c r="W35" s="53">
        <f t="shared" si="24"/>
        <v>45000</v>
      </c>
      <c r="X35" s="53">
        <f t="shared" si="24"/>
        <v>-20000</v>
      </c>
      <c r="Y35" s="53">
        <f t="shared" si="24"/>
        <v>25000</v>
      </c>
      <c r="Z35" s="53">
        <f t="shared" si="24"/>
        <v>0</v>
      </c>
      <c r="AA35" s="53">
        <f t="shared" si="2"/>
        <v>25000</v>
      </c>
      <c r="AB35" s="53">
        <f t="shared" si="24"/>
        <v>0</v>
      </c>
      <c r="AC35" s="53">
        <f t="shared" si="3"/>
        <v>25000</v>
      </c>
      <c r="AD35" s="53">
        <f t="shared" si="24"/>
        <v>0</v>
      </c>
      <c r="AE35" s="53">
        <f t="shared" si="13"/>
        <v>25000</v>
      </c>
      <c r="AF35" s="53">
        <f t="shared" si="24"/>
        <v>6500</v>
      </c>
      <c r="AG35" s="53">
        <f t="shared" si="14"/>
        <v>31500</v>
      </c>
      <c r="AH35" s="53">
        <f t="shared" si="24"/>
        <v>0</v>
      </c>
      <c r="AI35" s="53">
        <f t="shared" si="15"/>
        <v>31500</v>
      </c>
      <c r="AJ35" s="53">
        <f t="shared" si="24"/>
        <v>78</v>
      </c>
      <c r="AK35" s="53">
        <f t="shared" si="16"/>
        <v>31578</v>
      </c>
      <c r="AL35" s="75"/>
      <c r="AM35" s="75"/>
    </row>
    <row r="36" spans="1:39" s="15" customFormat="1" ht="21.75" customHeight="1">
      <c r="A36" s="41"/>
      <c r="B36" s="60"/>
      <c r="C36" s="59">
        <v>4300</v>
      </c>
      <c r="D36" s="27" t="s">
        <v>69</v>
      </c>
      <c r="E36" s="53">
        <f>18000+45000</f>
        <v>63000</v>
      </c>
      <c r="F36" s="53"/>
      <c r="G36" s="53">
        <f>SUM(E36:F36)</f>
        <v>63000</v>
      </c>
      <c r="H36" s="53"/>
      <c r="I36" s="53">
        <f>SUM(G36:H36)</f>
        <v>63000</v>
      </c>
      <c r="J36" s="53"/>
      <c r="K36" s="53">
        <f>SUM(I36:J36)</f>
        <v>63000</v>
      </c>
      <c r="L36" s="53"/>
      <c r="M36" s="53">
        <f>SUM(K36:L36)</f>
        <v>63000</v>
      </c>
      <c r="N36" s="53"/>
      <c r="O36" s="53">
        <f>SUM(M36:N36)</f>
        <v>63000</v>
      </c>
      <c r="P36" s="53"/>
      <c r="Q36" s="53">
        <f>SUM(O36:P36)</f>
        <v>63000</v>
      </c>
      <c r="R36" s="53">
        <v>-18000</v>
      </c>
      <c r="S36" s="53">
        <f>SUM(Q36:R36)</f>
        <v>45000</v>
      </c>
      <c r="T36" s="53"/>
      <c r="U36" s="53">
        <f>SUM(S36:T36)</f>
        <v>45000</v>
      </c>
      <c r="V36" s="53"/>
      <c r="W36" s="53">
        <f>SUM(U36:V36)</f>
        <v>45000</v>
      </c>
      <c r="X36" s="53">
        <v>-20000</v>
      </c>
      <c r="Y36" s="53">
        <f>SUM(W36:X36)</f>
        <v>25000</v>
      </c>
      <c r="Z36" s="53"/>
      <c r="AA36" s="53">
        <f t="shared" si="2"/>
        <v>25000</v>
      </c>
      <c r="AB36" s="53"/>
      <c r="AC36" s="53">
        <f t="shared" si="3"/>
        <v>25000</v>
      </c>
      <c r="AD36" s="53"/>
      <c r="AE36" s="53">
        <f t="shared" si="13"/>
        <v>25000</v>
      </c>
      <c r="AF36" s="53">
        <v>6500</v>
      </c>
      <c r="AG36" s="53">
        <f t="shared" si="14"/>
        <v>31500</v>
      </c>
      <c r="AH36" s="53"/>
      <c r="AI36" s="53">
        <f t="shared" si="15"/>
        <v>31500</v>
      </c>
      <c r="AJ36" s="53">
        <v>78</v>
      </c>
      <c r="AK36" s="53">
        <f t="shared" si="16"/>
        <v>31578</v>
      </c>
      <c r="AL36" s="75"/>
      <c r="AM36" s="75"/>
    </row>
    <row r="37" spans="1:39" s="15" customFormat="1" ht="22.5" customHeight="1">
      <c r="A37" s="41"/>
      <c r="B37" s="55" t="s">
        <v>19</v>
      </c>
      <c r="C37" s="59"/>
      <c r="D37" s="27" t="s">
        <v>143</v>
      </c>
      <c r="E37" s="53">
        <f aca="true" t="shared" si="25" ref="E37:Z37">SUM(E38:E44)</f>
        <v>212808</v>
      </c>
      <c r="F37" s="53">
        <f t="shared" si="25"/>
        <v>976400</v>
      </c>
      <c r="G37" s="53">
        <f t="shared" si="25"/>
        <v>1189208</v>
      </c>
      <c r="H37" s="53">
        <f t="shared" si="25"/>
        <v>52000</v>
      </c>
      <c r="I37" s="53">
        <f t="shared" si="25"/>
        <v>1241208</v>
      </c>
      <c r="J37" s="53">
        <f t="shared" si="25"/>
        <v>0</v>
      </c>
      <c r="K37" s="53">
        <f t="shared" si="25"/>
        <v>1241208</v>
      </c>
      <c r="L37" s="53">
        <f t="shared" si="25"/>
        <v>0</v>
      </c>
      <c r="M37" s="53">
        <f t="shared" si="25"/>
        <v>1241208</v>
      </c>
      <c r="N37" s="53">
        <f t="shared" si="25"/>
        <v>0</v>
      </c>
      <c r="O37" s="53">
        <f t="shared" si="25"/>
        <v>1241208</v>
      </c>
      <c r="P37" s="53">
        <f t="shared" si="25"/>
        <v>0</v>
      </c>
      <c r="Q37" s="53">
        <f t="shared" si="25"/>
        <v>1241208</v>
      </c>
      <c r="R37" s="53">
        <f t="shared" si="25"/>
        <v>318000</v>
      </c>
      <c r="S37" s="53">
        <f t="shared" si="25"/>
        <v>1559208</v>
      </c>
      <c r="T37" s="53">
        <f t="shared" si="25"/>
        <v>80000</v>
      </c>
      <c r="U37" s="53">
        <f t="shared" si="25"/>
        <v>1639208</v>
      </c>
      <c r="V37" s="53">
        <f t="shared" si="25"/>
        <v>0</v>
      </c>
      <c r="W37" s="53">
        <f t="shared" si="25"/>
        <v>1639208</v>
      </c>
      <c r="X37" s="53">
        <f t="shared" si="25"/>
        <v>205164</v>
      </c>
      <c r="Y37" s="53">
        <f t="shared" si="25"/>
        <v>1844372</v>
      </c>
      <c r="Z37" s="53">
        <f t="shared" si="25"/>
        <v>0</v>
      </c>
      <c r="AA37" s="53">
        <f t="shared" si="2"/>
        <v>1844372</v>
      </c>
      <c r="AB37" s="53">
        <f>SUM(AB38:AB44)</f>
        <v>0</v>
      </c>
      <c r="AC37" s="53">
        <f t="shared" si="3"/>
        <v>1844372</v>
      </c>
      <c r="AD37" s="53">
        <f>SUM(AD38:AD44)</f>
        <v>58000</v>
      </c>
      <c r="AE37" s="53">
        <f t="shared" si="13"/>
        <v>1902372</v>
      </c>
      <c r="AF37" s="53">
        <f>SUM(AF38:AF44)</f>
        <v>-6500</v>
      </c>
      <c r="AG37" s="53">
        <f t="shared" si="14"/>
        <v>1895872</v>
      </c>
      <c r="AH37" s="53">
        <f>SUM(AH38:AH44)</f>
        <v>0</v>
      </c>
      <c r="AI37" s="53">
        <f t="shared" si="15"/>
        <v>1895872</v>
      </c>
      <c r="AJ37" s="53">
        <f>SUM(AJ38:AJ44)</f>
        <v>-78</v>
      </c>
      <c r="AK37" s="53">
        <f t="shared" si="16"/>
        <v>1895794</v>
      </c>
      <c r="AL37" s="75"/>
      <c r="AM37" s="75"/>
    </row>
    <row r="38" spans="1:39" s="15" customFormat="1" ht="21.75" customHeight="1">
      <c r="A38" s="41"/>
      <c r="B38" s="55"/>
      <c r="C38" s="59">
        <v>4510</v>
      </c>
      <c r="D38" s="27" t="s">
        <v>140</v>
      </c>
      <c r="E38" s="53">
        <v>76</v>
      </c>
      <c r="F38" s="53"/>
      <c r="G38" s="53">
        <f>SUM(E38:F38)</f>
        <v>76</v>
      </c>
      <c r="H38" s="53"/>
      <c r="I38" s="53">
        <f>SUM(G38:H38)</f>
        <v>76</v>
      </c>
      <c r="J38" s="53"/>
      <c r="K38" s="53">
        <f>SUM(I38:J38)</f>
        <v>76</v>
      </c>
      <c r="L38" s="53"/>
      <c r="M38" s="53">
        <f>SUM(K38:L38)</f>
        <v>76</v>
      </c>
      <c r="N38" s="53"/>
      <c r="O38" s="53">
        <f>SUM(M38:N38)</f>
        <v>76</v>
      </c>
      <c r="P38" s="53"/>
      <c r="Q38" s="53">
        <f aca="true" t="shared" si="26" ref="Q38:Q44">SUM(O38:P38)</f>
        <v>76</v>
      </c>
      <c r="R38" s="53"/>
      <c r="S38" s="53">
        <f aca="true" t="shared" si="27" ref="S38:S44">SUM(Q38:R38)</f>
        <v>76</v>
      </c>
      <c r="T38" s="53"/>
      <c r="U38" s="53">
        <f aca="true" t="shared" si="28" ref="U38:U44">SUM(S38:T38)</f>
        <v>76</v>
      </c>
      <c r="V38" s="53">
        <v>689</v>
      </c>
      <c r="W38" s="53">
        <f aca="true" t="shared" si="29" ref="W38:W44">SUM(U38:V38)</f>
        <v>765</v>
      </c>
      <c r="X38" s="53"/>
      <c r="Y38" s="53">
        <f aca="true" t="shared" si="30" ref="Y38:Y44">SUM(W38:X38)</f>
        <v>765</v>
      </c>
      <c r="Z38" s="53"/>
      <c r="AA38" s="53">
        <f t="shared" si="2"/>
        <v>765</v>
      </c>
      <c r="AB38" s="53"/>
      <c r="AC38" s="53">
        <f t="shared" si="3"/>
        <v>765</v>
      </c>
      <c r="AD38" s="53"/>
      <c r="AE38" s="53">
        <f t="shared" si="13"/>
        <v>765</v>
      </c>
      <c r="AF38" s="53"/>
      <c r="AG38" s="53">
        <f t="shared" si="14"/>
        <v>765</v>
      </c>
      <c r="AH38" s="53"/>
      <c r="AI38" s="53">
        <f t="shared" si="15"/>
        <v>765</v>
      </c>
      <c r="AJ38" s="53"/>
      <c r="AK38" s="53">
        <f t="shared" si="16"/>
        <v>765</v>
      </c>
      <c r="AL38" s="75"/>
      <c r="AM38" s="75"/>
    </row>
    <row r="39" spans="1:39" s="15" customFormat="1" ht="21.75" customHeight="1">
      <c r="A39" s="41"/>
      <c r="B39" s="55"/>
      <c r="C39" s="59">
        <v>4210</v>
      </c>
      <c r="D39" s="27" t="s">
        <v>62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>
        <v>0</v>
      </c>
      <c r="P39" s="53">
        <v>30000</v>
      </c>
      <c r="Q39" s="53">
        <f t="shared" si="26"/>
        <v>30000</v>
      </c>
      <c r="R39" s="53"/>
      <c r="S39" s="53">
        <f t="shared" si="27"/>
        <v>30000</v>
      </c>
      <c r="T39" s="53"/>
      <c r="U39" s="53">
        <f t="shared" si="28"/>
        <v>30000</v>
      </c>
      <c r="V39" s="53"/>
      <c r="W39" s="53">
        <f t="shared" si="29"/>
        <v>30000</v>
      </c>
      <c r="X39" s="53"/>
      <c r="Y39" s="53">
        <f t="shared" si="30"/>
        <v>30000</v>
      </c>
      <c r="Z39" s="53"/>
      <c r="AA39" s="53">
        <f t="shared" si="2"/>
        <v>30000</v>
      </c>
      <c r="AB39" s="53"/>
      <c r="AC39" s="53">
        <f t="shared" si="3"/>
        <v>30000</v>
      </c>
      <c r="AD39" s="53"/>
      <c r="AE39" s="53">
        <f t="shared" si="13"/>
        <v>30000</v>
      </c>
      <c r="AF39" s="53"/>
      <c r="AG39" s="53">
        <f t="shared" si="14"/>
        <v>30000</v>
      </c>
      <c r="AH39" s="53"/>
      <c r="AI39" s="53">
        <f t="shared" si="15"/>
        <v>30000</v>
      </c>
      <c r="AJ39" s="53"/>
      <c r="AK39" s="53">
        <f t="shared" si="16"/>
        <v>30000</v>
      </c>
      <c r="AL39" s="75"/>
      <c r="AM39" s="75"/>
    </row>
    <row r="40" spans="1:39" s="15" customFormat="1" ht="21.75" customHeight="1">
      <c r="A40" s="41"/>
      <c r="B40" s="55"/>
      <c r="C40" s="59">
        <v>4260</v>
      </c>
      <c r="D40" s="27" t="s">
        <v>85</v>
      </c>
      <c r="E40" s="53">
        <v>0</v>
      </c>
      <c r="F40" s="53">
        <f>10000+6000</f>
        <v>16000</v>
      </c>
      <c r="G40" s="53">
        <f>SUM(E40:F40)</f>
        <v>16000</v>
      </c>
      <c r="H40" s="53">
        <f>20000+9000</f>
        <v>29000</v>
      </c>
      <c r="I40" s="53">
        <f>SUM(G40:H40)</f>
        <v>45000</v>
      </c>
      <c r="J40" s="53"/>
      <c r="K40" s="53">
        <f>SUM(I40:J40)</f>
        <v>45000</v>
      </c>
      <c r="L40" s="53"/>
      <c r="M40" s="53">
        <f>SUM(K40:L40)</f>
        <v>45000</v>
      </c>
      <c r="N40" s="53"/>
      <c r="O40" s="53">
        <f>SUM(M40:N40)</f>
        <v>45000</v>
      </c>
      <c r="P40" s="53"/>
      <c r="Q40" s="53">
        <f t="shared" si="26"/>
        <v>45000</v>
      </c>
      <c r="R40" s="53">
        <f>5000+6000+6000</f>
        <v>17000</v>
      </c>
      <c r="S40" s="53">
        <f t="shared" si="27"/>
        <v>62000</v>
      </c>
      <c r="T40" s="53"/>
      <c r="U40" s="53">
        <f t="shared" si="28"/>
        <v>62000</v>
      </c>
      <c r="V40" s="53"/>
      <c r="W40" s="53">
        <f t="shared" si="29"/>
        <v>62000</v>
      </c>
      <c r="X40" s="53"/>
      <c r="Y40" s="53">
        <f t="shared" si="30"/>
        <v>62000</v>
      </c>
      <c r="Z40" s="53"/>
      <c r="AA40" s="53">
        <f t="shared" si="2"/>
        <v>62000</v>
      </c>
      <c r="AB40" s="53"/>
      <c r="AC40" s="53">
        <f t="shared" si="3"/>
        <v>62000</v>
      </c>
      <c r="AD40" s="53">
        <v>-12000</v>
      </c>
      <c r="AE40" s="53">
        <f t="shared" si="13"/>
        <v>50000</v>
      </c>
      <c r="AF40" s="53"/>
      <c r="AG40" s="53">
        <f t="shared" si="14"/>
        <v>50000</v>
      </c>
      <c r="AH40" s="53"/>
      <c r="AI40" s="53">
        <f t="shared" si="15"/>
        <v>50000</v>
      </c>
      <c r="AJ40" s="53"/>
      <c r="AK40" s="53">
        <f t="shared" si="16"/>
        <v>50000</v>
      </c>
      <c r="AL40" s="75"/>
      <c r="AM40" s="75"/>
    </row>
    <row r="41" spans="1:39" s="15" customFormat="1" ht="21.75" customHeight="1">
      <c r="A41" s="41"/>
      <c r="B41" s="55"/>
      <c r="C41" s="59">
        <v>4270</v>
      </c>
      <c r="D41" s="27" t="s">
        <v>68</v>
      </c>
      <c r="E41" s="53">
        <v>0</v>
      </c>
      <c r="F41" s="53">
        <f>150000+350000</f>
        <v>500000</v>
      </c>
      <c r="G41" s="53">
        <f>SUM(E41:F41)</f>
        <v>500000</v>
      </c>
      <c r="H41" s="53"/>
      <c r="I41" s="53">
        <f>SUM(G41:H41)</f>
        <v>500000</v>
      </c>
      <c r="J41" s="53"/>
      <c r="K41" s="53">
        <f>SUM(I41:J41)</f>
        <v>500000</v>
      </c>
      <c r="L41" s="53"/>
      <c r="M41" s="53">
        <f>SUM(K41:L41)</f>
        <v>500000</v>
      </c>
      <c r="N41" s="53"/>
      <c r="O41" s="53">
        <f>SUM(M41:N41)</f>
        <v>500000</v>
      </c>
      <c r="P41" s="53">
        <f>-30000</f>
        <v>-30000</v>
      </c>
      <c r="Q41" s="53">
        <f t="shared" si="26"/>
        <v>470000</v>
      </c>
      <c r="R41" s="53">
        <v>94564</v>
      </c>
      <c r="S41" s="53">
        <f t="shared" si="27"/>
        <v>564564</v>
      </c>
      <c r="T41" s="53">
        <f>50000+5000+25000</f>
        <v>80000</v>
      </c>
      <c r="U41" s="53">
        <f t="shared" si="28"/>
        <v>644564</v>
      </c>
      <c r="V41" s="53"/>
      <c r="W41" s="53">
        <f t="shared" si="29"/>
        <v>644564</v>
      </c>
      <c r="X41" s="53"/>
      <c r="Y41" s="53">
        <f t="shared" si="30"/>
        <v>644564</v>
      </c>
      <c r="Z41" s="53"/>
      <c r="AA41" s="53">
        <f t="shared" si="2"/>
        <v>644564</v>
      </c>
      <c r="AB41" s="53"/>
      <c r="AC41" s="53">
        <f t="shared" si="3"/>
        <v>644564</v>
      </c>
      <c r="AD41" s="53">
        <v>45000</v>
      </c>
      <c r="AE41" s="53">
        <f t="shared" si="13"/>
        <v>689564</v>
      </c>
      <c r="AF41" s="53"/>
      <c r="AG41" s="53">
        <f t="shared" si="14"/>
        <v>689564</v>
      </c>
      <c r="AH41" s="53"/>
      <c r="AI41" s="53">
        <f t="shared" si="15"/>
        <v>689564</v>
      </c>
      <c r="AJ41" s="53">
        <v>33955</v>
      </c>
      <c r="AK41" s="53">
        <f t="shared" si="16"/>
        <v>723519</v>
      </c>
      <c r="AL41" s="75"/>
      <c r="AM41" s="75"/>
    </row>
    <row r="42" spans="1:39" s="15" customFormat="1" ht="21.75" customHeight="1">
      <c r="A42" s="41"/>
      <c r="B42" s="60"/>
      <c r="C42" s="41">
        <v>4300</v>
      </c>
      <c r="D42" s="27" t="s">
        <v>69</v>
      </c>
      <c r="E42" s="53">
        <f>200000+12000+600</f>
        <v>212600</v>
      </c>
      <c r="F42" s="53">
        <f>376000+30000+10000+20000+10000</f>
        <v>446000</v>
      </c>
      <c r="G42" s="53">
        <f>SUM(E42:F42)</f>
        <v>658600</v>
      </c>
      <c r="H42" s="53">
        <f>18000+5000</f>
        <v>23000</v>
      </c>
      <c r="I42" s="53">
        <f>SUM(G42:H42)</f>
        <v>681600</v>
      </c>
      <c r="J42" s="53"/>
      <c r="K42" s="53">
        <f>SUM(I42:J42)</f>
        <v>681600</v>
      </c>
      <c r="L42" s="53"/>
      <c r="M42" s="53">
        <f>SUM(K42:L42)</f>
        <v>681600</v>
      </c>
      <c r="N42" s="53"/>
      <c r="O42" s="53">
        <f>SUM(M42:N42)</f>
        <v>681600</v>
      </c>
      <c r="P42" s="53"/>
      <c r="Q42" s="53">
        <f t="shared" si="26"/>
        <v>681600</v>
      </c>
      <c r="R42" s="53">
        <f>52000-376000</f>
        <v>-324000</v>
      </c>
      <c r="S42" s="53">
        <f t="shared" si="27"/>
        <v>357600</v>
      </c>
      <c r="T42" s="53"/>
      <c r="U42" s="53">
        <f t="shared" si="28"/>
        <v>357600</v>
      </c>
      <c r="V42" s="53">
        <v>-689</v>
      </c>
      <c r="W42" s="53">
        <f t="shared" si="29"/>
        <v>356911</v>
      </c>
      <c r="X42" s="53">
        <v>14000</v>
      </c>
      <c r="Y42" s="53">
        <f t="shared" si="30"/>
        <v>370911</v>
      </c>
      <c r="Z42" s="53"/>
      <c r="AA42" s="53">
        <f t="shared" si="2"/>
        <v>370911</v>
      </c>
      <c r="AB42" s="141"/>
      <c r="AC42" s="53">
        <f t="shared" si="3"/>
        <v>370911</v>
      </c>
      <c r="AD42" s="141">
        <v>55000</v>
      </c>
      <c r="AE42" s="53">
        <f t="shared" si="13"/>
        <v>425911</v>
      </c>
      <c r="AF42" s="141">
        <v>-6500</v>
      </c>
      <c r="AG42" s="53">
        <f t="shared" si="14"/>
        <v>419411</v>
      </c>
      <c r="AH42" s="141"/>
      <c r="AI42" s="53">
        <f t="shared" si="15"/>
        <v>419411</v>
      </c>
      <c r="AJ42" s="53">
        <f>-33955-78</f>
        <v>-34033</v>
      </c>
      <c r="AK42" s="53">
        <f t="shared" si="16"/>
        <v>385378</v>
      </c>
      <c r="AL42" s="75"/>
      <c r="AM42" s="75"/>
    </row>
    <row r="43" spans="1:39" s="15" customFormat="1" ht="24">
      <c r="A43" s="41"/>
      <c r="B43" s="60"/>
      <c r="C43" s="41">
        <v>4400</v>
      </c>
      <c r="D43" s="27" t="s">
        <v>203</v>
      </c>
      <c r="E43" s="53">
        <v>0</v>
      </c>
      <c r="F43" s="53">
        <v>14400</v>
      </c>
      <c r="G43" s="53">
        <f>SUM(E43:F43)</f>
        <v>14400</v>
      </c>
      <c r="H43" s="53"/>
      <c r="I43" s="53">
        <f>SUM(G43:H43)</f>
        <v>14400</v>
      </c>
      <c r="J43" s="53"/>
      <c r="K43" s="53">
        <f>SUM(I43:J43)</f>
        <v>14400</v>
      </c>
      <c r="L43" s="53"/>
      <c r="M43" s="53">
        <f>SUM(K43:L43)</f>
        <v>14400</v>
      </c>
      <c r="N43" s="53"/>
      <c r="O43" s="53">
        <f>SUM(M43:N43)</f>
        <v>14400</v>
      </c>
      <c r="P43" s="53"/>
      <c r="Q43" s="53">
        <f t="shared" si="26"/>
        <v>14400</v>
      </c>
      <c r="R43" s="53">
        <f>18000+139440+156396+216600</f>
        <v>530436</v>
      </c>
      <c r="S43" s="53">
        <f t="shared" si="27"/>
        <v>544836</v>
      </c>
      <c r="T43" s="53"/>
      <c r="U43" s="53">
        <f t="shared" si="28"/>
        <v>544836</v>
      </c>
      <c r="V43" s="53"/>
      <c r="W43" s="53">
        <f t="shared" si="29"/>
        <v>544836</v>
      </c>
      <c r="X43" s="53">
        <v>191164</v>
      </c>
      <c r="Y43" s="53">
        <f t="shared" si="30"/>
        <v>736000</v>
      </c>
      <c r="Z43" s="53"/>
      <c r="AA43" s="53">
        <f t="shared" si="2"/>
        <v>736000</v>
      </c>
      <c r="AB43" s="141"/>
      <c r="AC43" s="53">
        <f t="shared" si="3"/>
        <v>736000</v>
      </c>
      <c r="AD43" s="141">
        <v>-30000</v>
      </c>
      <c r="AE43" s="53">
        <f t="shared" si="13"/>
        <v>706000</v>
      </c>
      <c r="AF43" s="141"/>
      <c r="AG43" s="53">
        <f t="shared" si="14"/>
        <v>706000</v>
      </c>
      <c r="AH43" s="141"/>
      <c r="AI43" s="53">
        <f t="shared" si="15"/>
        <v>706000</v>
      </c>
      <c r="AJ43" s="141"/>
      <c r="AK43" s="53">
        <f t="shared" si="16"/>
        <v>706000</v>
      </c>
      <c r="AL43" s="75"/>
      <c r="AM43" s="75"/>
    </row>
    <row r="44" spans="1:39" s="15" customFormat="1" ht="21.75" customHeight="1">
      <c r="A44" s="41"/>
      <c r="B44" s="60"/>
      <c r="C44" s="41">
        <v>4480</v>
      </c>
      <c r="D44" s="27" t="s">
        <v>38</v>
      </c>
      <c r="E44" s="53">
        <v>132</v>
      </c>
      <c r="F44" s="53"/>
      <c r="G44" s="53">
        <f>SUM(E44:F44)</f>
        <v>132</v>
      </c>
      <c r="H44" s="53"/>
      <c r="I44" s="53">
        <f>SUM(G44:H44)</f>
        <v>132</v>
      </c>
      <c r="J44" s="53"/>
      <c r="K44" s="53">
        <f>SUM(I44:J44)</f>
        <v>132</v>
      </c>
      <c r="L44" s="53"/>
      <c r="M44" s="53">
        <f>SUM(K44:L44)</f>
        <v>132</v>
      </c>
      <c r="N44" s="53"/>
      <c r="O44" s="53">
        <f>SUM(M44:N44)</f>
        <v>132</v>
      </c>
      <c r="P44" s="53"/>
      <c r="Q44" s="53">
        <f t="shared" si="26"/>
        <v>132</v>
      </c>
      <c r="R44" s="53"/>
      <c r="S44" s="53">
        <f t="shared" si="27"/>
        <v>132</v>
      </c>
      <c r="T44" s="53"/>
      <c r="U44" s="53">
        <f t="shared" si="28"/>
        <v>132</v>
      </c>
      <c r="V44" s="53"/>
      <c r="W44" s="53">
        <f t="shared" si="29"/>
        <v>132</v>
      </c>
      <c r="X44" s="53"/>
      <c r="Y44" s="53">
        <f t="shared" si="30"/>
        <v>132</v>
      </c>
      <c r="Z44" s="53"/>
      <c r="AA44" s="53">
        <f t="shared" si="2"/>
        <v>132</v>
      </c>
      <c r="AB44" s="141"/>
      <c r="AC44" s="53">
        <f t="shared" si="3"/>
        <v>132</v>
      </c>
      <c r="AD44" s="141"/>
      <c r="AE44" s="53">
        <f t="shared" si="13"/>
        <v>132</v>
      </c>
      <c r="AF44" s="141"/>
      <c r="AG44" s="53">
        <f t="shared" si="14"/>
        <v>132</v>
      </c>
      <c r="AH44" s="141"/>
      <c r="AI44" s="53">
        <f t="shared" si="15"/>
        <v>132</v>
      </c>
      <c r="AJ44" s="141"/>
      <c r="AK44" s="53">
        <f t="shared" si="16"/>
        <v>132</v>
      </c>
      <c r="AL44" s="75"/>
      <c r="AM44" s="75"/>
    </row>
    <row r="45" spans="1:39" s="15" customFormat="1" ht="21.75" customHeight="1">
      <c r="A45" s="41"/>
      <c r="B45" s="60">
        <v>70021</v>
      </c>
      <c r="C45" s="41"/>
      <c r="D45" s="27" t="s">
        <v>154</v>
      </c>
      <c r="E45" s="53">
        <f aca="true" t="shared" si="31" ref="E45:AA45">SUM(E46:E49)</f>
        <v>300000</v>
      </c>
      <c r="F45" s="53">
        <f t="shared" si="31"/>
        <v>75000</v>
      </c>
      <c r="G45" s="53">
        <f t="shared" si="31"/>
        <v>375000</v>
      </c>
      <c r="H45" s="53">
        <f t="shared" si="31"/>
        <v>0</v>
      </c>
      <c r="I45" s="53">
        <f t="shared" si="31"/>
        <v>375000</v>
      </c>
      <c r="J45" s="53">
        <f t="shared" si="31"/>
        <v>0</v>
      </c>
      <c r="K45" s="53">
        <f t="shared" si="31"/>
        <v>375000</v>
      </c>
      <c r="L45" s="53">
        <f t="shared" si="31"/>
        <v>0</v>
      </c>
      <c r="M45" s="53">
        <f t="shared" si="31"/>
        <v>375000</v>
      </c>
      <c r="N45" s="53">
        <f t="shared" si="31"/>
        <v>0</v>
      </c>
      <c r="O45" s="53">
        <f t="shared" si="31"/>
        <v>375000</v>
      </c>
      <c r="P45" s="53">
        <f t="shared" si="31"/>
        <v>0</v>
      </c>
      <c r="Q45" s="53">
        <f t="shared" si="31"/>
        <v>375000</v>
      </c>
      <c r="R45" s="53">
        <f t="shared" si="31"/>
        <v>-300000</v>
      </c>
      <c r="S45" s="53">
        <f t="shared" si="31"/>
        <v>75000</v>
      </c>
      <c r="T45" s="53">
        <f t="shared" si="31"/>
        <v>0</v>
      </c>
      <c r="U45" s="53">
        <f t="shared" si="31"/>
        <v>75000</v>
      </c>
      <c r="V45" s="53">
        <f t="shared" si="31"/>
        <v>0</v>
      </c>
      <c r="W45" s="53">
        <f t="shared" si="31"/>
        <v>75000</v>
      </c>
      <c r="X45" s="53">
        <f t="shared" si="31"/>
        <v>0</v>
      </c>
      <c r="Y45" s="53">
        <f t="shared" si="31"/>
        <v>75000</v>
      </c>
      <c r="Z45" s="53">
        <f t="shared" si="31"/>
        <v>583571</v>
      </c>
      <c r="AA45" s="53">
        <f t="shared" si="31"/>
        <v>658571</v>
      </c>
      <c r="AB45" s="53">
        <f aca="true" t="shared" si="32" ref="AB45:AG45">SUM(AB46:AB49)</f>
        <v>0</v>
      </c>
      <c r="AC45" s="53">
        <f t="shared" si="32"/>
        <v>658571</v>
      </c>
      <c r="AD45" s="53">
        <f t="shared" si="32"/>
        <v>84571</v>
      </c>
      <c r="AE45" s="53">
        <f t="shared" si="32"/>
        <v>743142</v>
      </c>
      <c r="AF45" s="53">
        <f t="shared" si="32"/>
        <v>0</v>
      </c>
      <c r="AG45" s="53">
        <f t="shared" si="32"/>
        <v>743142</v>
      </c>
      <c r="AH45" s="53">
        <f>SUM(AH46:AH49)</f>
        <v>0</v>
      </c>
      <c r="AI45" s="53">
        <f>SUM(AI46:AI49)</f>
        <v>743142</v>
      </c>
      <c r="AJ45" s="53">
        <f>SUM(AJ46:AJ49)</f>
        <v>0</v>
      </c>
      <c r="AK45" s="53">
        <f>SUM(AK46:AK49)</f>
        <v>743142</v>
      </c>
      <c r="AL45" s="75"/>
      <c r="AM45" s="75"/>
    </row>
    <row r="46" spans="1:39" s="15" customFormat="1" ht="21.75" customHeight="1" hidden="1">
      <c r="A46" s="41"/>
      <c r="B46" s="60"/>
      <c r="C46" s="41">
        <v>4270</v>
      </c>
      <c r="D46" s="27" t="s">
        <v>69</v>
      </c>
      <c r="E46" s="53">
        <v>300000</v>
      </c>
      <c r="F46" s="53"/>
      <c r="G46" s="53">
        <f>SUM(E46:F46)</f>
        <v>300000</v>
      </c>
      <c r="H46" s="53"/>
      <c r="I46" s="53">
        <f>SUM(G46:H46)</f>
        <v>300000</v>
      </c>
      <c r="J46" s="53"/>
      <c r="K46" s="53">
        <f>SUM(I46:J46)</f>
        <v>300000</v>
      </c>
      <c r="L46" s="53"/>
      <c r="M46" s="53">
        <f>SUM(K46:L46)</f>
        <v>300000</v>
      </c>
      <c r="N46" s="53"/>
      <c r="O46" s="53">
        <f>SUM(M46:N46)</f>
        <v>300000</v>
      </c>
      <c r="P46" s="53"/>
      <c r="Q46" s="53">
        <f>SUM(O46:P46)</f>
        <v>300000</v>
      </c>
      <c r="R46" s="53">
        <v>-300000</v>
      </c>
      <c r="S46" s="53">
        <f>SUM(Q46:R46)</f>
        <v>0</v>
      </c>
      <c r="T46" s="53"/>
      <c r="U46" s="53">
        <f>SUM(S46:T46)</f>
        <v>0</v>
      </c>
      <c r="V46" s="53"/>
      <c r="W46" s="53">
        <f>SUM(U46:V46)</f>
        <v>0</v>
      </c>
      <c r="X46" s="53"/>
      <c r="Y46" s="53">
        <f>SUM(W46:X46)</f>
        <v>0</v>
      </c>
      <c r="Z46" s="53"/>
      <c r="AA46" s="53">
        <f aca="true" t="shared" si="33" ref="AA46:AA109">SUM(Y46:Z46)</f>
        <v>0</v>
      </c>
      <c r="AB46" s="53"/>
      <c r="AC46" s="53">
        <f aca="true" t="shared" si="34" ref="AC46:AC109">SUM(AA46:AB46)</f>
        <v>0</v>
      </c>
      <c r="AD46" s="53"/>
      <c r="AE46" s="53">
        <f aca="true" t="shared" si="35" ref="AE46:AE109">SUM(AC46:AD46)</f>
        <v>0</v>
      </c>
      <c r="AF46" s="53"/>
      <c r="AG46" s="53">
        <f aca="true" t="shared" si="36" ref="AG46:AG66">SUM(AE46:AF46)</f>
        <v>0</v>
      </c>
      <c r="AH46" s="53"/>
      <c r="AI46" s="53">
        <f aca="true" t="shared" si="37" ref="AI46:AI66">SUM(AG46:AH46)</f>
        <v>0</v>
      </c>
      <c r="AJ46" s="53"/>
      <c r="AK46" s="53">
        <f aca="true" t="shared" si="38" ref="AK46:AK66">SUM(AI46:AJ46)</f>
        <v>0</v>
      </c>
      <c r="AL46" s="75"/>
      <c r="AM46" s="75"/>
    </row>
    <row r="47" spans="1:39" s="15" customFormat="1" ht="21.75" customHeight="1">
      <c r="A47" s="41"/>
      <c r="B47" s="60"/>
      <c r="C47" s="41">
        <v>4150</v>
      </c>
      <c r="D47" s="27" t="s">
        <v>167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>
        <v>0</v>
      </c>
      <c r="Z47" s="53">
        <v>406598</v>
      </c>
      <c r="AA47" s="53">
        <f t="shared" si="33"/>
        <v>406598</v>
      </c>
      <c r="AB47" s="53"/>
      <c r="AC47" s="53">
        <f t="shared" si="34"/>
        <v>406598</v>
      </c>
      <c r="AD47" s="53"/>
      <c r="AE47" s="53">
        <f t="shared" si="35"/>
        <v>406598</v>
      </c>
      <c r="AF47" s="53"/>
      <c r="AG47" s="53">
        <f t="shared" si="36"/>
        <v>406598</v>
      </c>
      <c r="AH47" s="53"/>
      <c r="AI47" s="53">
        <f t="shared" si="37"/>
        <v>406598</v>
      </c>
      <c r="AJ47" s="53"/>
      <c r="AK47" s="53">
        <f t="shared" si="38"/>
        <v>406598</v>
      </c>
      <c r="AL47" s="75"/>
      <c r="AM47" s="75"/>
    </row>
    <row r="48" spans="1:39" s="15" customFormat="1" ht="21.75" customHeight="1">
      <c r="A48" s="41"/>
      <c r="B48" s="60"/>
      <c r="C48" s="41">
        <v>4300</v>
      </c>
      <c r="D48" s="27" t="s">
        <v>69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>
        <v>0</v>
      </c>
      <c r="Z48" s="53">
        <v>176973</v>
      </c>
      <c r="AA48" s="53">
        <f t="shared" si="33"/>
        <v>176973</v>
      </c>
      <c r="AB48" s="53"/>
      <c r="AC48" s="53">
        <f t="shared" si="34"/>
        <v>176973</v>
      </c>
      <c r="AD48" s="53">
        <v>84571</v>
      </c>
      <c r="AE48" s="53">
        <f t="shared" si="35"/>
        <v>261544</v>
      </c>
      <c r="AF48" s="53"/>
      <c r="AG48" s="53">
        <f t="shared" si="36"/>
        <v>261544</v>
      </c>
      <c r="AH48" s="53"/>
      <c r="AI48" s="53">
        <f t="shared" si="37"/>
        <v>261544</v>
      </c>
      <c r="AJ48" s="53"/>
      <c r="AK48" s="53">
        <f t="shared" si="38"/>
        <v>261544</v>
      </c>
      <c r="AL48" s="75"/>
      <c r="AM48" s="75"/>
    </row>
    <row r="49" spans="1:41" s="15" customFormat="1" ht="46.5" customHeight="1">
      <c r="A49" s="41"/>
      <c r="B49" s="60"/>
      <c r="C49" s="41">
        <v>6010</v>
      </c>
      <c r="D49" s="27" t="s">
        <v>2</v>
      </c>
      <c r="E49" s="53">
        <v>0</v>
      </c>
      <c r="F49" s="53">
        <v>75000</v>
      </c>
      <c r="G49" s="53">
        <f>SUM(E49:F49)</f>
        <v>75000</v>
      </c>
      <c r="H49" s="53"/>
      <c r="I49" s="53">
        <f>SUM(G49:H49)</f>
        <v>75000</v>
      </c>
      <c r="J49" s="53"/>
      <c r="K49" s="53">
        <f>SUM(I49:J49)</f>
        <v>75000</v>
      </c>
      <c r="L49" s="53"/>
      <c r="M49" s="53">
        <f>SUM(K49:L49)</f>
        <v>75000</v>
      </c>
      <c r="N49" s="53"/>
      <c r="O49" s="53">
        <f>SUM(M49:N49)</f>
        <v>75000</v>
      </c>
      <c r="P49" s="53"/>
      <c r="Q49" s="53">
        <f>SUM(O49:P49)</f>
        <v>75000</v>
      </c>
      <c r="R49" s="53"/>
      <c r="S49" s="53">
        <f>SUM(Q49:R49)</f>
        <v>75000</v>
      </c>
      <c r="T49" s="53"/>
      <c r="U49" s="53">
        <f>SUM(S49:T49)</f>
        <v>75000</v>
      </c>
      <c r="V49" s="53"/>
      <c r="W49" s="53">
        <f>SUM(U49:V49)</f>
        <v>75000</v>
      </c>
      <c r="X49" s="53"/>
      <c r="Y49" s="53">
        <f>SUM(W49:X49)</f>
        <v>75000</v>
      </c>
      <c r="Z49" s="53"/>
      <c r="AA49" s="53">
        <f t="shared" si="33"/>
        <v>75000</v>
      </c>
      <c r="AB49" s="53"/>
      <c r="AC49" s="53">
        <f t="shared" si="34"/>
        <v>75000</v>
      </c>
      <c r="AD49" s="53"/>
      <c r="AE49" s="53">
        <f t="shared" si="35"/>
        <v>75000</v>
      </c>
      <c r="AF49" s="53"/>
      <c r="AG49" s="53">
        <f t="shared" si="36"/>
        <v>75000</v>
      </c>
      <c r="AH49" s="53"/>
      <c r="AI49" s="53">
        <f t="shared" si="37"/>
        <v>75000</v>
      </c>
      <c r="AJ49" s="53"/>
      <c r="AK49" s="53">
        <f t="shared" si="38"/>
        <v>75000</v>
      </c>
      <c r="AL49" s="75"/>
      <c r="AM49" s="75"/>
      <c r="AN49" s="75"/>
      <c r="AO49" s="75"/>
    </row>
    <row r="50" spans="1:39" s="15" customFormat="1" ht="21.75" customHeight="1">
      <c r="A50" s="41"/>
      <c r="B50" s="55">
        <v>70095</v>
      </c>
      <c r="C50" s="59"/>
      <c r="D50" s="27" t="s">
        <v>16</v>
      </c>
      <c r="E50" s="53">
        <f aca="true" t="shared" si="39" ref="E50:Z50">SUM(E51:E56)</f>
        <v>685960</v>
      </c>
      <c r="F50" s="53">
        <f t="shared" si="39"/>
        <v>-85000</v>
      </c>
      <c r="G50" s="53">
        <f t="shared" si="39"/>
        <v>600960</v>
      </c>
      <c r="H50" s="53">
        <f t="shared" si="39"/>
        <v>0</v>
      </c>
      <c r="I50" s="53">
        <f t="shared" si="39"/>
        <v>600960</v>
      </c>
      <c r="J50" s="53">
        <f t="shared" si="39"/>
        <v>0</v>
      </c>
      <c r="K50" s="53">
        <f t="shared" si="39"/>
        <v>600960</v>
      </c>
      <c r="L50" s="53">
        <f t="shared" si="39"/>
        <v>0</v>
      </c>
      <c r="M50" s="53">
        <f t="shared" si="39"/>
        <v>600960</v>
      </c>
      <c r="N50" s="53">
        <f t="shared" si="39"/>
        <v>0</v>
      </c>
      <c r="O50" s="53">
        <f t="shared" si="39"/>
        <v>600960</v>
      </c>
      <c r="P50" s="53">
        <f t="shared" si="39"/>
        <v>0</v>
      </c>
      <c r="Q50" s="53">
        <f t="shared" si="39"/>
        <v>600960</v>
      </c>
      <c r="R50" s="53">
        <f t="shared" si="39"/>
        <v>3621</v>
      </c>
      <c r="S50" s="53">
        <f t="shared" si="39"/>
        <v>604581</v>
      </c>
      <c r="T50" s="53">
        <f t="shared" si="39"/>
        <v>400000</v>
      </c>
      <c r="U50" s="53">
        <f t="shared" si="39"/>
        <v>1004581</v>
      </c>
      <c r="V50" s="53">
        <f t="shared" si="39"/>
        <v>0</v>
      </c>
      <c r="W50" s="53">
        <f t="shared" si="39"/>
        <v>1004581</v>
      </c>
      <c r="X50" s="53">
        <f t="shared" si="39"/>
        <v>2500</v>
      </c>
      <c r="Y50" s="53">
        <f t="shared" si="39"/>
        <v>1007081</v>
      </c>
      <c r="Z50" s="53">
        <f t="shared" si="39"/>
        <v>5</v>
      </c>
      <c r="AA50" s="53">
        <f t="shared" si="33"/>
        <v>1007086</v>
      </c>
      <c r="AB50" s="53">
        <f>SUM(AB51:AB56)</f>
        <v>0</v>
      </c>
      <c r="AC50" s="53">
        <f t="shared" si="34"/>
        <v>1007086</v>
      </c>
      <c r="AD50" s="53">
        <f>SUM(AD51:AD56)</f>
        <v>0</v>
      </c>
      <c r="AE50" s="53">
        <f t="shared" si="35"/>
        <v>1007086</v>
      </c>
      <c r="AF50" s="53">
        <f>SUM(AF51:AF56)</f>
        <v>0</v>
      </c>
      <c r="AG50" s="53">
        <f t="shared" si="36"/>
        <v>1007086</v>
      </c>
      <c r="AH50" s="53">
        <f>SUM(AH51:AH56)</f>
        <v>0</v>
      </c>
      <c r="AI50" s="53">
        <f t="shared" si="37"/>
        <v>1007086</v>
      </c>
      <c r="AJ50" s="53">
        <f>SUM(AJ51:AJ56)</f>
        <v>0</v>
      </c>
      <c r="AK50" s="53">
        <f t="shared" si="38"/>
        <v>1007086</v>
      </c>
      <c r="AL50" s="75"/>
      <c r="AM50" s="75"/>
    </row>
    <row r="51" spans="1:39" s="15" customFormat="1" ht="21.75" customHeight="1">
      <c r="A51" s="41"/>
      <c r="B51" s="55"/>
      <c r="C51" s="59">
        <v>4260</v>
      </c>
      <c r="D51" s="27" t="s">
        <v>85</v>
      </c>
      <c r="E51" s="53">
        <v>400</v>
      </c>
      <c r="F51" s="53"/>
      <c r="G51" s="53">
        <f>SUM(E51:F51)</f>
        <v>400</v>
      </c>
      <c r="H51" s="53"/>
      <c r="I51" s="53">
        <f>SUM(G51:H51)</f>
        <v>400</v>
      </c>
      <c r="J51" s="53"/>
      <c r="K51" s="53">
        <f>SUM(I51:J51)</f>
        <v>400</v>
      </c>
      <c r="L51" s="53"/>
      <c r="M51" s="53">
        <f>SUM(K51:L51)</f>
        <v>400</v>
      </c>
      <c r="N51" s="53"/>
      <c r="O51" s="53">
        <f>SUM(M51:N51)</f>
        <v>400</v>
      </c>
      <c r="P51" s="53"/>
      <c r="Q51" s="53">
        <f>SUM(O51:P51)</f>
        <v>400</v>
      </c>
      <c r="R51" s="53"/>
      <c r="S51" s="53">
        <f>SUM(Q51:R51)</f>
        <v>400</v>
      </c>
      <c r="T51" s="53"/>
      <c r="U51" s="53">
        <f>SUM(S51:T51)</f>
        <v>400</v>
      </c>
      <c r="V51" s="53">
        <v>-5</v>
      </c>
      <c r="W51" s="53">
        <f>SUM(U51:V51)</f>
        <v>395</v>
      </c>
      <c r="X51" s="53"/>
      <c r="Y51" s="53">
        <f aca="true" t="shared" si="40" ref="Y51:Y56">SUM(W51:X51)</f>
        <v>395</v>
      </c>
      <c r="Z51" s="53">
        <v>5</v>
      </c>
      <c r="AA51" s="53">
        <f t="shared" si="33"/>
        <v>400</v>
      </c>
      <c r="AB51" s="53"/>
      <c r="AC51" s="53">
        <f t="shared" si="34"/>
        <v>400</v>
      </c>
      <c r="AD51" s="53"/>
      <c r="AE51" s="53">
        <f t="shared" si="35"/>
        <v>400</v>
      </c>
      <c r="AF51" s="53"/>
      <c r="AG51" s="53">
        <f t="shared" si="36"/>
        <v>400</v>
      </c>
      <c r="AH51" s="53"/>
      <c r="AI51" s="53">
        <f t="shared" si="37"/>
        <v>400</v>
      </c>
      <c r="AJ51" s="53"/>
      <c r="AK51" s="53">
        <f t="shared" si="38"/>
        <v>400</v>
      </c>
      <c r="AL51" s="75"/>
      <c r="AM51" s="75"/>
    </row>
    <row r="52" spans="1:39" s="15" customFormat="1" ht="21.75" customHeight="1">
      <c r="A52" s="41"/>
      <c r="B52" s="55"/>
      <c r="C52" s="59">
        <v>4270</v>
      </c>
      <c r="D52" s="27" t="s">
        <v>68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>
        <v>0</v>
      </c>
      <c r="X52" s="53">
        <v>1500</v>
      </c>
      <c r="Y52" s="53">
        <f t="shared" si="40"/>
        <v>1500</v>
      </c>
      <c r="Z52" s="53"/>
      <c r="AA52" s="53">
        <f t="shared" si="33"/>
        <v>1500</v>
      </c>
      <c r="AB52" s="53"/>
      <c r="AC52" s="53">
        <f t="shared" si="34"/>
        <v>1500</v>
      </c>
      <c r="AD52" s="53"/>
      <c r="AE52" s="53">
        <f t="shared" si="35"/>
        <v>1500</v>
      </c>
      <c r="AF52" s="53"/>
      <c r="AG52" s="53">
        <f t="shared" si="36"/>
        <v>1500</v>
      </c>
      <c r="AH52" s="53"/>
      <c r="AI52" s="53">
        <f t="shared" si="37"/>
        <v>1500</v>
      </c>
      <c r="AJ52" s="53"/>
      <c r="AK52" s="53">
        <f t="shared" si="38"/>
        <v>1500</v>
      </c>
      <c r="AL52" s="75"/>
      <c r="AM52" s="75"/>
    </row>
    <row r="53" spans="1:39" s="15" customFormat="1" ht="21.75" customHeight="1">
      <c r="A53" s="41"/>
      <c r="B53" s="55"/>
      <c r="C53" s="59">
        <v>4300</v>
      </c>
      <c r="D53" s="27" t="s">
        <v>69</v>
      </c>
      <c r="E53" s="53">
        <f>335500+60</f>
        <v>335560</v>
      </c>
      <c r="F53" s="81">
        <v>-335500</v>
      </c>
      <c r="G53" s="53">
        <f>SUM(E53:F53)</f>
        <v>60</v>
      </c>
      <c r="H53" s="81"/>
      <c r="I53" s="53">
        <f>SUM(G53:H53)</f>
        <v>60</v>
      </c>
      <c r="J53" s="81"/>
      <c r="K53" s="53">
        <f>SUM(I53:J53)</f>
        <v>60</v>
      </c>
      <c r="L53" s="81"/>
      <c r="M53" s="53">
        <f>SUM(K53:L53)</f>
        <v>60</v>
      </c>
      <c r="N53" s="81"/>
      <c r="O53" s="53">
        <f>SUM(M53:N53)</f>
        <v>60</v>
      </c>
      <c r="P53" s="81"/>
      <c r="Q53" s="53">
        <f>SUM(O53:P53)</f>
        <v>60</v>
      </c>
      <c r="R53" s="81"/>
      <c r="S53" s="53">
        <f>SUM(Q53:R53)</f>
        <v>60</v>
      </c>
      <c r="T53" s="81"/>
      <c r="U53" s="53">
        <f>SUM(S53:T53)</f>
        <v>60</v>
      </c>
      <c r="V53" s="81">
        <v>5</v>
      </c>
      <c r="W53" s="53">
        <f>SUM(U53:V53)</f>
        <v>65</v>
      </c>
      <c r="X53" s="81"/>
      <c r="Y53" s="53">
        <f t="shared" si="40"/>
        <v>65</v>
      </c>
      <c r="Z53" s="81"/>
      <c r="AA53" s="53">
        <f t="shared" si="33"/>
        <v>65</v>
      </c>
      <c r="AB53" s="81"/>
      <c r="AC53" s="53">
        <f t="shared" si="34"/>
        <v>65</v>
      </c>
      <c r="AD53" s="81"/>
      <c r="AE53" s="53">
        <f t="shared" si="35"/>
        <v>65</v>
      </c>
      <c r="AF53" s="81"/>
      <c r="AG53" s="53">
        <f t="shared" si="36"/>
        <v>65</v>
      </c>
      <c r="AH53" s="81"/>
      <c r="AI53" s="53">
        <f t="shared" si="37"/>
        <v>65</v>
      </c>
      <c r="AJ53" s="81"/>
      <c r="AK53" s="53">
        <f t="shared" si="38"/>
        <v>65</v>
      </c>
      <c r="AL53" s="75"/>
      <c r="AM53" s="75"/>
    </row>
    <row r="54" spans="1:39" s="15" customFormat="1" ht="24">
      <c r="A54" s="41"/>
      <c r="B54" s="55"/>
      <c r="C54" s="59">
        <v>4590</v>
      </c>
      <c r="D54" s="27" t="s">
        <v>281</v>
      </c>
      <c r="E54" s="53"/>
      <c r="F54" s="81"/>
      <c r="G54" s="53"/>
      <c r="H54" s="81"/>
      <c r="I54" s="53"/>
      <c r="J54" s="81"/>
      <c r="K54" s="53"/>
      <c r="L54" s="81"/>
      <c r="M54" s="53"/>
      <c r="N54" s="81"/>
      <c r="O54" s="53"/>
      <c r="P54" s="81"/>
      <c r="Q54" s="53">
        <v>0</v>
      </c>
      <c r="R54" s="53">
        <v>3621</v>
      </c>
      <c r="S54" s="53">
        <f>SUM(Q54:R54)</f>
        <v>3621</v>
      </c>
      <c r="T54" s="53"/>
      <c r="U54" s="53">
        <f>SUM(S54:T54)</f>
        <v>3621</v>
      </c>
      <c r="V54" s="53"/>
      <c r="W54" s="53">
        <f>SUM(U54:V54)</f>
        <v>3621</v>
      </c>
      <c r="X54" s="53">
        <v>1500</v>
      </c>
      <c r="Y54" s="53">
        <f t="shared" si="40"/>
        <v>5121</v>
      </c>
      <c r="Z54" s="53"/>
      <c r="AA54" s="53">
        <f t="shared" si="33"/>
        <v>5121</v>
      </c>
      <c r="AB54" s="53"/>
      <c r="AC54" s="53">
        <f t="shared" si="34"/>
        <v>5121</v>
      </c>
      <c r="AD54" s="53"/>
      <c r="AE54" s="53">
        <f t="shared" si="35"/>
        <v>5121</v>
      </c>
      <c r="AF54" s="53"/>
      <c r="AG54" s="53">
        <f t="shared" si="36"/>
        <v>5121</v>
      </c>
      <c r="AH54" s="53"/>
      <c r="AI54" s="53">
        <f t="shared" si="37"/>
        <v>5121</v>
      </c>
      <c r="AJ54" s="53"/>
      <c r="AK54" s="53">
        <f t="shared" si="38"/>
        <v>5121</v>
      </c>
      <c r="AL54" s="75"/>
      <c r="AM54" s="75"/>
    </row>
    <row r="55" spans="1:41" s="15" customFormat="1" ht="23.25" customHeight="1">
      <c r="A55" s="41"/>
      <c r="B55" s="55"/>
      <c r="C55" s="41">
        <v>6050</v>
      </c>
      <c r="D55" s="27" t="s">
        <v>63</v>
      </c>
      <c r="E55" s="53">
        <v>350000</v>
      </c>
      <c r="F55" s="81">
        <f>335500-335000</f>
        <v>500</v>
      </c>
      <c r="G55" s="81">
        <f>SUM(E55:F55)</f>
        <v>350500</v>
      </c>
      <c r="H55" s="81"/>
      <c r="I55" s="81">
        <f>SUM(G55:H55)</f>
        <v>350500</v>
      </c>
      <c r="J55" s="81"/>
      <c r="K55" s="81">
        <f>SUM(I55:J55)</f>
        <v>350500</v>
      </c>
      <c r="L55" s="81"/>
      <c r="M55" s="53">
        <f>SUM(K55:L55)</f>
        <v>350500</v>
      </c>
      <c r="N55" s="53"/>
      <c r="O55" s="53">
        <f>SUM(M55:N55)</f>
        <v>350500</v>
      </c>
      <c r="P55" s="53"/>
      <c r="Q55" s="53">
        <f>SUM(O55:P55)</f>
        <v>350500</v>
      </c>
      <c r="R55" s="53"/>
      <c r="S55" s="53">
        <f>SUM(Q55:R55)</f>
        <v>350500</v>
      </c>
      <c r="T55" s="53">
        <f>600000-600000+400000</f>
        <v>400000</v>
      </c>
      <c r="U55" s="53">
        <f>SUM(S55:T55)</f>
        <v>750500</v>
      </c>
      <c r="V55" s="53"/>
      <c r="W55" s="53">
        <f>SUM(U55:V55)</f>
        <v>750500</v>
      </c>
      <c r="X55" s="53">
        <v>-500</v>
      </c>
      <c r="Y55" s="53">
        <f t="shared" si="40"/>
        <v>750000</v>
      </c>
      <c r="Z55" s="53"/>
      <c r="AA55" s="53">
        <f t="shared" si="33"/>
        <v>750000</v>
      </c>
      <c r="AB55" s="53"/>
      <c r="AC55" s="53">
        <f t="shared" si="34"/>
        <v>750000</v>
      </c>
      <c r="AD55" s="53"/>
      <c r="AE55" s="53">
        <f t="shared" si="35"/>
        <v>750000</v>
      </c>
      <c r="AF55" s="53"/>
      <c r="AG55" s="53">
        <f t="shared" si="36"/>
        <v>750000</v>
      </c>
      <c r="AH55" s="53"/>
      <c r="AI55" s="53">
        <f t="shared" si="37"/>
        <v>750000</v>
      </c>
      <c r="AJ55" s="53"/>
      <c r="AK55" s="53">
        <f t="shared" si="38"/>
        <v>750000</v>
      </c>
      <c r="AL55" s="75"/>
      <c r="AM55" s="75"/>
      <c r="AN55" s="75"/>
      <c r="AO55" s="75"/>
    </row>
    <row r="56" spans="1:41" s="15" customFormat="1" ht="24">
      <c r="A56" s="41"/>
      <c r="B56" s="55"/>
      <c r="C56" s="41">
        <v>6060</v>
      </c>
      <c r="D56" s="27" t="s">
        <v>86</v>
      </c>
      <c r="E56" s="53">
        <v>0</v>
      </c>
      <c r="F56" s="81">
        <v>250000</v>
      </c>
      <c r="G56" s="53">
        <f>SUM(E56:F56)</f>
        <v>250000</v>
      </c>
      <c r="H56" s="81"/>
      <c r="I56" s="53">
        <f>SUM(G56:H56)</f>
        <v>250000</v>
      </c>
      <c r="J56" s="81"/>
      <c r="K56" s="53">
        <f>SUM(I56:J56)</f>
        <v>250000</v>
      </c>
      <c r="L56" s="81"/>
      <c r="M56" s="53">
        <f>SUM(K56:L56)</f>
        <v>250000</v>
      </c>
      <c r="N56" s="81"/>
      <c r="O56" s="53">
        <f>SUM(M56:N56)</f>
        <v>250000</v>
      </c>
      <c r="P56" s="53"/>
      <c r="Q56" s="53">
        <f>SUM(O56:P56)</f>
        <v>250000</v>
      </c>
      <c r="R56" s="53"/>
      <c r="S56" s="53">
        <f>SUM(Q56:R56)</f>
        <v>250000</v>
      </c>
      <c r="T56" s="53"/>
      <c r="U56" s="53">
        <f>SUM(S56:T56)</f>
        <v>250000</v>
      </c>
      <c r="V56" s="53"/>
      <c r="W56" s="53">
        <f>SUM(U56:V56)</f>
        <v>250000</v>
      </c>
      <c r="X56" s="53">
        <v>0</v>
      </c>
      <c r="Y56" s="53">
        <f t="shared" si="40"/>
        <v>250000</v>
      </c>
      <c r="Z56" s="53">
        <v>0</v>
      </c>
      <c r="AA56" s="53">
        <f t="shared" si="33"/>
        <v>250000</v>
      </c>
      <c r="AB56" s="53">
        <v>0</v>
      </c>
      <c r="AC56" s="53">
        <f t="shared" si="34"/>
        <v>250000</v>
      </c>
      <c r="AD56" s="53"/>
      <c r="AE56" s="53">
        <f t="shared" si="35"/>
        <v>250000</v>
      </c>
      <c r="AF56" s="53"/>
      <c r="AG56" s="53">
        <f t="shared" si="36"/>
        <v>250000</v>
      </c>
      <c r="AH56" s="53"/>
      <c r="AI56" s="53">
        <f t="shared" si="37"/>
        <v>250000</v>
      </c>
      <c r="AJ56" s="53"/>
      <c r="AK56" s="53">
        <f t="shared" si="38"/>
        <v>250000</v>
      </c>
      <c r="AL56" s="75"/>
      <c r="AM56" s="75"/>
      <c r="AN56" s="75"/>
      <c r="AO56" s="75"/>
    </row>
    <row r="57" spans="1:39" s="3" customFormat="1" ht="21" customHeight="1">
      <c r="A57" s="22" t="s">
        <v>21</v>
      </c>
      <c r="B57" s="23"/>
      <c r="C57" s="24"/>
      <c r="D57" s="25" t="s">
        <v>70</v>
      </c>
      <c r="E57" s="26">
        <f aca="true" t="shared" si="41" ref="E57:Z57">SUM(E58,E61)</f>
        <v>156500</v>
      </c>
      <c r="F57" s="26">
        <f t="shared" si="41"/>
        <v>100000</v>
      </c>
      <c r="G57" s="26">
        <f t="shared" si="41"/>
        <v>256500</v>
      </c>
      <c r="H57" s="26">
        <f t="shared" si="41"/>
        <v>0</v>
      </c>
      <c r="I57" s="26">
        <f t="shared" si="41"/>
        <v>256500</v>
      </c>
      <c r="J57" s="26">
        <f t="shared" si="41"/>
        <v>0</v>
      </c>
      <c r="K57" s="26">
        <f t="shared" si="41"/>
        <v>256500</v>
      </c>
      <c r="L57" s="26">
        <f t="shared" si="41"/>
        <v>0</v>
      </c>
      <c r="M57" s="26">
        <f t="shared" si="41"/>
        <v>256500</v>
      </c>
      <c r="N57" s="26">
        <f t="shared" si="41"/>
        <v>0</v>
      </c>
      <c r="O57" s="26">
        <f t="shared" si="41"/>
        <v>256500</v>
      </c>
      <c r="P57" s="26">
        <f t="shared" si="41"/>
        <v>6120</v>
      </c>
      <c r="Q57" s="26">
        <f t="shared" si="41"/>
        <v>262620</v>
      </c>
      <c r="R57" s="26">
        <f t="shared" si="41"/>
        <v>0</v>
      </c>
      <c r="S57" s="26">
        <f t="shared" si="41"/>
        <v>262620</v>
      </c>
      <c r="T57" s="26">
        <f t="shared" si="41"/>
        <v>0</v>
      </c>
      <c r="U57" s="26">
        <f t="shared" si="41"/>
        <v>262620</v>
      </c>
      <c r="V57" s="26">
        <f t="shared" si="41"/>
        <v>0</v>
      </c>
      <c r="W57" s="26">
        <f t="shared" si="41"/>
        <v>262620</v>
      </c>
      <c r="X57" s="26">
        <f t="shared" si="41"/>
        <v>0</v>
      </c>
      <c r="Y57" s="26">
        <f t="shared" si="41"/>
        <v>262620</v>
      </c>
      <c r="Z57" s="26">
        <f t="shared" si="41"/>
        <v>-42000</v>
      </c>
      <c r="AA57" s="26">
        <f t="shared" si="33"/>
        <v>220620</v>
      </c>
      <c r="AB57" s="26">
        <f>SUM(AB58,AB61)</f>
        <v>0</v>
      </c>
      <c r="AC57" s="26">
        <f t="shared" si="34"/>
        <v>220620</v>
      </c>
      <c r="AD57" s="26">
        <f>SUM(AD58,AD61)</f>
        <v>3000</v>
      </c>
      <c r="AE57" s="26">
        <f t="shared" si="35"/>
        <v>223620</v>
      </c>
      <c r="AF57" s="26">
        <f>SUM(AF58,AF61)</f>
        <v>0</v>
      </c>
      <c r="AG57" s="26">
        <f t="shared" si="36"/>
        <v>223620</v>
      </c>
      <c r="AH57" s="26">
        <f>SUM(AH58,AH61)</f>
        <v>0</v>
      </c>
      <c r="AI57" s="26">
        <f t="shared" si="37"/>
        <v>223620</v>
      </c>
      <c r="AJ57" s="26">
        <f>SUM(AJ58,AJ61)</f>
        <v>0</v>
      </c>
      <c r="AK57" s="26">
        <f t="shared" si="38"/>
        <v>223620</v>
      </c>
      <c r="AL57" s="92"/>
      <c r="AM57" s="92"/>
    </row>
    <row r="58" spans="1:39" s="15" customFormat="1" ht="21.75" customHeight="1">
      <c r="A58" s="41"/>
      <c r="B58" s="55" t="s">
        <v>71</v>
      </c>
      <c r="C58" s="59"/>
      <c r="D58" s="27" t="s">
        <v>72</v>
      </c>
      <c r="E58" s="53">
        <f>SUM(E60:E60)</f>
        <v>150000</v>
      </c>
      <c r="F58" s="53">
        <f>SUM(F60:F60)</f>
        <v>100000</v>
      </c>
      <c r="G58" s="53">
        <f aca="true" t="shared" si="42" ref="G58:Z58">SUM(G59:G60)</f>
        <v>250000</v>
      </c>
      <c r="H58" s="53">
        <f t="shared" si="42"/>
        <v>0</v>
      </c>
      <c r="I58" s="53">
        <f t="shared" si="42"/>
        <v>250000</v>
      </c>
      <c r="J58" s="53">
        <f t="shared" si="42"/>
        <v>0</v>
      </c>
      <c r="K58" s="53">
        <f t="shared" si="42"/>
        <v>250000</v>
      </c>
      <c r="L58" s="53">
        <f t="shared" si="42"/>
        <v>0</v>
      </c>
      <c r="M58" s="53">
        <f t="shared" si="42"/>
        <v>250000</v>
      </c>
      <c r="N58" s="53">
        <f t="shared" si="42"/>
        <v>0</v>
      </c>
      <c r="O58" s="53">
        <f t="shared" si="42"/>
        <v>250000</v>
      </c>
      <c r="P58" s="53">
        <f t="shared" si="42"/>
        <v>0</v>
      </c>
      <c r="Q58" s="53">
        <f t="shared" si="42"/>
        <v>250000</v>
      </c>
      <c r="R58" s="53">
        <f t="shared" si="42"/>
        <v>0</v>
      </c>
      <c r="S58" s="53">
        <f t="shared" si="42"/>
        <v>250000</v>
      </c>
      <c r="T58" s="53">
        <f t="shared" si="42"/>
        <v>0</v>
      </c>
      <c r="U58" s="53">
        <f t="shared" si="42"/>
        <v>250000</v>
      </c>
      <c r="V58" s="53">
        <f t="shared" si="42"/>
        <v>0</v>
      </c>
      <c r="W58" s="53">
        <f t="shared" si="42"/>
        <v>250000</v>
      </c>
      <c r="X58" s="53">
        <f t="shared" si="42"/>
        <v>0</v>
      </c>
      <c r="Y58" s="53">
        <f t="shared" si="42"/>
        <v>250000</v>
      </c>
      <c r="Z58" s="53">
        <f t="shared" si="42"/>
        <v>-40000</v>
      </c>
      <c r="AA58" s="53">
        <f t="shared" si="33"/>
        <v>210000</v>
      </c>
      <c r="AB58" s="53">
        <f>SUM(AB59:AB60)</f>
        <v>0</v>
      </c>
      <c r="AC58" s="53">
        <f t="shared" si="34"/>
        <v>210000</v>
      </c>
      <c r="AD58" s="53">
        <f>SUM(AD59:AD60)</f>
        <v>0</v>
      </c>
      <c r="AE58" s="53">
        <f t="shared" si="35"/>
        <v>210000</v>
      </c>
      <c r="AF58" s="53">
        <f>SUM(AF59:AF60)</f>
        <v>0</v>
      </c>
      <c r="AG58" s="53">
        <f t="shared" si="36"/>
        <v>210000</v>
      </c>
      <c r="AH58" s="53">
        <f>SUM(AH59:AH60)</f>
        <v>0</v>
      </c>
      <c r="AI58" s="53">
        <f t="shared" si="37"/>
        <v>210000</v>
      </c>
      <c r="AJ58" s="53">
        <f>SUM(AJ59:AJ60)</f>
        <v>0</v>
      </c>
      <c r="AK58" s="53">
        <f t="shared" si="38"/>
        <v>210000</v>
      </c>
      <c r="AL58" s="75"/>
      <c r="AM58" s="75"/>
    </row>
    <row r="59" spans="1:39" s="15" customFormat="1" ht="21.75" customHeight="1">
      <c r="A59" s="41"/>
      <c r="B59" s="55"/>
      <c r="C59" s="59">
        <v>4170</v>
      </c>
      <c r="D59" s="27" t="s">
        <v>162</v>
      </c>
      <c r="E59" s="53"/>
      <c r="F59" s="53"/>
      <c r="G59" s="53">
        <v>0</v>
      </c>
      <c r="H59" s="53">
        <v>3000</v>
      </c>
      <c r="I59" s="53">
        <f>SUM(G59:H59)</f>
        <v>3000</v>
      </c>
      <c r="J59" s="53"/>
      <c r="K59" s="53">
        <f>SUM(I59:J59)</f>
        <v>3000</v>
      </c>
      <c r="L59" s="53"/>
      <c r="M59" s="53">
        <f>SUM(K59:L59)</f>
        <v>3000</v>
      </c>
      <c r="N59" s="53"/>
      <c r="O59" s="53">
        <f>SUM(M59:N59)</f>
        <v>3000</v>
      </c>
      <c r="P59" s="53"/>
      <c r="Q59" s="53">
        <f>SUM(O59:P59)</f>
        <v>3000</v>
      </c>
      <c r="R59" s="53"/>
      <c r="S59" s="53">
        <f>SUM(Q59:R59)</f>
        <v>3000</v>
      </c>
      <c r="T59" s="53"/>
      <c r="U59" s="53">
        <f>SUM(S59:T59)</f>
        <v>3000</v>
      </c>
      <c r="V59" s="53"/>
      <c r="W59" s="53">
        <f>SUM(U59:V59)</f>
        <v>3000</v>
      </c>
      <c r="X59" s="53"/>
      <c r="Y59" s="53">
        <f>SUM(W59:X59)</f>
        <v>3000</v>
      </c>
      <c r="Z59" s="53"/>
      <c r="AA59" s="53">
        <f t="shared" si="33"/>
        <v>3000</v>
      </c>
      <c r="AB59" s="53"/>
      <c r="AC59" s="53">
        <f t="shared" si="34"/>
        <v>3000</v>
      </c>
      <c r="AD59" s="53"/>
      <c r="AE59" s="53">
        <f t="shared" si="35"/>
        <v>3000</v>
      </c>
      <c r="AF59" s="53"/>
      <c r="AG59" s="53">
        <f t="shared" si="36"/>
        <v>3000</v>
      </c>
      <c r="AH59" s="53"/>
      <c r="AI59" s="53">
        <f t="shared" si="37"/>
        <v>3000</v>
      </c>
      <c r="AJ59" s="53"/>
      <c r="AK59" s="53">
        <f t="shared" si="38"/>
        <v>3000</v>
      </c>
      <c r="AL59" s="75"/>
      <c r="AM59" s="75"/>
    </row>
    <row r="60" spans="1:39" s="15" customFormat="1" ht="21.75" customHeight="1">
      <c r="A60" s="41"/>
      <c r="B60" s="55"/>
      <c r="C60" s="41">
        <v>4300</v>
      </c>
      <c r="D60" s="27" t="s">
        <v>69</v>
      </c>
      <c r="E60" s="53">
        <v>150000</v>
      </c>
      <c r="F60" s="53">
        <v>100000</v>
      </c>
      <c r="G60" s="53">
        <f>SUM(E60:F60)</f>
        <v>250000</v>
      </c>
      <c r="H60" s="53">
        <v>-3000</v>
      </c>
      <c r="I60" s="53">
        <f>SUM(G60:H60)</f>
        <v>247000</v>
      </c>
      <c r="J60" s="53"/>
      <c r="K60" s="53">
        <f>SUM(I60:J60)</f>
        <v>247000</v>
      </c>
      <c r="L60" s="53"/>
      <c r="M60" s="53">
        <f>SUM(K60:L60)</f>
        <v>247000</v>
      </c>
      <c r="N60" s="53"/>
      <c r="O60" s="53">
        <f>SUM(M60:N60)</f>
        <v>247000</v>
      </c>
      <c r="P60" s="53"/>
      <c r="Q60" s="53">
        <f>SUM(O60:P60)</f>
        <v>247000</v>
      </c>
      <c r="R60" s="53"/>
      <c r="S60" s="53">
        <f>SUM(Q60:R60)</f>
        <v>247000</v>
      </c>
      <c r="T60" s="53"/>
      <c r="U60" s="53">
        <f>SUM(S60:T60)</f>
        <v>247000</v>
      </c>
      <c r="V60" s="53"/>
      <c r="W60" s="53">
        <f>SUM(U60:V60)</f>
        <v>247000</v>
      </c>
      <c r="X60" s="53"/>
      <c r="Y60" s="53">
        <f>SUM(W60:X60)</f>
        <v>247000</v>
      </c>
      <c r="Z60" s="53">
        <v>-40000</v>
      </c>
      <c r="AA60" s="53">
        <f t="shared" si="33"/>
        <v>207000</v>
      </c>
      <c r="AB60" s="53"/>
      <c r="AC60" s="53">
        <f t="shared" si="34"/>
        <v>207000</v>
      </c>
      <c r="AD60" s="53"/>
      <c r="AE60" s="53">
        <f t="shared" si="35"/>
        <v>207000</v>
      </c>
      <c r="AF60" s="53"/>
      <c r="AG60" s="53">
        <f t="shared" si="36"/>
        <v>207000</v>
      </c>
      <c r="AH60" s="53"/>
      <c r="AI60" s="53">
        <f t="shared" si="37"/>
        <v>207000</v>
      </c>
      <c r="AJ60" s="53"/>
      <c r="AK60" s="53">
        <f t="shared" si="38"/>
        <v>207000</v>
      </c>
      <c r="AL60" s="75"/>
      <c r="AM60" s="75"/>
    </row>
    <row r="61" spans="1:39" s="15" customFormat="1" ht="20.25" customHeight="1">
      <c r="A61" s="41"/>
      <c r="B61" s="55">
        <v>71035</v>
      </c>
      <c r="C61" s="41"/>
      <c r="D61" s="27" t="s">
        <v>22</v>
      </c>
      <c r="E61" s="53">
        <f aca="true" t="shared" si="43" ref="E61:N61">SUM(E62:E64)</f>
        <v>6500</v>
      </c>
      <c r="F61" s="53">
        <f t="shared" si="43"/>
        <v>0</v>
      </c>
      <c r="G61" s="53">
        <f t="shared" si="43"/>
        <v>6500</v>
      </c>
      <c r="H61" s="53">
        <f t="shared" si="43"/>
        <v>0</v>
      </c>
      <c r="I61" s="53">
        <f t="shared" si="43"/>
        <v>6500</v>
      </c>
      <c r="J61" s="53">
        <f t="shared" si="43"/>
        <v>0</v>
      </c>
      <c r="K61" s="53">
        <f t="shared" si="43"/>
        <v>6500</v>
      </c>
      <c r="L61" s="53">
        <f t="shared" si="43"/>
        <v>0</v>
      </c>
      <c r="M61" s="53">
        <f t="shared" si="43"/>
        <v>6500</v>
      </c>
      <c r="N61" s="53">
        <f t="shared" si="43"/>
        <v>0</v>
      </c>
      <c r="O61" s="53">
        <f aca="true" t="shared" si="44" ref="O61:Z61">SUM(O62:O65)</f>
        <v>6500</v>
      </c>
      <c r="P61" s="53">
        <f t="shared" si="44"/>
        <v>6120</v>
      </c>
      <c r="Q61" s="53">
        <f t="shared" si="44"/>
        <v>12620</v>
      </c>
      <c r="R61" s="53">
        <f t="shared" si="44"/>
        <v>0</v>
      </c>
      <c r="S61" s="53">
        <f t="shared" si="44"/>
        <v>12620</v>
      </c>
      <c r="T61" s="53">
        <f t="shared" si="44"/>
        <v>0</v>
      </c>
      <c r="U61" s="53">
        <f t="shared" si="44"/>
        <v>12620</v>
      </c>
      <c r="V61" s="53">
        <f t="shared" si="44"/>
        <v>0</v>
      </c>
      <c r="W61" s="53">
        <f t="shared" si="44"/>
        <v>12620</v>
      </c>
      <c r="X61" s="53">
        <f t="shared" si="44"/>
        <v>0</v>
      </c>
      <c r="Y61" s="53">
        <f t="shared" si="44"/>
        <v>12620</v>
      </c>
      <c r="Z61" s="53">
        <f t="shared" si="44"/>
        <v>-2000</v>
      </c>
      <c r="AA61" s="53">
        <f t="shared" si="33"/>
        <v>10620</v>
      </c>
      <c r="AB61" s="53">
        <f>SUM(AB62:AB65)</f>
        <v>0</v>
      </c>
      <c r="AC61" s="53">
        <f t="shared" si="34"/>
        <v>10620</v>
      </c>
      <c r="AD61" s="53">
        <f>SUM(AD62:AD65)</f>
        <v>3000</v>
      </c>
      <c r="AE61" s="53">
        <f t="shared" si="35"/>
        <v>13620</v>
      </c>
      <c r="AF61" s="53">
        <f>SUM(AF62:AF65)</f>
        <v>0</v>
      </c>
      <c r="AG61" s="53">
        <f t="shared" si="36"/>
        <v>13620</v>
      </c>
      <c r="AH61" s="53">
        <f>SUM(AH62:AH65)</f>
        <v>0</v>
      </c>
      <c r="AI61" s="53">
        <f t="shared" si="37"/>
        <v>13620</v>
      </c>
      <c r="AJ61" s="53">
        <f>SUM(AJ62:AJ65)</f>
        <v>0</v>
      </c>
      <c r="AK61" s="53">
        <f t="shared" si="38"/>
        <v>13620</v>
      </c>
      <c r="AL61" s="75"/>
      <c r="AM61" s="75"/>
    </row>
    <row r="62" spans="1:39" s="15" customFormat="1" ht="21" customHeight="1">
      <c r="A62" s="41"/>
      <c r="B62" s="55"/>
      <c r="C62" s="41">
        <v>4260</v>
      </c>
      <c r="D62" s="27" t="s">
        <v>85</v>
      </c>
      <c r="E62" s="53">
        <f>1500+500</f>
        <v>2000</v>
      </c>
      <c r="F62" s="53"/>
      <c r="G62" s="53">
        <f>SUM(E62:F62)</f>
        <v>2000</v>
      </c>
      <c r="H62" s="53"/>
      <c r="I62" s="53">
        <f>SUM(G62:H62)</f>
        <v>2000</v>
      </c>
      <c r="J62" s="53"/>
      <c r="K62" s="53">
        <f>SUM(I62:J62)</f>
        <v>2000</v>
      </c>
      <c r="L62" s="53"/>
      <c r="M62" s="53">
        <f>SUM(K62:L62)</f>
        <v>2000</v>
      </c>
      <c r="N62" s="53"/>
      <c r="O62" s="53">
        <f>SUM(M62:N62)</f>
        <v>2000</v>
      </c>
      <c r="P62" s="53"/>
      <c r="Q62" s="53">
        <f>SUM(O62:P62)</f>
        <v>2000</v>
      </c>
      <c r="R62" s="53"/>
      <c r="S62" s="53">
        <f>SUM(Q62:R62)</f>
        <v>2000</v>
      </c>
      <c r="T62" s="53"/>
      <c r="U62" s="53">
        <f>SUM(S62:T62)</f>
        <v>2000</v>
      </c>
      <c r="V62" s="53"/>
      <c r="W62" s="53">
        <f>SUM(U62:V62)</f>
        <v>2000</v>
      </c>
      <c r="X62" s="53"/>
      <c r="Y62" s="53">
        <f>SUM(W62:X62)</f>
        <v>2000</v>
      </c>
      <c r="Z62" s="53">
        <v>-1000</v>
      </c>
      <c r="AA62" s="53">
        <f t="shared" si="33"/>
        <v>1000</v>
      </c>
      <c r="AB62" s="53"/>
      <c r="AC62" s="53">
        <f t="shared" si="34"/>
        <v>1000</v>
      </c>
      <c r="AD62" s="53"/>
      <c r="AE62" s="53">
        <f t="shared" si="35"/>
        <v>1000</v>
      </c>
      <c r="AF62" s="53"/>
      <c r="AG62" s="53">
        <f t="shared" si="36"/>
        <v>1000</v>
      </c>
      <c r="AH62" s="53"/>
      <c r="AI62" s="53">
        <f t="shared" si="37"/>
        <v>1000</v>
      </c>
      <c r="AJ62" s="53"/>
      <c r="AK62" s="53">
        <f t="shared" si="38"/>
        <v>1000</v>
      </c>
      <c r="AL62" s="75"/>
      <c r="AM62" s="75"/>
    </row>
    <row r="63" spans="1:39" s="15" customFormat="1" ht="21" customHeight="1">
      <c r="A63" s="41"/>
      <c r="B63" s="55"/>
      <c r="C63" s="41">
        <v>4270</v>
      </c>
      <c r="D63" s="27" t="s">
        <v>68</v>
      </c>
      <c r="E63" s="53">
        <v>3000</v>
      </c>
      <c r="F63" s="53"/>
      <c r="G63" s="53">
        <v>3000</v>
      </c>
      <c r="H63" s="53"/>
      <c r="I63" s="53">
        <f>SUM(G63:H63)</f>
        <v>3000</v>
      </c>
      <c r="J63" s="53"/>
      <c r="K63" s="53">
        <f>SUM(I63:J63)</f>
        <v>3000</v>
      </c>
      <c r="L63" s="53"/>
      <c r="M63" s="53">
        <f>SUM(K63:L63)</f>
        <v>3000</v>
      </c>
      <c r="N63" s="53"/>
      <c r="O63" s="53">
        <f>SUM(M63:N63)</f>
        <v>3000</v>
      </c>
      <c r="P63" s="53"/>
      <c r="Q63" s="53">
        <f>SUM(O63:P63)</f>
        <v>3000</v>
      </c>
      <c r="R63" s="53"/>
      <c r="S63" s="53">
        <f>SUM(Q63:R63)</f>
        <v>3000</v>
      </c>
      <c r="T63" s="53"/>
      <c r="U63" s="53">
        <f>SUM(S63:T63)</f>
        <v>3000</v>
      </c>
      <c r="V63" s="53"/>
      <c r="W63" s="53">
        <f>SUM(U63:V63)</f>
        <v>3000</v>
      </c>
      <c r="X63" s="53"/>
      <c r="Y63" s="53">
        <f>SUM(W63:X63)</f>
        <v>3000</v>
      </c>
      <c r="Z63" s="53">
        <v>-3000</v>
      </c>
      <c r="AA63" s="53">
        <f t="shared" si="33"/>
        <v>0</v>
      </c>
      <c r="AB63" s="53"/>
      <c r="AC63" s="53">
        <f t="shared" si="34"/>
        <v>0</v>
      </c>
      <c r="AD63" s="53"/>
      <c r="AE63" s="53">
        <f t="shared" si="35"/>
        <v>0</v>
      </c>
      <c r="AF63" s="53"/>
      <c r="AG63" s="53">
        <f t="shared" si="36"/>
        <v>0</v>
      </c>
      <c r="AH63" s="53"/>
      <c r="AI63" s="53">
        <f t="shared" si="37"/>
        <v>0</v>
      </c>
      <c r="AJ63" s="53"/>
      <c r="AK63" s="53">
        <f t="shared" si="38"/>
        <v>0</v>
      </c>
      <c r="AL63" s="75"/>
      <c r="AM63" s="75"/>
    </row>
    <row r="64" spans="1:39" s="15" customFormat="1" ht="21" customHeight="1">
      <c r="A64" s="41"/>
      <c r="B64" s="55"/>
      <c r="C64" s="41">
        <v>4300</v>
      </c>
      <c r="D64" s="27" t="s">
        <v>69</v>
      </c>
      <c r="E64" s="53">
        <v>1500</v>
      </c>
      <c r="F64" s="53"/>
      <c r="G64" s="53">
        <v>1500</v>
      </c>
      <c r="H64" s="53"/>
      <c r="I64" s="53">
        <f>SUM(G64:H64)</f>
        <v>1500</v>
      </c>
      <c r="J64" s="53"/>
      <c r="K64" s="53">
        <f>SUM(I64:J64)</f>
        <v>1500</v>
      </c>
      <c r="L64" s="53"/>
      <c r="M64" s="53">
        <f>SUM(K64:L64)</f>
        <v>1500</v>
      </c>
      <c r="N64" s="53"/>
      <c r="O64" s="53">
        <f>SUM(M64:N64)</f>
        <v>1500</v>
      </c>
      <c r="P64" s="53"/>
      <c r="Q64" s="53">
        <f>SUM(O64:P64)</f>
        <v>1500</v>
      </c>
      <c r="R64" s="53"/>
      <c r="S64" s="53">
        <f>SUM(Q64:R64)</f>
        <v>1500</v>
      </c>
      <c r="T64" s="53"/>
      <c r="U64" s="53">
        <f>SUM(S64:T64)</f>
        <v>1500</v>
      </c>
      <c r="V64" s="53"/>
      <c r="W64" s="53">
        <f>SUM(U64:V64)</f>
        <v>1500</v>
      </c>
      <c r="X64" s="53"/>
      <c r="Y64" s="53">
        <f>SUM(W64:X64)</f>
        <v>1500</v>
      </c>
      <c r="Z64" s="53">
        <v>2000</v>
      </c>
      <c r="AA64" s="53">
        <f t="shared" si="33"/>
        <v>3500</v>
      </c>
      <c r="AB64" s="53"/>
      <c r="AC64" s="53">
        <f t="shared" si="34"/>
        <v>3500</v>
      </c>
      <c r="AD64" s="53">
        <v>3000</v>
      </c>
      <c r="AE64" s="53">
        <f t="shared" si="35"/>
        <v>6500</v>
      </c>
      <c r="AF64" s="53"/>
      <c r="AG64" s="53">
        <f t="shared" si="36"/>
        <v>6500</v>
      </c>
      <c r="AH64" s="53"/>
      <c r="AI64" s="53">
        <f t="shared" si="37"/>
        <v>6500</v>
      </c>
      <c r="AJ64" s="53"/>
      <c r="AK64" s="53">
        <f t="shared" si="38"/>
        <v>6500</v>
      </c>
      <c r="AL64" s="75"/>
      <c r="AM64" s="75"/>
    </row>
    <row r="65" spans="1:41" s="15" customFormat="1" ht="21" customHeight="1">
      <c r="A65" s="41"/>
      <c r="B65" s="55"/>
      <c r="C65" s="41">
        <v>6050</v>
      </c>
      <c r="D65" s="27" t="s">
        <v>63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>
        <v>0</v>
      </c>
      <c r="P65" s="53">
        <v>6120</v>
      </c>
      <c r="Q65" s="53">
        <f>SUM(O65:P65)</f>
        <v>6120</v>
      </c>
      <c r="R65" s="53"/>
      <c r="S65" s="53">
        <f>SUM(Q65:R65)</f>
        <v>6120</v>
      </c>
      <c r="T65" s="53"/>
      <c r="U65" s="53">
        <f>SUM(S65:T65)</f>
        <v>6120</v>
      </c>
      <c r="V65" s="53"/>
      <c r="W65" s="53">
        <f>SUM(U65:V65)</f>
        <v>6120</v>
      </c>
      <c r="X65" s="53"/>
      <c r="Y65" s="53">
        <f>SUM(W65:X65)</f>
        <v>6120</v>
      </c>
      <c r="Z65" s="53"/>
      <c r="AA65" s="53">
        <f t="shared" si="33"/>
        <v>6120</v>
      </c>
      <c r="AB65" s="53"/>
      <c r="AC65" s="53">
        <f t="shared" si="34"/>
        <v>6120</v>
      </c>
      <c r="AD65" s="53"/>
      <c r="AE65" s="53">
        <f t="shared" si="35"/>
        <v>6120</v>
      </c>
      <c r="AF65" s="53"/>
      <c r="AG65" s="53">
        <f t="shared" si="36"/>
        <v>6120</v>
      </c>
      <c r="AH65" s="53"/>
      <c r="AI65" s="53">
        <f t="shared" si="37"/>
        <v>6120</v>
      </c>
      <c r="AJ65" s="53"/>
      <c r="AK65" s="53">
        <f t="shared" si="38"/>
        <v>6120</v>
      </c>
      <c r="AL65" s="75"/>
      <c r="AM65" s="75"/>
      <c r="AN65" s="75"/>
      <c r="AO65" s="75"/>
    </row>
    <row r="66" spans="1:39" s="3" customFormat="1" ht="24.75" customHeight="1">
      <c r="A66" s="22" t="s">
        <v>23</v>
      </c>
      <c r="B66" s="23"/>
      <c r="C66" s="24"/>
      <c r="D66" s="25" t="s">
        <v>73</v>
      </c>
      <c r="E66" s="26">
        <f aca="true" t="shared" si="45" ref="E66:Z66">SUM(E67,E84,E95,E121,E134,)</f>
        <v>5797530</v>
      </c>
      <c r="F66" s="26">
        <f t="shared" si="45"/>
        <v>-560300</v>
      </c>
      <c r="G66" s="26">
        <f t="shared" si="45"/>
        <v>5237230</v>
      </c>
      <c r="H66" s="26">
        <f t="shared" si="45"/>
        <v>48502</v>
      </c>
      <c r="I66" s="26">
        <f t="shared" si="45"/>
        <v>5285732</v>
      </c>
      <c r="J66" s="26">
        <f t="shared" si="45"/>
        <v>0</v>
      </c>
      <c r="K66" s="26">
        <f t="shared" si="45"/>
        <v>5285732</v>
      </c>
      <c r="L66" s="26">
        <f t="shared" si="45"/>
        <v>0</v>
      </c>
      <c r="M66" s="26">
        <f t="shared" si="45"/>
        <v>5285732</v>
      </c>
      <c r="N66" s="26">
        <f t="shared" si="45"/>
        <v>0</v>
      </c>
      <c r="O66" s="26">
        <f t="shared" si="45"/>
        <v>5285732</v>
      </c>
      <c r="P66" s="26">
        <f t="shared" si="45"/>
        <v>0</v>
      </c>
      <c r="Q66" s="26">
        <f t="shared" si="45"/>
        <v>5285732</v>
      </c>
      <c r="R66" s="26">
        <f t="shared" si="45"/>
        <v>0</v>
      </c>
      <c r="S66" s="26">
        <f t="shared" si="45"/>
        <v>5285732</v>
      </c>
      <c r="T66" s="26">
        <f t="shared" si="45"/>
        <v>362000</v>
      </c>
      <c r="U66" s="26">
        <f t="shared" si="45"/>
        <v>5647732</v>
      </c>
      <c r="V66" s="26">
        <f t="shared" si="45"/>
        <v>0</v>
      </c>
      <c r="W66" s="26">
        <f t="shared" si="45"/>
        <v>5647732</v>
      </c>
      <c r="X66" s="26">
        <f t="shared" si="45"/>
        <v>53271</v>
      </c>
      <c r="Y66" s="26">
        <f t="shared" si="45"/>
        <v>5701003</v>
      </c>
      <c r="Z66" s="26">
        <f t="shared" si="45"/>
        <v>122697</v>
      </c>
      <c r="AA66" s="26">
        <f t="shared" si="33"/>
        <v>5823700</v>
      </c>
      <c r="AB66" s="26">
        <f>SUM(AB67,AB84,AB95,AB121,AB134,)</f>
        <v>0</v>
      </c>
      <c r="AC66" s="26">
        <f t="shared" si="34"/>
        <v>5823700</v>
      </c>
      <c r="AD66" s="26">
        <f>SUM(AD67,AD84,AD95,AD121,AD134,)</f>
        <v>-41920</v>
      </c>
      <c r="AE66" s="26">
        <f t="shared" si="35"/>
        <v>5781780</v>
      </c>
      <c r="AF66" s="26">
        <f>SUM(AF67,AF84,AF95,AF121,AF134,)</f>
        <v>0</v>
      </c>
      <c r="AG66" s="26">
        <f t="shared" si="36"/>
        <v>5781780</v>
      </c>
      <c r="AH66" s="26">
        <f>SUM(AH67,AH84,AH95,AH121,AH134,)</f>
        <v>0</v>
      </c>
      <c r="AI66" s="26">
        <f t="shared" si="37"/>
        <v>5781780</v>
      </c>
      <c r="AJ66" s="26">
        <f>SUM(AJ67,AJ84,AJ95,AJ121,AJ134,)</f>
        <v>0</v>
      </c>
      <c r="AK66" s="26">
        <f t="shared" si="38"/>
        <v>5781780</v>
      </c>
      <c r="AL66" s="92"/>
      <c r="AM66" s="92"/>
    </row>
    <row r="67" spans="1:39" s="15" customFormat="1" ht="21.75" customHeight="1">
      <c r="A67" s="41"/>
      <c r="B67" s="55">
        <v>75011</v>
      </c>
      <c r="C67" s="59"/>
      <c r="D67" s="27" t="s">
        <v>25</v>
      </c>
      <c r="E67" s="53">
        <f aca="true" t="shared" si="46" ref="E67:Z67">SUM(E69:E79)</f>
        <v>153500</v>
      </c>
      <c r="F67" s="53">
        <f t="shared" si="46"/>
        <v>0</v>
      </c>
      <c r="G67" s="53">
        <f t="shared" si="46"/>
        <v>153500</v>
      </c>
      <c r="H67" s="53">
        <f t="shared" si="46"/>
        <v>0</v>
      </c>
      <c r="I67" s="53">
        <f t="shared" si="46"/>
        <v>153500</v>
      </c>
      <c r="J67" s="53">
        <f t="shared" si="46"/>
        <v>0</v>
      </c>
      <c r="K67" s="53">
        <f t="shared" si="46"/>
        <v>153500</v>
      </c>
      <c r="L67" s="53">
        <f t="shared" si="46"/>
        <v>0</v>
      </c>
      <c r="M67" s="53">
        <f t="shared" si="46"/>
        <v>153500</v>
      </c>
      <c r="N67" s="53">
        <f t="shared" si="46"/>
        <v>0</v>
      </c>
      <c r="O67" s="53">
        <f t="shared" si="46"/>
        <v>153500</v>
      </c>
      <c r="P67" s="53">
        <f t="shared" si="46"/>
        <v>0</v>
      </c>
      <c r="Q67" s="53">
        <f t="shared" si="46"/>
        <v>153500</v>
      </c>
      <c r="R67" s="53">
        <f t="shared" si="46"/>
        <v>0</v>
      </c>
      <c r="S67" s="53">
        <f t="shared" si="46"/>
        <v>153500</v>
      </c>
      <c r="T67" s="53">
        <f t="shared" si="46"/>
        <v>0</v>
      </c>
      <c r="U67" s="53">
        <f t="shared" si="46"/>
        <v>153500</v>
      </c>
      <c r="V67" s="53">
        <f t="shared" si="46"/>
        <v>0</v>
      </c>
      <c r="W67" s="53">
        <f t="shared" si="46"/>
        <v>153500</v>
      </c>
      <c r="X67" s="53">
        <f t="shared" si="46"/>
        <v>2211</v>
      </c>
      <c r="Y67" s="53">
        <f t="shared" si="46"/>
        <v>155711</v>
      </c>
      <c r="Z67" s="53">
        <f t="shared" si="46"/>
        <v>0</v>
      </c>
      <c r="AA67" s="53">
        <f t="shared" si="33"/>
        <v>155711</v>
      </c>
      <c r="AB67" s="53">
        <f>SUM(AB69:AB79)</f>
        <v>0</v>
      </c>
      <c r="AC67" s="53">
        <f t="shared" si="34"/>
        <v>155711</v>
      </c>
      <c r="AD67" s="53">
        <f aca="true" t="shared" si="47" ref="AD67:AI67">SUM(AD68:AD83)</f>
        <v>192000</v>
      </c>
      <c r="AE67" s="53">
        <f t="shared" si="47"/>
        <v>347711</v>
      </c>
      <c r="AF67" s="53">
        <f t="shared" si="47"/>
        <v>0</v>
      </c>
      <c r="AG67" s="53">
        <f t="shared" si="47"/>
        <v>347711</v>
      </c>
      <c r="AH67" s="53">
        <f t="shared" si="47"/>
        <v>9000</v>
      </c>
      <c r="AI67" s="53">
        <f t="shared" si="47"/>
        <v>356711</v>
      </c>
      <c r="AJ67" s="53">
        <f>SUM(AJ68:AJ83)</f>
        <v>0</v>
      </c>
      <c r="AK67" s="53">
        <f>SUM(AK68:AK83)</f>
        <v>356711</v>
      </c>
      <c r="AL67" s="75"/>
      <c r="AM67" s="75"/>
    </row>
    <row r="68" spans="1:39" s="15" customFormat="1" ht="24">
      <c r="A68" s="41"/>
      <c r="B68" s="55"/>
      <c r="C68" s="59">
        <v>3020</v>
      </c>
      <c r="D68" s="27" t="s">
        <v>161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>
        <v>0</v>
      </c>
      <c r="AD68" s="53">
        <v>2000</v>
      </c>
      <c r="AE68" s="53">
        <f t="shared" si="35"/>
        <v>2000</v>
      </c>
      <c r="AF68" s="53"/>
      <c r="AG68" s="53">
        <f aca="true" t="shared" si="48" ref="AG68:AG99">SUM(AE68:AF68)</f>
        <v>2000</v>
      </c>
      <c r="AH68" s="53"/>
      <c r="AI68" s="53">
        <f aca="true" t="shared" si="49" ref="AI68:AI79">SUM(AG68:AH68)</f>
        <v>2000</v>
      </c>
      <c r="AJ68" s="53"/>
      <c r="AK68" s="53">
        <f aca="true" t="shared" si="50" ref="AK68:AK79">SUM(AI68:AJ68)</f>
        <v>2000</v>
      </c>
      <c r="AL68" s="75"/>
      <c r="AM68" s="75"/>
    </row>
    <row r="69" spans="1:39" s="15" customFormat="1" ht="21" customHeight="1">
      <c r="A69" s="41"/>
      <c r="B69" s="60"/>
      <c r="C69" s="41">
        <v>4010</v>
      </c>
      <c r="D69" s="27" t="s">
        <v>74</v>
      </c>
      <c r="E69" s="53">
        <v>103800</v>
      </c>
      <c r="F69" s="53"/>
      <c r="G69" s="53">
        <f>SUM(E69:F69)</f>
        <v>103800</v>
      </c>
      <c r="H69" s="53">
        <v>2833</v>
      </c>
      <c r="I69" s="53">
        <f>SUM(G69:H69)</f>
        <v>106633</v>
      </c>
      <c r="J69" s="53"/>
      <c r="K69" s="53">
        <f>SUM(I69:J69)</f>
        <v>106633</v>
      </c>
      <c r="L69" s="53"/>
      <c r="M69" s="53">
        <f>SUM(K69:L69)</f>
        <v>106633</v>
      </c>
      <c r="N69" s="53"/>
      <c r="O69" s="53">
        <f>SUM(M69:N69)</f>
        <v>106633</v>
      </c>
      <c r="P69" s="53"/>
      <c r="Q69" s="53">
        <f>SUM(O69:P69)</f>
        <v>106633</v>
      </c>
      <c r="R69" s="53"/>
      <c r="S69" s="53">
        <f>SUM(Q69:R69)</f>
        <v>106633</v>
      </c>
      <c r="T69" s="53"/>
      <c r="U69" s="53">
        <f>SUM(S69:T69)</f>
        <v>106633</v>
      </c>
      <c r="V69" s="53"/>
      <c r="W69" s="53">
        <f>SUM(U69:V69)</f>
        <v>106633</v>
      </c>
      <c r="X69" s="53">
        <v>2211</v>
      </c>
      <c r="Y69" s="53">
        <f>SUM(W69:X69)</f>
        <v>108844</v>
      </c>
      <c r="Z69" s="53"/>
      <c r="AA69" s="53">
        <f t="shared" si="33"/>
        <v>108844</v>
      </c>
      <c r="AB69" s="53"/>
      <c r="AC69" s="53">
        <f t="shared" si="34"/>
        <v>108844</v>
      </c>
      <c r="AD69" s="53">
        <v>136400</v>
      </c>
      <c r="AE69" s="53">
        <f t="shared" si="35"/>
        <v>245244</v>
      </c>
      <c r="AF69" s="53"/>
      <c r="AG69" s="53">
        <f t="shared" si="48"/>
        <v>245244</v>
      </c>
      <c r="AH69" s="53">
        <v>7000</v>
      </c>
      <c r="AI69" s="53">
        <f t="shared" si="49"/>
        <v>252244</v>
      </c>
      <c r="AJ69" s="53"/>
      <c r="AK69" s="53">
        <f t="shared" si="50"/>
        <v>252244</v>
      </c>
      <c r="AL69" s="75"/>
      <c r="AM69" s="75"/>
    </row>
    <row r="70" spans="1:39" s="15" customFormat="1" ht="21" customHeight="1">
      <c r="A70" s="41"/>
      <c r="B70" s="60"/>
      <c r="C70" s="41">
        <v>4040</v>
      </c>
      <c r="D70" s="27" t="s">
        <v>75</v>
      </c>
      <c r="E70" s="53">
        <v>18000</v>
      </c>
      <c r="F70" s="53"/>
      <c r="G70" s="53">
        <f>SUM(E70:F70)</f>
        <v>18000</v>
      </c>
      <c r="H70" s="53">
        <v>-2833</v>
      </c>
      <c r="I70" s="53">
        <f>SUM(G70:H70)</f>
        <v>15167</v>
      </c>
      <c r="J70" s="53"/>
      <c r="K70" s="53">
        <f>SUM(I70:J70)</f>
        <v>15167</v>
      </c>
      <c r="L70" s="53"/>
      <c r="M70" s="53">
        <f>SUM(K70:L70)</f>
        <v>15167</v>
      </c>
      <c r="N70" s="53"/>
      <c r="O70" s="53">
        <f>SUM(M70:N70)</f>
        <v>15167</v>
      </c>
      <c r="P70" s="53"/>
      <c r="Q70" s="53">
        <f>SUM(O70:P70)</f>
        <v>15167</v>
      </c>
      <c r="R70" s="53"/>
      <c r="S70" s="53">
        <f>SUM(Q70:R70)</f>
        <v>15167</v>
      </c>
      <c r="T70" s="53"/>
      <c r="U70" s="53">
        <f>SUM(S70:T70)</f>
        <v>15167</v>
      </c>
      <c r="V70" s="53"/>
      <c r="W70" s="53">
        <f>SUM(U70:V70)</f>
        <v>15167</v>
      </c>
      <c r="X70" s="53"/>
      <c r="Y70" s="53">
        <f>SUM(W70:X70)</f>
        <v>15167</v>
      </c>
      <c r="Z70" s="53"/>
      <c r="AA70" s="53">
        <f t="shared" si="33"/>
        <v>15167</v>
      </c>
      <c r="AB70" s="53"/>
      <c r="AC70" s="53">
        <f t="shared" si="34"/>
        <v>15167</v>
      </c>
      <c r="AD70" s="53"/>
      <c r="AE70" s="53">
        <f t="shared" si="35"/>
        <v>15167</v>
      </c>
      <c r="AF70" s="53"/>
      <c r="AG70" s="53">
        <f t="shared" si="48"/>
        <v>15167</v>
      </c>
      <c r="AH70" s="53"/>
      <c r="AI70" s="53">
        <f t="shared" si="49"/>
        <v>15167</v>
      </c>
      <c r="AJ70" s="53"/>
      <c r="AK70" s="53">
        <f t="shared" si="50"/>
        <v>15167</v>
      </c>
      <c r="AL70" s="75"/>
      <c r="AM70" s="75"/>
    </row>
    <row r="71" spans="1:39" s="15" customFormat="1" ht="21" customHeight="1">
      <c r="A71" s="41"/>
      <c r="B71" s="60"/>
      <c r="C71" s="41">
        <v>4110</v>
      </c>
      <c r="D71" s="27" t="s">
        <v>76</v>
      </c>
      <c r="E71" s="53">
        <v>21000</v>
      </c>
      <c r="F71" s="53"/>
      <c r="G71" s="53">
        <f>SUM(E71:F71)</f>
        <v>21000</v>
      </c>
      <c r="H71" s="53"/>
      <c r="I71" s="53">
        <f>SUM(G71:H71)</f>
        <v>21000</v>
      </c>
      <c r="J71" s="53"/>
      <c r="K71" s="53">
        <f>SUM(I71:J71)</f>
        <v>21000</v>
      </c>
      <c r="L71" s="53"/>
      <c r="M71" s="53">
        <f>SUM(K71:L71)</f>
        <v>21000</v>
      </c>
      <c r="N71" s="53"/>
      <c r="O71" s="53">
        <f>SUM(M71:N71)</f>
        <v>21000</v>
      </c>
      <c r="P71" s="53"/>
      <c r="Q71" s="53">
        <f>SUM(O71:P71)</f>
        <v>21000</v>
      </c>
      <c r="R71" s="53"/>
      <c r="S71" s="53">
        <f>SUM(Q71:R71)</f>
        <v>21000</v>
      </c>
      <c r="T71" s="53"/>
      <c r="U71" s="53">
        <f>SUM(S71:T71)</f>
        <v>21000</v>
      </c>
      <c r="V71" s="53"/>
      <c r="W71" s="53">
        <f>SUM(U71:V71)</f>
        <v>21000</v>
      </c>
      <c r="X71" s="53"/>
      <c r="Y71" s="53">
        <f>SUM(W71:X71)</f>
        <v>21000</v>
      </c>
      <c r="Z71" s="53"/>
      <c r="AA71" s="53">
        <f t="shared" si="33"/>
        <v>21000</v>
      </c>
      <c r="AB71" s="53"/>
      <c r="AC71" s="53">
        <f t="shared" si="34"/>
        <v>21000</v>
      </c>
      <c r="AD71" s="53">
        <v>21300</v>
      </c>
      <c r="AE71" s="53">
        <f t="shared" si="35"/>
        <v>42300</v>
      </c>
      <c r="AF71" s="53"/>
      <c r="AG71" s="53">
        <f t="shared" si="48"/>
        <v>42300</v>
      </c>
      <c r="AH71" s="53">
        <v>2000</v>
      </c>
      <c r="AI71" s="53">
        <f t="shared" si="49"/>
        <v>44300</v>
      </c>
      <c r="AJ71" s="53"/>
      <c r="AK71" s="53">
        <f t="shared" si="50"/>
        <v>44300</v>
      </c>
      <c r="AL71" s="75"/>
      <c r="AM71" s="75"/>
    </row>
    <row r="72" spans="1:39" s="15" customFormat="1" ht="21" customHeight="1">
      <c r="A72" s="41"/>
      <c r="B72" s="60"/>
      <c r="C72" s="41">
        <v>4120</v>
      </c>
      <c r="D72" s="27" t="s">
        <v>77</v>
      </c>
      <c r="E72" s="53">
        <v>3000</v>
      </c>
      <c r="F72" s="53"/>
      <c r="G72" s="53">
        <f>SUM(E72:F72)</f>
        <v>3000</v>
      </c>
      <c r="H72" s="53"/>
      <c r="I72" s="53">
        <f>SUM(G72:H72)</f>
        <v>3000</v>
      </c>
      <c r="J72" s="53"/>
      <c r="K72" s="53">
        <f>SUM(I72:J72)</f>
        <v>3000</v>
      </c>
      <c r="L72" s="53"/>
      <c r="M72" s="53">
        <f>SUM(K72:L72)</f>
        <v>3000</v>
      </c>
      <c r="N72" s="53"/>
      <c r="O72" s="53">
        <f>SUM(M72:N72)</f>
        <v>3000</v>
      </c>
      <c r="P72" s="53"/>
      <c r="Q72" s="53">
        <f>SUM(O72:P72)</f>
        <v>3000</v>
      </c>
      <c r="R72" s="53"/>
      <c r="S72" s="53">
        <f>SUM(Q72:R72)</f>
        <v>3000</v>
      </c>
      <c r="T72" s="53"/>
      <c r="U72" s="53">
        <f>SUM(S72:T72)</f>
        <v>3000</v>
      </c>
      <c r="V72" s="53"/>
      <c r="W72" s="53">
        <f>SUM(U72:V72)</f>
        <v>3000</v>
      </c>
      <c r="X72" s="53"/>
      <c r="Y72" s="53">
        <f>SUM(W72:X72)</f>
        <v>3000</v>
      </c>
      <c r="Z72" s="53"/>
      <c r="AA72" s="53">
        <f t="shared" si="33"/>
        <v>3000</v>
      </c>
      <c r="AB72" s="53"/>
      <c r="AC72" s="53">
        <f t="shared" si="34"/>
        <v>3000</v>
      </c>
      <c r="AD72" s="53">
        <v>4000</v>
      </c>
      <c r="AE72" s="53">
        <f t="shared" si="35"/>
        <v>7000</v>
      </c>
      <c r="AF72" s="53"/>
      <c r="AG72" s="53">
        <f t="shared" si="48"/>
        <v>7000</v>
      </c>
      <c r="AH72" s="53"/>
      <c r="AI72" s="53">
        <f t="shared" si="49"/>
        <v>7000</v>
      </c>
      <c r="AJ72" s="53"/>
      <c r="AK72" s="53">
        <f t="shared" si="50"/>
        <v>7000</v>
      </c>
      <c r="AL72" s="75"/>
      <c r="AM72" s="75"/>
    </row>
    <row r="73" spans="1:39" s="15" customFormat="1" ht="21" customHeight="1">
      <c r="A73" s="41"/>
      <c r="B73" s="60"/>
      <c r="C73" s="41">
        <v>4210</v>
      </c>
      <c r="D73" s="27" t="s">
        <v>82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>
        <v>0</v>
      </c>
      <c r="AD73" s="53">
        <v>8000</v>
      </c>
      <c r="AE73" s="53">
        <f t="shared" si="35"/>
        <v>8000</v>
      </c>
      <c r="AF73" s="53">
        <v>-913</v>
      </c>
      <c r="AG73" s="53">
        <f t="shared" si="48"/>
        <v>7087</v>
      </c>
      <c r="AH73" s="53"/>
      <c r="AI73" s="53">
        <f t="shared" si="49"/>
        <v>7087</v>
      </c>
      <c r="AJ73" s="53"/>
      <c r="AK73" s="53">
        <f t="shared" si="50"/>
        <v>7087</v>
      </c>
      <c r="AL73" s="75"/>
      <c r="AM73" s="75"/>
    </row>
    <row r="74" spans="1:39" s="15" customFormat="1" ht="21" customHeight="1">
      <c r="A74" s="41"/>
      <c r="B74" s="60"/>
      <c r="C74" s="41">
        <v>4270</v>
      </c>
      <c r="D74" s="27" t="s">
        <v>68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>
        <v>0</v>
      </c>
      <c r="AD74" s="53">
        <v>2000</v>
      </c>
      <c r="AE74" s="53">
        <f t="shared" si="35"/>
        <v>2000</v>
      </c>
      <c r="AF74" s="53"/>
      <c r="AG74" s="53">
        <f t="shared" si="48"/>
        <v>2000</v>
      </c>
      <c r="AH74" s="53"/>
      <c r="AI74" s="53">
        <f t="shared" si="49"/>
        <v>2000</v>
      </c>
      <c r="AJ74" s="53"/>
      <c r="AK74" s="53">
        <f t="shared" si="50"/>
        <v>2000</v>
      </c>
      <c r="AL74" s="75"/>
      <c r="AM74" s="75"/>
    </row>
    <row r="75" spans="1:39" s="15" customFormat="1" ht="21" customHeight="1">
      <c r="A75" s="41"/>
      <c r="B75" s="60"/>
      <c r="C75" s="41">
        <v>4280</v>
      </c>
      <c r="D75" s="27" t="s">
        <v>180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>
        <v>0</v>
      </c>
      <c r="AD75" s="53">
        <v>1000</v>
      </c>
      <c r="AE75" s="53">
        <f t="shared" si="35"/>
        <v>1000</v>
      </c>
      <c r="AF75" s="53"/>
      <c r="AG75" s="53">
        <f t="shared" si="48"/>
        <v>1000</v>
      </c>
      <c r="AH75" s="53"/>
      <c r="AI75" s="53">
        <f t="shared" si="49"/>
        <v>1000</v>
      </c>
      <c r="AJ75" s="53"/>
      <c r="AK75" s="53">
        <f t="shared" si="50"/>
        <v>1000</v>
      </c>
      <c r="AL75" s="75"/>
      <c r="AM75" s="75"/>
    </row>
    <row r="76" spans="1:39" s="15" customFormat="1" ht="21" customHeight="1">
      <c r="A76" s="41"/>
      <c r="B76" s="60"/>
      <c r="C76" s="41">
        <v>4300</v>
      </c>
      <c r="D76" s="27" t="s">
        <v>69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>
        <v>0</v>
      </c>
      <c r="AD76" s="53">
        <v>8000</v>
      </c>
      <c r="AE76" s="53">
        <f t="shared" si="35"/>
        <v>8000</v>
      </c>
      <c r="AF76" s="53"/>
      <c r="AG76" s="53">
        <f t="shared" si="48"/>
        <v>8000</v>
      </c>
      <c r="AH76" s="53"/>
      <c r="AI76" s="53">
        <f t="shared" si="49"/>
        <v>8000</v>
      </c>
      <c r="AJ76" s="53"/>
      <c r="AK76" s="53">
        <f t="shared" si="50"/>
        <v>8000</v>
      </c>
      <c r="AL76" s="75"/>
      <c r="AM76" s="75"/>
    </row>
    <row r="77" spans="1:39" s="15" customFormat="1" ht="21" customHeight="1">
      <c r="A77" s="41"/>
      <c r="B77" s="60"/>
      <c r="C77" s="41">
        <v>4410</v>
      </c>
      <c r="D77" s="27" t="s">
        <v>80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>
        <v>0</v>
      </c>
      <c r="AD77" s="53">
        <v>1000</v>
      </c>
      <c r="AE77" s="53">
        <f t="shared" si="35"/>
        <v>1000</v>
      </c>
      <c r="AF77" s="53"/>
      <c r="AG77" s="53">
        <f t="shared" si="48"/>
        <v>1000</v>
      </c>
      <c r="AH77" s="53"/>
      <c r="AI77" s="53">
        <f t="shared" si="49"/>
        <v>1000</v>
      </c>
      <c r="AJ77" s="53"/>
      <c r="AK77" s="53">
        <f t="shared" si="50"/>
        <v>1000</v>
      </c>
      <c r="AL77" s="75"/>
      <c r="AM77" s="75"/>
    </row>
    <row r="78" spans="1:39" s="15" customFormat="1" ht="21" customHeight="1">
      <c r="A78" s="41"/>
      <c r="B78" s="60"/>
      <c r="C78" s="41">
        <v>4430</v>
      </c>
      <c r="D78" s="27" t="s">
        <v>84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>
        <v>0</v>
      </c>
      <c r="AD78" s="53">
        <v>1000</v>
      </c>
      <c r="AE78" s="53">
        <f t="shared" si="35"/>
        <v>1000</v>
      </c>
      <c r="AF78" s="53"/>
      <c r="AG78" s="53">
        <f t="shared" si="48"/>
        <v>1000</v>
      </c>
      <c r="AH78" s="53"/>
      <c r="AI78" s="53">
        <f t="shared" si="49"/>
        <v>1000</v>
      </c>
      <c r="AJ78" s="53"/>
      <c r="AK78" s="53">
        <f t="shared" si="50"/>
        <v>1000</v>
      </c>
      <c r="AL78" s="75"/>
      <c r="AM78" s="75"/>
    </row>
    <row r="79" spans="1:39" s="15" customFormat="1" ht="24">
      <c r="A79" s="41"/>
      <c r="B79" s="60"/>
      <c r="C79" s="43">
        <v>4440</v>
      </c>
      <c r="D79" s="27" t="s">
        <v>78</v>
      </c>
      <c r="E79" s="53">
        <v>7700</v>
      </c>
      <c r="F79" s="53"/>
      <c r="G79" s="53">
        <f>SUM(E79:F79)</f>
        <v>7700</v>
      </c>
      <c r="H79" s="53"/>
      <c r="I79" s="53">
        <f>SUM(G79:H79)</f>
        <v>7700</v>
      </c>
      <c r="J79" s="53"/>
      <c r="K79" s="53">
        <f>SUM(I79:J79)</f>
        <v>7700</v>
      </c>
      <c r="L79" s="53"/>
      <c r="M79" s="53">
        <f>SUM(K79:L79)</f>
        <v>7700</v>
      </c>
      <c r="N79" s="53"/>
      <c r="O79" s="53">
        <f>SUM(M79:N79)</f>
        <v>7700</v>
      </c>
      <c r="P79" s="53"/>
      <c r="Q79" s="53">
        <f>SUM(O79:P79)</f>
        <v>7700</v>
      </c>
      <c r="R79" s="53"/>
      <c r="S79" s="53">
        <f>SUM(Q79:R79)</f>
        <v>7700</v>
      </c>
      <c r="T79" s="53"/>
      <c r="U79" s="53">
        <f>SUM(S79:T79)</f>
        <v>7700</v>
      </c>
      <c r="V79" s="53"/>
      <c r="W79" s="53">
        <f>SUM(U79:V79)</f>
        <v>7700</v>
      </c>
      <c r="X79" s="53"/>
      <c r="Y79" s="53">
        <f>SUM(W79:X79)</f>
        <v>7700</v>
      </c>
      <c r="Z79" s="53"/>
      <c r="AA79" s="53">
        <f t="shared" si="33"/>
        <v>7700</v>
      </c>
      <c r="AB79" s="53"/>
      <c r="AC79" s="53">
        <f t="shared" si="34"/>
        <v>7700</v>
      </c>
      <c r="AD79" s="53"/>
      <c r="AE79" s="53">
        <f t="shared" si="35"/>
        <v>7700</v>
      </c>
      <c r="AF79" s="53">
        <v>913</v>
      </c>
      <c r="AG79" s="53">
        <f t="shared" si="48"/>
        <v>8613</v>
      </c>
      <c r="AH79" s="53"/>
      <c r="AI79" s="53">
        <f t="shared" si="49"/>
        <v>8613</v>
      </c>
      <c r="AJ79" s="53"/>
      <c r="AK79" s="53">
        <f t="shared" si="50"/>
        <v>8613</v>
      </c>
      <c r="AL79" s="75"/>
      <c r="AM79" s="75"/>
    </row>
    <row r="80" spans="1:39" s="15" customFormat="1" ht="21.75" customHeight="1">
      <c r="A80" s="41"/>
      <c r="B80" s="60"/>
      <c r="C80" s="43">
        <v>4580</v>
      </c>
      <c r="D80" s="27" t="s">
        <v>20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>
        <v>0</v>
      </c>
      <c r="AD80" s="53">
        <v>300</v>
      </c>
      <c r="AE80" s="53">
        <f t="shared" si="35"/>
        <v>300</v>
      </c>
      <c r="AF80" s="53"/>
      <c r="AG80" s="53">
        <f t="shared" si="48"/>
        <v>300</v>
      </c>
      <c r="AH80" s="53"/>
      <c r="AI80" s="53">
        <f aca="true" t="shared" si="51" ref="AI80:AI143">SUM(AG80:AH80)</f>
        <v>300</v>
      </c>
      <c r="AJ80" s="53"/>
      <c r="AK80" s="53">
        <f aca="true" t="shared" si="52" ref="AK80:AK111">SUM(AI80:AJ80)</f>
        <v>300</v>
      </c>
      <c r="AL80" s="75"/>
      <c r="AM80" s="75"/>
    </row>
    <row r="81" spans="1:39" s="15" customFormat="1" ht="24">
      <c r="A81" s="41"/>
      <c r="B81" s="60"/>
      <c r="C81" s="43">
        <v>4700</v>
      </c>
      <c r="D81" s="27" t="s">
        <v>233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>
        <v>0</v>
      </c>
      <c r="AD81" s="53">
        <v>1000</v>
      </c>
      <c r="AE81" s="53">
        <f t="shared" si="35"/>
        <v>1000</v>
      </c>
      <c r="AF81" s="53"/>
      <c r="AG81" s="53">
        <f t="shared" si="48"/>
        <v>1000</v>
      </c>
      <c r="AH81" s="53"/>
      <c r="AI81" s="53">
        <f t="shared" si="51"/>
        <v>1000</v>
      </c>
      <c r="AJ81" s="53"/>
      <c r="AK81" s="53">
        <f t="shared" si="52"/>
        <v>1000</v>
      </c>
      <c r="AL81" s="75"/>
      <c r="AM81" s="75"/>
    </row>
    <row r="82" spans="1:39" s="15" customFormat="1" ht="24">
      <c r="A82" s="41"/>
      <c r="B82" s="60"/>
      <c r="C82" s="43">
        <v>4740</v>
      </c>
      <c r="D82" s="27" t="s">
        <v>189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>
        <v>0</v>
      </c>
      <c r="AD82" s="53">
        <v>3000</v>
      </c>
      <c r="AE82" s="53">
        <f t="shared" si="35"/>
        <v>3000</v>
      </c>
      <c r="AF82" s="53"/>
      <c r="AG82" s="53">
        <f t="shared" si="48"/>
        <v>3000</v>
      </c>
      <c r="AH82" s="53"/>
      <c r="AI82" s="53">
        <f t="shared" si="51"/>
        <v>3000</v>
      </c>
      <c r="AJ82" s="53"/>
      <c r="AK82" s="53">
        <f t="shared" si="52"/>
        <v>3000</v>
      </c>
      <c r="AL82" s="75"/>
      <c r="AM82" s="75"/>
    </row>
    <row r="83" spans="1:39" s="15" customFormat="1" ht="24">
      <c r="A83" s="41"/>
      <c r="B83" s="60"/>
      <c r="C83" s="43">
        <v>4750</v>
      </c>
      <c r="D83" s="27" t="s">
        <v>270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>
        <v>0</v>
      </c>
      <c r="AD83" s="53">
        <v>3000</v>
      </c>
      <c r="AE83" s="53">
        <f t="shared" si="35"/>
        <v>3000</v>
      </c>
      <c r="AF83" s="53"/>
      <c r="AG83" s="53">
        <f t="shared" si="48"/>
        <v>3000</v>
      </c>
      <c r="AH83" s="53"/>
      <c r="AI83" s="53">
        <f t="shared" si="51"/>
        <v>3000</v>
      </c>
      <c r="AJ83" s="53"/>
      <c r="AK83" s="53">
        <f t="shared" si="52"/>
        <v>3000</v>
      </c>
      <c r="AL83" s="75"/>
      <c r="AM83" s="75"/>
    </row>
    <row r="84" spans="1:39" s="15" customFormat="1" ht="24" customHeight="1">
      <c r="A84" s="59"/>
      <c r="B84" s="55" t="s">
        <v>81</v>
      </c>
      <c r="C84" s="59"/>
      <c r="D84" s="27" t="s">
        <v>144</v>
      </c>
      <c r="E84" s="53">
        <f aca="true" t="shared" si="53" ref="E84:Z84">SUM(E85:E94)</f>
        <v>296000</v>
      </c>
      <c r="F84" s="53">
        <f t="shared" si="53"/>
        <v>0</v>
      </c>
      <c r="G84" s="53">
        <f t="shared" si="53"/>
        <v>296000</v>
      </c>
      <c r="H84" s="53">
        <f t="shared" si="53"/>
        <v>0</v>
      </c>
      <c r="I84" s="53">
        <f t="shared" si="53"/>
        <v>296000</v>
      </c>
      <c r="J84" s="53">
        <f t="shared" si="53"/>
        <v>0</v>
      </c>
      <c r="K84" s="53">
        <f t="shared" si="53"/>
        <v>296000</v>
      </c>
      <c r="L84" s="53">
        <f t="shared" si="53"/>
        <v>0</v>
      </c>
      <c r="M84" s="53">
        <f t="shared" si="53"/>
        <v>296000</v>
      </c>
      <c r="N84" s="53">
        <f t="shared" si="53"/>
        <v>0</v>
      </c>
      <c r="O84" s="53">
        <f t="shared" si="53"/>
        <v>296000</v>
      </c>
      <c r="P84" s="53">
        <f t="shared" si="53"/>
        <v>0</v>
      </c>
      <c r="Q84" s="53">
        <f t="shared" si="53"/>
        <v>296000</v>
      </c>
      <c r="R84" s="53">
        <f t="shared" si="53"/>
        <v>0</v>
      </c>
      <c r="S84" s="53">
        <f t="shared" si="53"/>
        <v>296000</v>
      </c>
      <c r="T84" s="53">
        <f t="shared" si="53"/>
        <v>0</v>
      </c>
      <c r="U84" s="53">
        <f t="shared" si="53"/>
        <v>296000</v>
      </c>
      <c r="V84" s="53">
        <f t="shared" si="53"/>
        <v>0</v>
      </c>
      <c r="W84" s="53">
        <f t="shared" si="53"/>
        <v>296000</v>
      </c>
      <c r="X84" s="53">
        <f t="shared" si="53"/>
        <v>0</v>
      </c>
      <c r="Y84" s="53">
        <f t="shared" si="53"/>
        <v>296000</v>
      </c>
      <c r="Z84" s="53">
        <f t="shared" si="53"/>
        <v>0</v>
      </c>
      <c r="AA84" s="53">
        <f t="shared" si="33"/>
        <v>296000</v>
      </c>
      <c r="AB84" s="53">
        <f>SUM(AB85:AB94)</f>
        <v>0</v>
      </c>
      <c r="AC84" s="53">
        <f t="shared" si="34"/>
        <v>296000</v>
      </c>
      <c r="AD84" s="53">
        <f>SUM(AD85:AD94)</f>
        <v>0</v>
      </c>
      <c r="AE84" s="53">
        <f t="shared" si="35"/>
        <v>296000</v>
      </c>
      <c r="AF84" s="53">
        <f>SUM(AF85:AF94)</f>
        <v>0</v>
      </c>
      <c r="AG84" s="53">
        <f t="shared" si="48"/>
        <v>296000</v>
      </c>
      <c r="AH84" s="53">
        <f>SUM(AH85:AH94)</f>
        <v>0</v>
      </c>
      <c r="AI84" s="53">
        <f t="shared" si="51"/>
        <v>296000</v>
      </c>
      <c r="AJ84" s="53">
        <f>SUM(AJ85:AJ94)</f>
        <v>0</v>
      </c>
      <c r="AK84" s="53">
        <f t="shared" si="52"/>
        <v>296000</v>
      </c>
      <c r="AL84" s="75"/>
      <c r="AM84" s="75"/>
    </row>
    <row r="85" spans="1:39" s="15" customFormat="1" ht="26.25" customHeight="1">
      <c r="A85" s="59"/>
      <c r="B85" s="55"/>
      <c r="C85" s="41">
        <v>3030</v>
      </c>
      <c r="D85" s="27" t="s">
        <v>79</v>
      </c>
      <c r="E85" s="53">
        <v>230200</v>
      </c>
      <c r="F85" s="53"/>
      <c r="G85" s="53">
        <f aca="true" t="shared" si="54" ref="G85:G94">SUM(E85:F85)</f>
        <v>230200</v>
      </c>
      <c r="H85" s="53"/>
      <c r="I85" s="53">
        <f aca="true" t="shared" si="55" ref="I85:I94">SUM(G85:H85)</f>
        <v>230200</v>
      </c>
      <c r="J85" s="53"/>
      <c r="K85" s="53">
        <f aca="true" t="shared" si="56" ref="K85:K94">SUM(I85:J85)</f>
        <v>230200</v>
      </c>
      <c r="L85" s="53"/>
      <c r="M85" s="53">
        <f aca="true" t="shared" si="57" ref="M85:M94">SUM(K85:L85)</f>
        <v>230200</v>
      </c>
      <c r="N85" s="53"/>
      <c r="O85" s="53">
        <f aca="true" t="shared" si="58" ref="O85:O94">SUM(M85:N85)</f>
        <v>230200</v>
      </c>
      <c r="P85" s="53"/>
      <c r="Q85" s="53">
        <f aca="true" t="shared" si="59" ref="Q85:Q94">SUM(O85:P85)</f>
        <v>230200</v>
      </c>
      <c r="R85" s="53"/>
      <c r="S85" s="53">
        <f aca="true" t="shared" si="60" ref="S85:S94">SUM(Q85:R85)</f>
        <v>230200</v>
      </c>
      <c r="T85" s="53"/>
      <c r="U85" s="53">
        <f aca="true" t="shared" si="61" ref="U85:U94">SUM(S85:T85)</f>
        <v>230200</v>
      </c>
      <c r="V85" s="53"/>
      <c r="W85" s="53">
        <f aca="true" t="shared" si="62" ref="W85:W94">SUM(U85:V85)</f>
        <v>230200</v>
      </c>
      <c r="X85" s="53"/>
      <c r="Y85" s="53">
        <f aca="true" t="shared" si="63" ref="Y85:Y94">SUM(W85:X85)</f>
        <v>230200</v>
      </c>
      <c r="Z85" s="53"/>
      <c r="AA85" s="53">
        <f t="shared" si="33"/>
        <v>230200</v>
      </c>
      <c r="AB85" s="53">
        <v>4000</v>
      </c>
      <c r="AC85" s="53">
        <f t="shared" si="34"/>
        <v>234200</v>
      </c>
      <c r="AD85" s="53"/>
      <c r="AE85" s="53">
        <f t="shared" si="35"/>
        <v>234200</v>
      </c>
      <c r="AF85" s="53"/>
      <c r="AG85" s="53">
        <f t="shared" si="48"/>
        <v>234200</v>
      </c>
      <c r="AH85" s="53"/>
      <c r="AI85" s="53">
        <f t="shared" si="51"/>
        <v>234200</v>
      </c>
      <c r="AJ85" s="53"/>
      <c r="AK85" s="53">
        <f t="shared" si="52"/>
        <v>234200</v>
      </c>
      <c r="AL85" s="75"/>
      <c r="AM85" s="75"/>
    </row>
    <row r="86" spans="1:39" s="15" customFormat="1" ht="21" customHeight="1">
      <c r="A86" s="59"/>
      <c r="B86" s="55"/>
      <c r="C86" s="41">
        <v>4170</v>
      </c>
      <c r="D86" s="27" t="s">
        <v>162</v>
      </c>
      <c r="E86" s="53">
        <v>2000</v>
      </c>
      <c r="F86" s="53"/>
      <c r="G86" s="53">
        <f t="shared" si="54"/>
        <v>2000</v>
      </c>
      <c r="H86" s="53"/>
      <c r="I86" s="53">
        <f t="shared" si="55"/>
        <v>2000</v>
      </c>
      <c r="J86" s="53"/>
      <c r="K86" s="53">
        <f t="shared" si="56"/>
        <v>2000</v>
      </c>
      <c r="L86" s="53"/>
      <c r="M86" s="53">
        <f t="shared" si="57"/>
        <v>2000</v>
      </c>
      <c r="N86" s="53"/>
      <c r="O86" s="53">
        <f t="shared" si="58"/>
        <v>2000</v>
      </c>
      <c r="P86" s="53"/>
      <c r="Q86" s="53">
        <f t="shared" si="59"/>
        <v>2000</v>
      </c>
      <c r="R86" s="53"/>
      <c r="S86" s="53">
        <f t="shared" si="60"/>
        <v>2000</v>
      </c>
      <c r="T86" s="53"/>
      <c r="U86" s="53">
        <f t="shared" si="61"/>
        <v>2000</v>
      </c>
      <c r="V86" s="53"/>
      <c r="W86" s="53">
        <f t="shared" si="62"/>
        <v>2000</v>
      </c>
      <c r="X86" s="53"/>
      <c r="Y86" s="53">
        <f t="shared" si="63"/>
        <v>2000</v>
      </c>
      <c r="Z86" s="53"/>
      <c r="AA86" s="53">
        <f t="shared" si="33"/>
        <v>2000</v>
      </c>
      <c r="AB86" s="53"/>
      <c r="AC86" s="53">
        <f t="shared" si="34"/>
        <v>2000</v>
      </c>
      <c r="AD86" s="53"/>
      <c r="AE86" s="53">
        <f t="shared" si="35"/>
        <v>2000</v>
      </c>
      <c r="AF86" s="53"/>
      <c r="AG86" s="53">
        <f t="shared" si="48"/>
        <v>2000</v>
      </c>
      <c r="AH86" s="53"/>
      <c r="AI86" s="53">
        <f t="shared" si="51"/>
        <v>2000</v>
      </c>
      <c r="AJ86" s="53"/>
      <c r="AK86" s="53">
        <f t="shared" si="52"/>
        <v>2000</v>
      </c>
      <c r="AL86" s="75"/>
      <c r="AM86" s="75"/>
    </row>
    <row r="87" spans="1:39" s="15" customFormat="1" ht="21" customHeight="1">
      <c r="A87" s="59"/>
      <c r="B87" s="55"/>
      <c r="C87" s="41">
        <v>4210</v>
      </c>
      <c r="D87" s="27" t="s">
        <v>82</v>
      </c>
      <c r="E87" s="53">
        <v>22500</v>
      </c>
      <c r="F87" s="53"/>
      <c r="G87" s="53">
        <f t="shared" si="54"/>
        <v>22500</v>
      </c>
      <c r="H87" s="53"/>
      <c r="I87" s="53">
        <f t="shared" si="55"/>
        <v>22500</v>
      </c>
      <c r="J87" s="53"/>
      <c r="K87" s="53">
        <f t="shared" si="56"/>
        <v>22500</v>
      </c>
      <c r="L87" s="53"/>
      <c r="M87" s="53">
        <f t="shared" si="57"/>
        <v>22500</v>
      </c>
      <c r="N87" s="53"/>
      <c r="O87" s="53">
        <f t="shared" si="58"/>
        <v>22500</v>
      </c>
      <c r="P87" s="53"/>
      <c r="Q87" s="53">
        <f t="shared" si="59"/>
        <v>22500</v>
      </c>
      <c r="R87" s="53"/>
      <c r="S87" s="53">
        <f t="shared" si="60"/>
        <v>22500</v>
      </c>
      <c r="T87" s="53"/>
      <c r="U87" s="53">
        <f t="shared" si="61"/>
        <v>22500</v>
      </c>
      <c r="V87" s="53"/>
      <c r="W87" s="53">
        <f t="shared" si="62"/>
        <v>22500</v>
      </c>
      <c r="X87" s="53"/>
      <c r="Y87" s="53">
        <f t="shared" si="63"/>
        <v>22500</v>
      </c>
      <c r="Z87" s="53"/>
      <c r="AA87" s="53">
        <f t="shared" si="33"/>
        <v>22500</v>
      </c>
      <c r="AB87" s="53">
        <v>-2000</v>
      </c>
      <c r="AC87" s="53">
        <f t="shared" si="34"/>
        <v>20500</v>
      </c>
      <c r="AD87" s="53"/>
      <c r="AE87" s="53">
        <f t="shared" si="35"/>
        <v>20500</v>
      </c>
      <c r="AF87" s="53"/>
      <c r="AG87" s="53">
        <f t="shared" si="48"/>
        <v>20500</v>
      </c>
      <c r="AH87" s="53"/>
      <c r="AI87" s="53">
        <f t="shared" si="51"/>
        <v>20500</v>
      </c>
      <c r="AJ87" s="53"/>
      <c r="AK87" s="53">
        <f t="shared" si="52"/>
        <v>20500</v>
      </c>
      <c r="AL87" s="75"/>
      <c r="AM87" s="75"/>
    </row>
    <row r="88" spans="1:39" s="15" customFormat="1" ht="21" customHeight="1">
      <c r="A88" s="59"/>
      <c r="B88" s="55"/>
      <c r="C88" s="41">
        <v>4300</v>
      </c>
      <c r="D88" s="27" t="s">
        <v>69</v>
      </c>
      <c r="E88" s="53">
        <v>25000</v>
      </c>
      <c r="F88" s="53"/>
      <c r="G88" s="53">
        <f t="shared" si="54"/>
        <v>25000</v>
      </c>
      <c r="H88" s="53"/>
      <c r="I88" s="53">
        <f t="shared" si="55"/>
        <v>25000</v>
      </c>
      <c r="J88" s="53"/>
      <c r="K88" s="53">
        <f t="shared" si="56"/>
        <v>25000</v>
      </c>
      <c r="L88" s="53"/>
      <c r="M88" s="53">
        <f t="shared" si="57"/>
        <v>25000</v>
      </c>
      <c r="N88" s="53"/>
      <c r="O88" s="53">
        <f t="shared" si="58"/>
        <v>25000</v>
      </c>
      <c r="P88" s="53"/>
      <c r="Q88" s="53">
        <f t="shared" si="59"/>
        <v>25000</v>
      </c>
      <c r="R88" s="53"/>
      <c r="S88" s="53">
        <f t="shared" si="60"/>
        <v>25000</v>
      </c>
      <c r="T88" s="53"/>
      <c r="U88" s="53">
        <f t="shared" si="61"/>
        <v>25000</v>
      </c>
      <c r="V88" s="53"/>
      <c r="W88" s="53">
        <f t="shared" si="62"/>
        <v>25000</v>
      </c>
      <c r="X88" s="53"/>
      <c r="Y88" s="53">
        <f t="shared" si="63"/>
        <v>25000</v>
      </c>
      <c r="Z88" s="53"/>
      <c r="AA88" s="53">
        <f t="shared" si="33"/>
        <v>25000</v>
      </c>
      <c r="AB88" s="53"/>
      <c r="AC88" s="53">
        <f t="shared" si="34"/>
        <v>25000</v>
      </c>
      <c r="AD88" s="53"/>
      <c r="AE88" s="53">
        <f t="shared" si="35"/>
        <v>25000</v>
      </c>
      <c r="AF88" s="53"/>
      <c r="AG88" s="53">
        <f t="shared" si="48"/>
        <v>25000</v>
      </c>
      <c r="AH88" s="53"/>
      <c r="AI88" s="53">
        <f t="shared" si="51"/>
        <v>25000</v>
      </c>
      <c r="AJ88" s="53"/>
      <c r="AK88" s="53">
        <f t="shared" si="52"/>
        <v>25000</v>
      </c>
      <c r="AL88" s="75"/>
      <c r="AM88" s="75"/>
    </row>
    <row r="89" spans="1:39" s="15" customFormat="1" ht="24">
      <c r="A89" s="59"/>
      <c r="B89" s="55"/>
      <c r="C89" s="41">
        <v>4370</v>
      </c>
      <c r="D89" s="27" t="s">
        <v>188</v>
      </c>
      <c r="E89" s="53">
        <v>2800</v>
      </c>
      <c r="F89" s="53"/>
      <c r="G89" s="53">
        <f t="shared" si="54"/>
        <v>2800</v>
      </c>
      <c r="H89" s="53"/>
      <c r="I89" s="53">
        <f t="shared" si="55"/>
        <v>2800</v>
      </c>
      <c r="J89" s="53"/>
      <c r="K89" s="53">
        <f t="shared" si="56"/>
        <v>2800</v>
      </c>
      <c r="L89" s="53"/>
      <c r="M89" s="53">
        <f t="shared" si="57"/>
        <v>2800</v>
      </c>
      <c r="N89" s="53"/>
      <c r="O89" s="53">
        <f t="shared" si="58"/>
        <v>2800</v>
      </c>
      <c r="P89" s="53"/>
      <c r="Q89" s="53">
        <f t="shared" si="59"/>
        <v>2800</v>
      </c>
      <c r="R89" s="53"/>
      <c r="S89" s="53">
        <f t="shared" si="60"/>
        <v>2800</v>
      </c>
      <c r="T89" s="53"/>
      <c r="U89" s="53">
        <f t="shared" si="61"/>
        <v>2800</v>
      </c>
      <c r="V89" s="53"/>
      <c r="W89" s="53">
        <f t="shared" si="62"/>
        <v>2800</v>
      </c>
      <c r="X89" s="53"/>
      <c r="Y89" s="53">
        <f t="shared" si="63"/>
        <v>2800</v>
      </c>
      <c r="Z89" s="53"/>
      <c r="AA89" s="53">
        <f t="shared" si="33"/>
        <v>2800</v>
      </c>
      <c r="AB89" s="53"/>
      <c r="AC89" s="53">
        <f t="shared" si="34"/>
        <v>2800</v>
      </c>
      <c r="AD89" s="53"/>
      <c r="AE89" s="53">
        <f t="shared" si="35"/>
        <v>2800</v>
      </c>
      <c r="AF89" s="53"/>
      <c r="AG89" s="53">
        <f t="shared" si="48"/>
        <v>2800</v>
      </c>
      <c r="AH89" s="53"/>
      <c r="AI89" s="53">
        <f t="shared" si="51"/>
        <v>2800</v>
      </c>
      <c r="AJ89" s="53"/>
      <c r="AK89" s="53">
        <f t="shared" si="52"/>
        <v>2800</v>
      </c>
      <c r="AL89" s="75"/>
      <c r="AM89" s="75"/>
    </row>
    <row r="90" spans="1:39" s="15" customFormat="1" ht="21.75" customHeight="1">
      <c r="A90" s="59"/>
      <c r="B90" s="55"/>
      <c r="C90" s="41">
        <v>4410</v>
      </c>
      <c r="D90" s="27" t="s">
        <v>80</v>
      </c>
      <c r="E90" s="53">
        <v>8000</v>
      </c>
      <c r="F90" s="53"/>
      <c r="G90" s="53">
        <f t="shared" si="54"/>
        <v>8000</v>
      </c>
      <c r="H90" s="53"/>
      <c r="I90" s="53">
        <f t="shared" si="55"/>
        <v>8000</v>
      </c>
      <c r="J90" s="53"/>
      <c r="K90" s="53">
        <f t="shared" si="56"/>
        <v>8000</v>
      </c>
      <c r="L90" s="53"/>
      <c r="M90" s="53">
        <f t="shared" si="57"/>
        <v>8000</v>
      </c>
      <c r="N90" s="53"/>
      <c r="O90" s="53">
        <f t="shared" si="58"/>
        <v>8000</v>
      </c>
      <c r="P90" s="53"/>
      <c r="Q90" s="53">
        <f t="shared" si="59"/>
        <v>8000</v>
      </c>
      <c r="R90" s="53"/>
      <c r="S90" s="53">
        <f t="shared" si="60"/>
        <v>8000</v>
      </c>
      <c r="T90" s="53"/>
      <c r="U90" s="53">
        <f t="shared" si="61"/>
        <v>8000</v>
      </c>
      <c r="V90" s="53"/>
      <c r="W90" s="53">
        <f t="shared" si="62"/>
        <v>8000</v>
      </c>
      <c r="X90" s="53"/>
      <c r="Y90" s="53">
        <f t="shared" si="63"/>
        <v>8000</v>
      </c>
      <c r="Z90" s="53"/>
      <c r="AA90" s="53">
        <f t="shared" si="33"/>
        <v>8000</v>
      </c>
      <c r="AB90" s="53">
        <v>-2000</v>
      </c>
      <c r="AC90" s="53">
        <f t="shared" si="34"/>
        <v>6000</v>
      </c>
      <c r="AD90" s="53">
        <v>-1000</v>
      </c>
      <c r="AE90" s="53">
        <f t="shared" si="35"/>
        <v>5000</v>
      </c>
      <c r="AF90" s="53"/>
      <c r="AG90" s="53">
        <f t="shared" si="48"/>
        <v>5000</v>
      </c>
      <c r="AH90" s="53"/>
      <c r="AI90" s="53">
        <f t="shared" si="51"/>
        <v>5000</v>
      </c>
      <c r="AJ90" s="53"/>
      <c r="AK90" s="53">
        <f t="shared" si="52"/>
        <v>5000</v>
      </c>
      <c r="AL90" s="75"/>
      <c r="AM90" s="75"/>
    </row>
    <row r="91" spans="1:39" s="15" customFormat="1" ht="21.75" customHeight="1">
      <c r="A91" s="59"/>
      <c r="B91" s="55"/>
      <c r="C91" s="41">
        <v>4420</v>
      </c>
      <c r="D91" s="27" t="s">
        <v>83</v>
      </c>
      <c r="E91" s="53">
        <v>2000</v>
      </c>
      <c r="F91" s="53"/>
      <c r="G91" s="53">
        <f t="shared" si="54"/>
        <v>2000</v>
      </c>
      <c r="H91" s="53"/>
      <c r="I91" s="53">
        <f t="shared" si="55"/>
        <v>2000</v>
      </c>
      <c r="J91" s="53"/>
      <c r="K91" s="53">
        <f t="shared" si="56"/>
        <v>2000</v>
      </c>
      <c r="L91" s="53"/>
      <c r="M91" s="53">
        <f t="shared" si="57"/>
        <v>2000</v>
      </c>
      <c r="N91" s="53"/>
      <c r="O91" s="53">
        <f t="shared" si="58"/>
        <v>2000</v>
      </c>
      <c r="P91" s="53"/>
      <c r="Q91" s="53">
        <f t="shared" si="59"/>
        <v>2000</v>
      </c>
      <c r="R91" s="53"/>
      <c r="S91" s="53">
        <f t="shared" si="60"/>
        <v>2000</v>
      </c>
      <c r="T91" s="53"/>
      <c r="U91" s="53">
        <f t="shared" si="61"/>
        <v>2000</v>
      </c>
      <c r="V91" s="53"/>
      <c r="W91" s="53">
        <f t="shared" si="62"/>
        <v>2000</v>
      </c>
      <c r="X91" s="53"/>
      <c r="Y91" s="53">
        <f t="shared" si="63"/>
        <v>2000</v>
      </c>
      <c r="Z91" s="53"/>
      <c r="AA91" s="53">
        <f t="shared" si="33"/>
        <v>2000</v>
      </c>
      <c r="AB91" s="53"/>
      <c r="AC91" s="53">
        <f t="shared" si="34"/>
        <v>2000</v>
      </c>
      <c r="AD91" s="53">
        <v>1000</v>
      </c>
      <c r="AE91" s="53">
        <f t="shared" si="35"/>
        <v>3000</v>
      </c>
      <c r="AF91" s="53"/>
      <c r="AG91" s="53">
        <f t="shared" si="48"/>
        <v>3000</v>
      </c>
      <c r="AH91" s="53"/>
      <c r="AI91" s="53">
        <f t="shared" si="51"/>
        <v>3000</v>
      </c>
      <c r="AJ91" s="53"/>
      <c r="AK91" s="53">
        <f t="shared" si="52"/>
        <v>3000</v>
      </c>
      <c r="AL91" s="75"/>
      <c r="AM91" s="75"/>
    </row>
    <row r="92" spans="1:39" s="15" customFormat="1" ht="21" customHeight="1">
      <c r="A92" s="59"/>
      <c r="B92" s="55"/>
      <c r="C92" s="43">
        <v>4430</v>
      </c>
      <c r="D92" s="27" t="s">
        <v>84</v>
      </c>
      <c r="E92" s="53">
        <v>500</v>
      </c>
      <c r="F92" s="53"/>
      <c r="G92" s="53">
        <f t="shared" si="54"/>
        <v>500</v>
      </c>
      <c r="H92" s="53"/>
      <c r="I92" s="53">
        <f t="shared" si="55"/>
        <v>500</v>
      </c>
      <c r="J92" s="53"/>
      <c r="K92" s="53">
        <f t="shared" si="56"/>
        <v>500</v>
      </c>
      <c r="L92" s="53"/>
      <c r="M92" s="53">
        <f t="shared" si="57"/>
        <v>500</v>
      </c>
      <c r="N92" s="53"/>
      <c r="O92" s="53">
        <f t="shared" si="58"/>
        <v>500</v>
      </c>
      <c r="P92" s="53"/>
      <c r="Q92" s="53">
        <f t="shared" si="59"/>
        <v>500</v>
      </c>
      <c r="R92" s="53"/>
      <c r="S92" s="53">
        <f t="shared" si="60"/>
        <v>500</v>
      </c>
      <c r="T92" s="53"/>
      <c r="U92" s="53">
        <f t="shared" si="61"/>
        <v>500</v>
      </c>
      <c r="V92" s="53"/>
      <c r="W92" s="53">
        <f t="shared" si="62"/>
        <v>500</v>
      </c>
      <c r="X92" s="53"/>
      <c r="Y92" s="53">
        <f t="shared" si="63"/>
        <v>500</v>
      </c>
      <c r="Z92" s="53"/>
      <c r="AA92" s="53">
        <f t="shared" si="33"/>
        <v>500</v>
      </c>
      <c r="AB92" s="53"/>
      <c r="AC92" s="53">
        <f t="shared" si="34"/>
        <v>500</v>
      </c>
      <c r="AD92" s="53"/>
      <c r="AE92" s="53">
        <f t="shared" si="35"/>
        <v>500</v>
      </c>
      <c r="AF92" s="53"/>
      <c r="AG92" s="53">
        <f t="shared" si="48"/>
        <v>500</v>
      </c>
      <c r="AH92" s="53"/>
      <c r="AI92" s="53">
        <f t="shared" si="51"/>
        <v>500</v>
      </c>
      <c r="AJ92" s="53"/>
      <c r="AK92" s="53">
        <f t="shared" si="52"/>
        <v>500</v>
      </c>
      <c r="AL92" s="75"/>
      <c r="AM92" s="75"/>
    </row>
    <row r="93" spans="1:39" s="15" customFormat="1" ht="24">
      <c r="A93" s="59"/>
      <c r="B93" s="55"/>
      <c r="C93" s="43">
        <v>4740</v>
      </c>
      <c r="D93" s="27" t="s">
        <v>189</v>
      </c>
      <c r="E93" s="53">
        <v>2000</v>
      </c>
      <c r="F93" s="53"/>
      <c r="G93" s="53">
        <f t="shared" si="54"/>
        <v>2000</v>
      </c>
      <c r="H93" s="53"/>
      <c r="I93" s="53">
        <f t="shared" si="55"/>
        <v>2000</v>
      </c>
      <c r="J93" s="53"/>
      <c r="K93" s="53">
        <f t="shared" si="56"/>
        <v>2000</v>
      </c>
      <c r="L93" s="53"/>
      <c r="M93" s="53">
        <f t="shared" si="57"/>
        <v>2000</v>
      </c>
      <c r="N93" s="53"/>
      <c r="O93" s="53">
        <f t="shared" si="58"/>
        <v>2000</v>
      </c>
      <c r="P93" s="53"/>
      <c r="Q93" s="53">
        <f t="shared" si="59"/>
        <v>2000</v>
      </c>
      <c r="R93" s="53"/>
      <c r="S93" s="53">
        <f t="shared" si="60"/>
        <v>2000</v>
      </c>
      <c r="T93" s="53"/>
      <c r="U93" s="53">
        <f t="shared" si="61"/>
        <v>2000</v>
      </c>
      <c r="V93" s="53"/>
      <c r="W93" s="53">
        <f t="shared" si="62"/>
        <v>2000</v>
      </c>
      <c r="X93" s="53"/>
      <c r="Y93" s="53">
        <f t="shared" si="63"/>
        <v>2000</v>
      </c>
      <c r="Z93" s="53"/>
      <c r="AA93" s="53">
        <f t="shared" si="33"/>
        <v>2000</v>
      </c>
      <c r="AB93" s="53"/>
      <c r="AC93" s="53">
        <f t="shared" si="34"/>
        <v>2000</v>
      </c>
      <c r="AD93" s="53"/>
      <c r="AE93" s="53">
        <f t="shared" si="35"/>
        <v>2000</v>
      </c>
      <c r="AF93" s="53"/>
      <c r="AG93" s="53">
        <f t="shared" si="48"/>
        <v>2000</v>
      </c>
      <c r="AH93" s="53"/>
      <c r="AI93" s="53">
        <f t="shared" si="51"/>
        <v>2000</v>
      </c>
      <c r="AJ93" s="53"/>
      <c r="AK93" s="53">
        <f t="shared" si="52"/>
        <v>2000</v>
      </c>
      <c r="AL93" s="75"/>
      <c r="AM93" s="75"/>
    </row>
    <row r="94" spans="1:39" s="15" customFormat="1" ht="24">
      <c r="A94" s="59"/>
      <c r="B94" s="55"/>
      <c r="C94" s="43">
        <v>4750</v>
      </c>
      <c r="D94" s="27" t="s">
        <v>194</v>
      </c>
      <c r="E94" s="53">
        <v>1000</v>
      </c>
      <c r="F94" s="53"/>
      <c r="G94" s="53">
        <f t="shared" si="54"/>
        <v>1000</v>
      </c>
      <c r="H94" s="53"/>
      <c r="I94" s="53">
        <f t="shared" si="55"/>
        <v>1000</v>
      </c>
      <c r="J94" s="53"/>
      <c r="K94" s="53">
        <f t="shared" si="56"/>
        <v>1000</v>
      </c>
      <c r="L94" s="53"/>
      <c r="M94" s="53">
        <f t="shared" si="57"/>
        <v>1000</v>
      </c>
      <c r="N94" s="53"/>
      <c r="O94" s="53">
        <f t="shared" si="58"/>
        <v>1000</v>
      </c>
      <c r="P94" s="53"/>
      <c r="Q94" s="53">
        <f t="shared" si="59"/>
        <v>1000</v>
      </c>
      <c r="R94" s="53"/>
      <c r="S94" s="53">
        <f t="shared" si="60"/>
        <v>1000</v>
      </c>
      <c r="T94" s="53"/>
      <c r="U94" s="53">
        <f t="shared" si="61"/>
        <v>1000</v>
      </c>
      <c r="V94" s="53"/>
      <c r="W94" s="53">
        <f t="shared" si="62"/>
        <v>1000</v>
      </c>
      <c r="X94" s="53"/>
      <c r="Y94" s="53">
        <f t="shared" si="63"/>
        <v>1000</v>
      </c>
      <c r="Z94" s="53"/>
      <c r="AA94" s="53">
        <f t="shared" si="33"/>
        <v>1000</v>
      </c>
      <c r="AB94" s="53"/>
      <c r="AC94" s="53">
        <f t="shared" si="34"/>
        <v>1000</v>
      </c>
      <c r="AD94" s="53"/>
      <c r="AE94" s="53">
        <f t="shared" si="35"/>
        <v>1000</v>
      </c>
      <c r="AF94" s="53"/>
      <c r="AG94" s="53">
        <f t="shared" si="48"/>
        <v>1000</v>
      </c>
      <c r="AH94" s="53"/>
      <c r="AI94" s="53">
        <f t="shared" si="51"/>
        <v>1000</v>
      </c>
      <c r="AJ94" s="53"/>
      <c r="AK94" s="53">
        <f t="shared" si="52"/>
        <v>1000</v>
      </c>
      <c r="AL94" s="75"/>
      <c r="AM94" s="75"/>
    </row>
    <row r="95" spans="1:39" s="15" customFormat="1" ht="24">
      <c r="A95" s="59"/>
      <c r="B95" s="55" t="s">
        <v>26</v>
      </c>
      <c r="C95" s="59"/>
      <c r="D95" s="27" t="s">
        <v>27</v>
      </c>
      <c r="E95" s="53">
        <f aca="true" t="shared" si="64" ref="E95:Z95">SUM(E96:E120)</f>
        <v>5079910</v>
      </c>
      <c r="F95" s="53">
        <f t="shared" si="64"/>
        <v>-567300</v>
      </c>
      <c r="G95" s="53">
        <f t="shared" si="64"/>
        <v>4512610</v>
      </c>
      <c r="H95" s="53">
        <f t="shared" si="64"/>
        <v>45302</v>
      </c>
      <c r="I95" s="53">
        <f t="shared" si="64"/>
        <v>4557912</v>
      </c>
      <c r="J95" s="53">
        <f t="shared" si="64"/>
        <v>0</v>
      </c>
      <c r="K95" s="53">
        <f t="shared" si="64"/>
        <v>4557912</v>
      </c>
      <c r="L95" s="53">
        <f t="shared" si="64"/>
        <v>0</v>
      </c>
      <c r="M95" s="53">
        <f t="shared" si="64"/>
        <v>4557912</v>
      </c>
      <c r="N95" s="53">
        <f t="shared" si="64"/>
        <v>0</v>
      </c>
      <c r="O95" s="53">
        <f t="shared" si="64"/>
        <v>4557912</v>
      </c>
      <c r="P95" s="53">
        <f t="shared" si="64"/>
        <v>0</v>
      </c>
      <c r="Q95" s="53">
        <f t="shared" si="64"/>
        <v>4557912</v>
      </c>
      <c r="R95" s="53">
        <f t="shared" si="64"/>
        <v>0</v>
      </c>
      <c r="S95" s="53">
        <f t="shared" si="64"/>
        <v>4557912</v>
      </c>
      <c r="T95" s="53">
        <f t="shared" si="64"/>
        <v>360000</v>
      </c>
      <c r="U95" s="53">
        <f t="shared" si="64"/>
        <v>4917912</v>
      </c>
      <c r="V95" s="53">
        <f t="shared" si="64"/>
        <v>0</v>
      </c>
      <c r="W95" s="53">
        <f t="shared" si="64"/>
        <v>4917912</v>
      </c>
      <c r="X95" s="53">
        <f t="shared" si="64"/>
        <v>14060</v>
      </c>
      <c r="Y95" s="53">
        <f t="shared" si="64"/>
        <v>4931972</v>
      </c>
      <c r="Z95" s="53">
        <f t="shared" si="64"/>
        <v>-3</v>
      </c>
      <c r="AA95" s="53">
        <f t="shared" si="33"/>
        <v>4931969</v>
      </c>
      <c r="AB95" s="53">
        <f>SUM(AB96:AB120)</f>
        <v>0</v>
      </c>
      <c r="AC95" s="53">
        <f t="shared" si="34"/>
        <v>4931969</v>
      </c>
      <c r="AD95" s="53">
        <f>SUM(AD96:AD120)</f>
        <v>-232300</v>
      </c>
      <c r="AE95" s="53">
        <f t="shared" si="35"/>
        <v>4699669</v>
      </c>
      <c r="AF95" s="53">
        <f>SUM(AF96:AF120)</f>
        <v>0</v>
      </c>
      <c r="AG95" s="53">
        <f t="shared" si="48"/>
        <v>4699669</v>
      </c>
      <c r="AH95" s="53">
        <f>SUM(AH96:AH120)</f>
        <v>-9000</v>
      </c>
      <c r="AI95" s="53">
        <f t="shared" si="51"/>
        <v>4690669</v>
      </c>
      <c r="AJ95" s="53">
        <f>SUM(AJ96:AJ120)</f>
        <v>0</v>
      </c>
      <c r="AK95" s="53">
        <f t="shared" si="52"/>
        <v>4690669</v>
      </c>
      <c r="AL95" s="75"/>
      <c r="AM95" s="75"/>
    </row>
    <row r="96" spans="1:39" s="15" customFormat="1" ht="21" customHeight="1">
      <c r="A96" s="59"/>
      <c r="B96" s="55"/>
      <c r="C96" s="41">
        <v>3020</v>
      </c>
      <c r="D96" s="27" t="s">
        <v>161</v>
      </c>
      <c r="E96" s="53">
        <v>33500</v>
      </c>
      <c r="F96" s="53"/>
      <c r="G96" s="53">
        <f aca="true" t="shared" si="65" ref="G96:G114">SUM(E96:F96)</f>
        <v>33500</v>
      </c>
      <c r="H96" s="53"/>
      <c r="I96" s="53">
        <f aca="true" t="shared" si="66" ref="I96:I114">SUM(G96:H96)</f>
        <v>33500</v>
      </c>
      <c r="J96" s="53"/>
      <c r="K96" s="53">
        <f aca="true" t="shared" si="67" ref="K96:K120">SUM(I96:J96)</f>
        <v>33500</v>
      </c>
      <c r="L96" s="53"/>
      <c r="M96" s="53">
        <f aca="true" t="shared" si="68" ref="M96:M120">SUM(K96:L96)</f>
        <v>33500</v>
      </c>
      <c r="N96" s="53"/>
      <c r="O96" s="53">
        <f aca="true" t="shared" si="69" ref="O96:O120">SUM(M96:N96)</f>
        <v>33500</v>
      </c>
      <c r="P96" s="53"/>
      <c r="Q96" s="53">
        <f aca="true" t="shared" si="70" ref="Q96:Q120">SUM(O96:P96)</f>
        <v>33500</v>
      </c>
      <c r="R96" s="53"/>
      <c r="S96" s="53">
        <f aca="true" t="shared" si="71" ref="S96:S120">SUM(Q96:R96)</f>
        <v>33500</v>
      </c>
      <c r="T96" s="53"/>
      <c r="U96" s="53">
        <f aca="true" t="shared" si="72" ref="U96:U120">SUM(S96:T96)</f>
        <v>33500</v>
      </c>
      <c r="V96" s="53"/>
      <c r="W96" s="53">
        <f aca="true" t="shared" si="73" ref="W96:W120">SUM(U96:V96)</f>
        <v>33500</v>
      </c>
      <c r="X96" s="53"/>
      <c r="Y96" s="53">
        <f aca="true" t="shared" si="74" ref="Y96:Y120">SUM(W96:X96)</f>
        <v>33500</v>
      </c>
      <c r="Z96" s="53"/>
      <c r="AA96" s="53">
        <f t="shared" si="33"/>
        <v>33500</v>
      </c>
      <c r="AB96" s="53"/>
      <c r="AC96" s="53">
        <f t="shared" si="34"/>
        <v>33500</v>
      </c>
      <c r="AD96" s="53">
        <v>-4000</v>
      </c>
      <c r="AE96" s="53">
        <f t="shared" si="35"/>
        <v>29500</v>
      </c>
      <c r="AF96" s="53">
        <v>-13000</v>
      </c>
      <c r="AG96" s="53">
        <f t="shared" si="48"/>
        <v>16500</v>
      </c>
      <c r="AH96" s="53"/>
      <c r="AI96" s="53">
        <f t="shared" si="51"/>
        <v>16500</v>
      </c>
      <c r="AJ96" s="53"/>
      <c r="AK96" s="53">
        <f t="shared" si="52"/>
        <v>16500</v>
      </c>
      <c r="AL96" s="75"/>
      <c r="AM96" s="75"/>
    </row>
    <row r="97" spans="1:39" s="15" customFormat="1" ht="21" customHeight="1">
      <c r="A97" s="59"/>
      <c r="B97" s="55"/>
      <c r="C97" s="41">
        <v>3030</v>
      </c>
      <c r="D97" s="27" t="s">
        <v>79</v>
      </c>
      <c r="E97" s="53">
        <v>60000</v>
      </c>
      <c r="F97" s="53"/>
      <c r="G97" s="53">
        <f t="shared" si="65"/>
        <v>60000</v>
      </c>
      <c r="H97" s="53"/>
      <c r="I97" s="53">
        <f t="shared" si="66"/>
        <v>60000</v>
      </c>
      <c r="J97" s="53"/>
      <c r="K97" s="53">
        <f t="shared" si="67"/>
        <v>60000</v>
      </c>
      <c r="L97" s="53"/>
      <c r="M97" s="53">
        <f t="shared" si="68"/>
        <v>60000</v>
      </c>
      <c r="N97" s="53"/>
      <c r="O97" s="53">
        <f t="shared" si="69"/>
        <v>60000</v>
      </c>
      <c r="P97" s="53"/>
      <c r="Q97" s="53">
        <f t="shared" si="70"/>
        <v>60000</v>
      </c>
      <c r="R97" s="53"/>
      <c r="S97" s="53">
        <f t="shared" si="71"/>
        <v>60000</v>
      </c>
      <c r="T97" s="53"/>
      <c r="U97" s="53">
        <f t="shared" si="72"/>
        <v>60000</v>
      </c>
      <c r="V97" s="53"/>
      <c r="W97" s="53">
        <f t="shared" si="73"/>
        <v>60000</v>
      </c>
      <c r="X97" s="53"/>
      <c r="Y97" s="53">
        <f t="shared" si="74"/>
        <v>60000</v>
      </c>
      <c r="Z97" s="53"/>
      <c r="AA97" s="53">
        <f t="shared" si="33"/>
        <v>60000</v>
      </c>
      <c r="AB97" s="53"/>
      <c r="AC97" s="53">
        <f t="shared" si="34"/>
        <v>60000</v>
      </c>
      <c r="AD97" s="53"/>
      <c r="AE97" s="53">
        <f t="shared" si="35"/>
        <v>60000</v>
      </c>
      <c r="AF97" s="53"/>
      <c r="AG97" s="53">
        <f t="shared" si="48"/>
        <v>60000</v>
      </c>
      <c r="AH97" s="53"/>
      <c r="AI97" s="53">
        <f t="shared" si="51"/>
        <v>60000</v>
      </c>
      <c r="AJ97" s="53"/>
      <c r="AK97" s="53">
        <f t="shared" si="52"/>
        <v>60000</v>
      </c>
      <c r="AL97" s="75"/>
      <c r="AM97" s="75"/>
    </row>
    <row r="98" spans="1:39" s="15" customFormat="1" ht="21" customHeight="1">
      <c r="A98" s="59"/>
      <c r="B98" s="55"/>
      <c r="C98" s="41">
        <v>4010</v>
      </c>
      <c r="D98" s="27" t="s">
        <v>74</v>
      </c>
      <c r="E98" s="53">
        <v>2527500</v>
      </c>
      <c r="F98" s="53">
        <v>127000</v>
      </c>
      <c r="G98" s="53">
        <f t="shared" si="65"/>
        <v>2654500</v>
      </c>
      <c r="H98" s="53"/>
      <c r="I98" s="53">
        <f t="shared" si="66"/>
        <v>2654500</v>
      </c>
      <c r="J98" s="53"/>
      <c r="K98" s="53">
        <f t="shared" si="67"/>
        <v>2654500</v>
      </c>
      <c r="L98" s="53"/>
      <c r="M98" s="53">
        <f t="shared" si="68"/>
        <v>2654500</v>
      </c>
      <c r="N98" s="53"/>
      <c r="O98" s="53">
        <f t="shared" si="69"/>
        <v>2654500</v>
      </c>
      <c r="P98" s="53"/>
      <c r="Q98" s="53">
        <f t="shared" si="70"/>
        <v>2654500</v>
      </c>
      <c r="R98" s="53"/>
      <c r="S98" s="53">
        <f t="shared" si="71"/>
        <v>2654500</v>
      </c>
      <c r="T98" s="53"/>
      <c r="U98" s="53">
        <f t="shared" si="72"/>
        <v>2654500</v>
      </c>
      <c r="V98" s="53"/>
      <c r="W98" s="53">
        <f t="shared" si="73"/>
        <v>2654500</v>
      </c>
      <c r="X98" s="53"/>
      <c r="Y98" s="53">
        <f t="shared" si="74"/>
        <v>2654500</v>
      </c>
      <c r="Z98" s="53"/>
      <c r="AA98" s="53">
        <f t="shared" si="33"/>
        <v>2654500</v>
      </c>
      <c r="AB98" s="53"/>
      <c r="AC98" s="53">
        <f t="shared" si="34"/>
        <v>2654500</v>
      </c>
      <c r="AD98" s="53">
        <v>-136400</v>
      </c>
      <c r="AE98" s="53">
        <f t="shared" si="35"/>
        <v>2518100</v>
      </c>
      <c r="AF98" s="53"/>
      <c r="AG98" s="53">
        <f t="shared" si="48"/>
        <v>2518100</v>
      </c>
      <c r="AH98" s="53"/>
      <c r="AI98" s="53">
        <f t="shared" si="51"/>
        <v>2518100</v>
      </c>
      <c r="AJ98" s="53"/>
      <c r="AK98" s="53">
        <f t="shared" si="52"/>
        <v>2518100</v>
      </c>
      <c r="AL98" s="75"/>
      <c r="AM98" s="75"/>
    </row>
    <row r="99" spans="1:39" s="15" customFormat="1" ht="21" customHeight="1">
      <c r="A99" s="59"/>
      <c r="B99" s="55"/>
      <c r="C99" s="41">
        <v>4040</v>
      </c>
      <c r="D99" s="27" t="s">
        <v>75</v>
      </c>
      <c r="E99" s="53">
        <v>165000</v>
      </c>
      <c r="F99" s="53"/>
      <c r="G99" s="53">
        <f t="shared" si="65"/>
        <v>165000</v>
      </c>
      <c r="H99" s="53">
        <v>-11720</v>
      </c>
      <c r="I99" s="53">
        <f t="shared" si="66"/>
        <v>153280</v>
      </c>
      <c r="J99" s="53"/>
      <c r="K99" s="53">
        <f t="shared" si="67"/>
        <v>153280</v>
      </c>
      <c r="L99" s="53"/>
      <c r="M99" s="53">
        <f t="shared" si="68"/>
        <v>153280</v>
      </c>
      <c r="N99" s="53"/>
      <c r="O99" s="53">
        <f t="shared" si="69"/>
        <v>153280</v>
      </c>
      <c r="P99" s="53">
        <v>859</v>
      </c>
      <c r="Q99" s="53">
        <f t="shared" si="70"/>
        <v>154139</v>
      </c>
      <c r="R99" s="53"/>
      <c r="S99" s="53">
        <f t="shared" si="71"/>
        <v>154139</v>
      </c>
      <c r="T99" s="53"/>
      <c r="U99" s="53">
        <f t="shared" si="72"/>
        <v>154139</v>
      </c>
      <c r="V99" s="53"/>
      <c r="W99" s="53">
        <f t="shared" si="73"/>
        <v>154139</v>
      </c>
      <c r="X99" s="53"/>
      <c r="Y99" s="53">
        <f t="shared" si="74"/>
        <v>154139</v>
      </c>
      <c r="Z99" s="53"/>
      <c r="AA99" s="53">
        <f t="shared" si="33"/>
        <v>154139</v>
      </c>
      <c r="AB99" s="53"/>
      <c r="AC99" s="53">
        <f t="shared" si="34"/>
        <v>154139</v>
      </c>
      <c r="AD99" s="53"/>
      <c r="AE99" s="53">
        <f t="shared" si="35"/>
        <v>154139</v>
      </c>
      <c r="AF99" s="53"/>
      <c r="AG99" s="53">
        <f t="shared" si="48"/>
        <v>154139</v>
      </c>
      <c r="AH99" s="53"/>
      <c r="AI99" s="53">
        <f t="shared" si="51"/>
        <v>154139</v>
      </c>
      <c r="AJ99" s="53"/>
      <c r="AK99" s="53">
        <f t="shared" si="52"/>
        <v>154139</v>
      </c>
      <c r="AL99" s="75"/>
      <c r="AM99" s="75"/>
    </row>
    <row r="100" spans="1:39" s="15" customFormat="1" ht="21" customHeight="1">
      <c r="A100" s="59"/>
      <c r="B100" s="55"/>
      <c r="C100" s="41">
        <v>4110</v>
      </c>
      <c r="D100" s="27" t="s">
        <v>76</v>
      </c>
      <c r="E100" s="53">
        <v>465500</v>
      </c>
      <c r="F100" s="53">
        <v>21950</v>
      </c>
      <c r="G100" s="53">
        <f t="shared" si="65"/>
        <v>487450</v>
      </c>
      <c r="H100" s="53"/>
      <c r="I100" s="53">
        <f t="shared" si="66"/>
        <v>487450</v>
      </c>
      <c r="J100" s="53"/>
      <c r="K100" s="53">
        <f t="shared" si="67"/>
        <v>487450</v>
      </c>
      <c r="L100" s="53"/>
      <c r="M100" s="53">
        <f t="shared" si="68"/>
        <v>487450</v>
      </c>
      <c r="N100" s="53"/>
      <c r="O100" s="53">
        <f t="shared" si="69"/>
        <v>487450</v>
      </c>
      <c r="P100" s="53">
        <v>-859</v>
      </c>
      <c r="Q100" s="53">
        <f t="shared" si="70"/>
        <v>486591</v>
      </c>
      <c r="R100" s="53"/>
      <c r="S100" s="53">
        <f t="shared" si="71"/>
        <v>486591</v>
      </c>
      <c r="T100" s="53"/>
      <c r="U100" s="53">
        <f t="shared" si="72"/>
        <v>486591</v>
      </c>
      <c r="V100" s="53"/>
      <c r="W100" s="53">
        <f t="shared" si="73"/>
        <v>486591</v>
      </c>
      <c r="X100" s="53"/>
      <c r="Y100" s="53">
        <f t="shared" si="74"/>
        <v>486591</v>
      </c>
      <c r="Z100" s="53"/>
      <c r="AA100" s="53">
        <f t="shared" si="33"/>
        <v>486591</v>
      </c>
      <c r="AB100" s="53"/>
      <c r="AC100" s="53">
        <f t="shared" si="34"/>
        <v>486591</v>
      </c>
      <c r="AD100" s="53">
        <v>-21300</v>
      </c>
      <c r="AE100" s="53">
        <f t="shared" si="35"/>
        <v>465291</v>
      </c>
      <c r="AF100" s="53"/>
      <c r="AG100" s="53">
        <f aca="true" t="shared" si="75" ref="AG100:AG131">SUM(AE100:AF100)</f>
        <v>465291</v>
      </c>
      <c r="AH100" s="53">
        <v>-14000</v>
      </c>
      <c r="AI100" s="53">
        <f t="shared" si="51"/>
        <v>451291</v>
      </c>
      <c r="AJ100" s="53"/>
      <c r="AK100" s="53">
        <f t="shared" si="52"/>
        <v>451291</v>
      </c>
      <c r="AL100" s="75"/>
      <c r="AM100" s="75"/>
    </row>
    <row r="101" spans="1:39" s="15" customFormat="1" ht="21" customHeight="1">
      <c r="A101" s="59"/>
      <c r="B101" s="55"/>
      <c r="C101" s="41">
        <v>4120</v>
      </c>
      <c r="D101" s="27" t="s">
        <v>77</v>
      </c>
      <c r="E101" s="53">
        <v>65100</v>
      </c>
      <c r="F101" s="53">
        <v>5720</v>
      </c>
      <c r="G101" s="53">
        <f t="shared" si="65"/>
        <v>70820</v>
      </c>
      <c r="H101" s="53"/>
      <c r="I101" s="53">
        <f t="shared" si="66"/>
        <v>70820</v>
      </c>
      <c r="J101" s="53"/>
      <c r="K101" s="53">
        <f t="shared" si="67"/>
        <v>70820</v>
      </c>
      <c r="L101" s="53"/>
      <c r="M101" s="53">
        <f t="shared" si="68"/>
        <v>70820</v>
      </c>
      <c r="N101" s="53"/>
      <c r="O101" s="53">
        <f t="shared" si="69"/>
        <v>70820</v>
      </c>
      <c r="P101" s="53"/>
      <c r="Q101" s="53">
        <f t="shared" si="70"/>
        <v>70820</v>
      </c>
      <c r="R101" s="53"/>
      <c r="S101" s="53">
        <f t="shared" si="71"/>
        <v>70820</v>
      </c>
      <c r="T101" s="53"/>
      <c r="U101" s="53">
        <f t="shared" si="72"/>
        <v>70820</v>
      </c>
      <c r="V101" s="53"/>
      <c r="W101" s="53">
        <f t="shared" si="73"/>
        <v>70820</v>
      </c>
      <c r="X101" s="53"/>
      <c r="Y101" s="53">
        <f t="shared" si="74"/>
        <v>70820</v>
      </c>
      <c r="Z101" s="53"/>
      <c r="AA101" s="53">
        <f t="shared" si="33"/>
        <v>70820</v>
      </c>
      <c r="AB101" s="53"/>
      <c r="AC101" s="53">
        <f t="shared" si="34"/>
        <v>70820</v>
      </c>
      <c r="AD101" s="53">
        <v>-4000</v>
      </c>
      <c r="AE101" s="53">
        <f t="shared" si="35"/>
        <v>66820</v>
      </c>
      <c r="AF101" s="53"/>
      <c r="AG101" s="53">
        <f t="shared" si="75"/>
        <v>66820</v>
      </c>
      <c r="AH101" s="53">
        <v>5000</v>
      </c>
      <c r="AI101" s="53">
        <f t="shared" si="51"/>
        <v>71820</v>
      </c>
      <c r="AJ101" s="53"/>
      <c r="AK101" s="53">
        <f t="shared" si="52"/>
        <v>71820</v>
      </c>
      <c r="AL101" s="75"/>
      <c r="AM101" s="75"/>
    </row>
    <row r="102" spans="1:39" s="15" customFormat="1" ht="21" customHeight="1">
      <c r="A102" s="59"/>
      <c r="B102" s="55"/>
      <c r="C102" s="41">
        <v>4170</v>
      </c>
      <c r="D102" s="27" t="s">
        <v>162</v>
      </c>
      <c r="E102" s="53">
        <v>12000</v>
      </c>
      <c r="F102" s="53"/>
      <c r="G102" s="53">
        <f t="shared" si="65"/>
        <v>12000</v>
      </c>
      <c r="H102" s="53"/>
      <c r="I102" s="53">
        <f t="shared" si="66"/>
        <v>12000</v>
      </c>
      <c r="J102" s="53"/>
      <c r="K102" s="53">
        <f t="shared" si="67"/>
        <v>12000</v>
      </c>
      <c r="L102" s="53"/>
      <c r="M102" s="53">
        <f t="shared" si="68"/>
        <v>12000</v>
      </c>
      <c r="N102" s="53"/>
      <c r="O102" s="53">
        <f t="shared" si="69"/>
        <v>12000</v>
      </c>
      <c r="P102" s="53"/>
      <c r="Q102" s="53">
        <f t="shared" si="70"/>
        <v>12000</v>
      </c>
      <c r="R102" s="53"/>
      <c r="S102" s="53">
        <f t="shared" si="71"/>
        <v>12000</v>
      </c>
      <c r="T102" s="53"/>
      <c r="U102" s="53">
        <f t="shared" si="72"/>
        <v>12000</v>
      </c>
      <c r="V102" s="53"/>
      <c r="W102" s="53">
        <f t="shared" si="73"/>
        <v>12000</v>
      </c>
      <c r="X102" s="53"/>
      <c r="Y102" s="53">
        <f t="shared" si="74"/>
        <v>12000</v>
      </c>
      <c r="Z102" s="53">
        <v>6000</v>
      </c>
      <c r="AA102" s="53">
        <f t="shared" si="33"/>
        <v>18000</v>
      </c>
      <c r="AB102" s="53"/>
      <c r="AC102" s="53">
        <f t="shared" si="34"/>
        <v>18000</v>
      </c>
      <c r="AD102" s="53"/>
      <c r="AE102" s="53">
        <f t="shared" si="35"/>
        <v>18000</v>
      </c>
      <c r="AF102" s="53"/>
      <c r="AG102" s="53">
        <f t="shared" si="75"/>
        <v>18000</v>
      </c>
      <c r="AH102" s="53"/>
      <c r="AI102" s="53">
        <f t="shared" si="51"/>
        <v>18000</v>
      </c>
      <c r="AJ102" s="53"/>
      <c r="AK102" s="53">
        <f t="shared" si="52"/>
        <v>18000</v>
      </c>
      <c r="AL102" s="75"/>
      <c r="AM102" s="75"/>
    </row>
    <row r="103" spans="1:39" s="15" customFormat="1" ht="21" customHeight="1">
      <c r="A103" s="59"/>
      <c r="B103" s="55"/>
      <c r="C103" s="41">
        <v>4210</v>
      </c>
      <c r="D103" s="27" t="s">
        <v>82</v>
      </c>
      <c r="E103" s="53">
        <f>173500-30300+1600</f>
        <v>144800</v>
      </c>
      <c r="F103" s="53">
        <f>6450-5000</f>
        <v>1450</v>
      </c>
      <c r="G103" s="53">
        <f t="shared" si="65"/>
        <v>146250</v>
      </c>
      <c r="H103" s="53">
        <v>69651</v>
      </c>
      <c r="I103" s="53">
        <f t="shared" si="66"/>
        <v>215901</v>
      </c>
      <c r="J103" s="53"/>
      <c r="K103" s="53">
        <f t="shared" si="67"/>
        <v>215901</v>
      </c>
      <c r="L103" s="53"/>
      <c r="M103" s="53">
        <f t="shared" si="68"/>
        <v>215901</v>
      </c>
      <c r="N103" s="53"/>
      <c r="O103" s="53">
        <f t="shared" si="69"/>
        <v>215901</v>
      </c>
      <c r="P103" s="53"/>
      <c r="Q103" s="53">
        <f t="shared" si="70"/>
        <v>215901</v>
      </c>
      <c r="R103" s="53"/>
      <c r="S103" s="53">
        <f t="shared" si="71"/>
        <v>215901</v>
      </c>
      <c r="T103" s="53">
        <v>60000</v>
      </c>
      <c r="U103" s="53">
        <f t="shared" si="72"/>
        <v>275901</v>
      </c>
      <c r="V103" s="53"/>
      <c r="W103" s="53">
        <f t="shared" si="73"/>
        <v>275901</v>
      </c>
      <c r="X103" s="53"/>
      <c r="Y103" s="53">
        <f t="shared" si="74"/>
        <v>275901</v>
      </c>
      <c r="Z103" s="53">
        <v>-3</v>
      </c>
      <c r="AA103" s="53">
        <f t="shared" si="33"/>
        <v>275898</v>
      </c>
      <c r="AB103" s="53"/>
      <c r="AC103" s="53">
        <f t="shared" si="34"/>
        <v>275898</v>
      </c>
      <c r="AD103" s="53">
        <v>64000</v>
      </c>
      <c r="AE103" s="53">
        <f t="shared" si="35"/>
        <v>339898</v>
      </c>
      <c r="AF103" s="53">
        <v>-9000</v>
      </c>
      <c r="AG103" s="53">
        <f t="shared" si="75"/>
        <v>330898</v>
      </c>
      <c r="AH103" s="53"/>
      <c r="AI103" s="53">
        <f t="shared" si="51"/>
        <v>330898</v>
      </c>
      <c r="AJ103" s="53"/>
      <c r="AK103" s="53">
        <f t="shared" si="52"/>
        <v>330898</v>
      </c>
      <c r="AL103" s="75"/>
      <c r="AM103" s="75"/>
    </row>
    <row r="104" spans="1:39" s="15" customFormat="1" ht="21" customHeight="1">
      <c r="A104" s="59"/>
      <c r="B104" s="55"/>
      <c r="C104" s="41">
        <v>4260</v>
      </c>
      <c r="D104" s="27" t="s">
        <v>85</v>
      </c>
      <c r="E104" s="53">
        <v>89500</v>
      </c>
      <c r="F104" s="53"/>
      <c r="G104" s="53">
        <f t="shared" si="65"/>
        <v>89500</v>
      </c>
      <c r="H104" s="53"/>
      <c r="I104" s="53">
        <f t="shared" si="66"/>
        <v>89500</v>
      </c>
      <c r="J104" s="53"/>
      <c r="K104" s="53">
        <f t="shared" si="67"/>
        <v>89500</v>
      </c>
      <c r="L104" s="53"/>
      <c r="M104" s="53">
        <f t="shared" si="68"/>
        <v>89500</v>
      </c>
      <c r="N104" s="53"/>
      <c r="O104" s="53">
        <f t="shared" si="69"/>
        <v>89500</v>
      </c>
      <c r="P104" s="53"/>
      <c r="Q104" s="53">
        <f t="shared" si="70"/>
        <v>89500</v>
      </c>
      <c r="R104" s="53"/>
      <c r="S104" s="53">
        <f t="shared" si="71"/>
        <v>89500</v>
      </c>
      <c r="T104" s="53"/>
      <c r="U104" s="53">
        <f t="shared" si="72"/>
        <v>89500</v>
      </c>
      <c r="V104" s="53">
        <v>5000</v>
      </c>
      <c r="W104" s="53">
        <f t="shared" si="73"/>
        <v>94500</v>
      </c>
      <c r="X104" s="53"/>
      <c r="Y104" s="53">
        <f t="shared" si="74"/>
        <v>94500</v>
      </c>
      <c r="Z104" s="53"/>
      <c r="AA104" s="53">
        <f t="shared" si="33"/>
        <v>94500</v>
      </c>
      <c r="AB104" s="53"/>
      <c r="AC104" s="53">
        <f t="shared" si="34"/>
        <v>94500</v>
      </c>
      <c r="AD104" s="53">
        <v>-3000</v>
      </c>
      <c r="AE104" s="53">
        <f t="shared" si="35"/>
        <v>91500</v>
      </c>
      <c r="AF104" s="53"/>
      <c r="AG104" s="53">
        <f t="shared" si="75"/>
        <v>91500</v>
      </c>
      <c r="AH104" s="53"/>
      <c r="AI104" s="53">
        <f t="shared" si="51"/>
        <v>91500</v>
      </c>
      <c r="AJ104" s="53"/>
      <c r="AK104" s="53">
        <f t="shared" si="52"/>
        <v>91500</v>
      </c>
      <c r="AL104" s="75"/>
      <c r="AM104" s="75"/>
    </row>
    <row r="105" spans="1:39" s="15" customFormat="1" ht="21" customHeight="1">
      <c r="A105" s="59"/>
      <c r="B105" s="55"/>
      <c r="C105" s="41">
        <v>4270</v>
      </c>
      <c r="D105" s="27" t="s">
        <v>68</v>
      </c>
      <c r="E105" s="53">
        <f>12000+800000</f>
        <v>812000</v>
      </c>
      <c r="F105" s="53">
        <f>-800000+50000</f>
        <v>-750000</v>
      </c>
      <c r="G105" s="53">
        <f t="shared" si="65"/>
        <v>62000</v>
      </c>
      <c r="H105" s="53"/>
      <c r="I105" s="53">
        <f t="shared" si="66"/>
        <v>62000</v>
      </c>
      <c r="J105" s="53"/>
      <c r="K105" s="53">
        <f t="shared" si="67"/>
        <v>62000</v>
      </c>
      <c r="L105" s="53"/>
      <c r="M105" s="53">
        <f t="shared" si="68"/>
        <v>62000</v>
      </c>
      <c r="N105" s="53"/>
      <c r="O105" s="53">
        <f t="shared" si="69"/>
        <v>62000</v>
      </c>
      <c r="P105" s="53"/>
      <c r="Q105" s="53">
        <f t="shared" si="70"/>
        <v>62000</v>
      </c>
      <c r="R105" s="53"/>
      <c r="S105" s="53">
        <f t="shared" si="71"/>
        <v>62000</v>
      </c>
      <c r="T105" s="53">
        <v>300000</v>
      </c>
      <c r="U105" s="53">
        <f t="shared" si="72"/>
        <v>362000</v>
      </c>
      <c r="V105" s="53"/>
      <c r="W105" s="53">
        <f t="shared" si="73"/>
        <v>362000</v>
      </c>
      <c r="X105" s="53"/>
      <c r="Y105" s="53">
        <f t="shared" si="74"/>
        <v>362000</v>
      </c>
      <c r="Z105" s="53"/>
      <c r="AA105" s="53">
        <f t="shared" si="33"/>
        <v>362000</v>
      </c>
      <c r="AB105" s="53"/>
      <c r="AC105" s="53">
        <f t="shared" si="34"/>
        <v>362000</v>
      </c>
      <c r="AD105" s="53">
        <v>-84000</v>
      </c>
      <c r="AE105" s="53">
        <f t="shared" si="35"/>
        <v>278000</v>
      </c>
      <c r="AF105" s="53">
        <v>35000</v>
      </c>
      <c r="AG105" s="53">
        <f t="shared" si="75"/>
        <v>313000</v>
      </c>
      <c r="AH105" s="53"/>
      <c r="AI105" s="53">
        <f t="shared" si="51"/>
        <v>313000</v>
      </c>
      <c r="AJ105" s="53"/>
      <c r="AK105" s="53">
        <f t="shared" si="52"/>
        <v>313000</v>
      </c>
      <c r="AL105" s="75"/>
      <c r="AM105" s="75"/>
    </row>
    <row r="106" spans="1:39" s="15" customFormat="1" ht="21" customHeight="1">
      <c r="A106" s="59"/>
      <c r="B106" s="55"/>
      <c r="C106" s="41">
        <v>4280</v>
      </c>
      <c r="D106" s="27" t="s">
        <v>180</v>
      </c>
      <c r="E106" s="53">
        <v>10000</v>
      </c>
      <c r="F106" s="53"/>
      <c r="G106" s="53">
        <f t="shared" si="65"/>
        <v>10000</v>
      </c>
      <c r="H106" s="53"/>
      <c r="I106" s="53">
        <f t="shared" si="66"/>
        <v>10000</v>
      </c>
      <c r="J106" s="53"/>
      <c r="K106" s="53">
        <f t="shared" si="67"/>
        <v>10000</v>
      </c>
      <c r="L106" s="53"/>
      <c r="M106" s="53">
        <f t="shared" si="68"/>
        <v>10000</v>
      </c>
      <c r="N106" s="53"/>
      <c r="O106" s="53">
        <f t="shared" si="69"/>
        <v>10000</v>
      </c>
      <c r="P106" s="53"/>
      <c r="Q106" s="53">
        <f t="shared" si="70"/>
        <v>10000</v>
      </c>
      <c r="R106" s="53"/>
      <c r="S106" s="53">
        <f t="shared" si="71"/>
        <v>10000</v>
      </c>
      <c r="T106" s="53"/>
      <c r="U106" s="53">
        <f t="shared" si="72"/>
        <v>10000</v>
      </c>
      <c r="V106" s="53"/>
      <c r="W106" s="53">
        <f t="shared" si="73"/>
        <v>10000</v>
      </c>
      <c r="X106" s="53"/>
      <c r="Y106" s="53">
        <f t="shared" si="74"/>
        <v>10000</v>
      </c>
      <c r="Z106" s="53"/>
      <c r="AA106" s="53">
        <f t="shared" si="33"/>
        <v>10000</v>
      </c>
      <c r="AB106" s="53"/>
      <c r="AC106" s="53">
        <f t="shared" si="34"/>
        <v>10000</v>
      </c>
      <c r="AD106" s="53">
        <v>-2000</v>
      </c>
      <c r="AE106" s="53">
        <f t="shared" si="35"/>
        <v>8000</v>
      </c>
      <c r="AF106" s="53"/>
      <c r="AG106" s="53">
        <f t="shared" si="75"/>
        <v>8000</v>
      </c>
      <c r="AH106" s="53"/>
      <c r="AI106" s="53">
        <f t="shared" si="51"/>
        <v>8000</v>
      </c>
      <c r="AJ106" s="53"/>
      <c r="AK106" s="53">
        <f t="shared" si="52"/>
        <v>8000</v>
      </c>
      <c r="AL106" s="75"/>
      <c r="AM106" s="75"/>
    </row>
    <row r="107" spans="1:39" s="15" customFormat="1" ht="21" customHeight="1">
      <c r="A107" s="59"/>
      <c r="B107" s="55"/>
      <c r="C107" s="41">
        <v>4300</v>
      </c>
      <c r="D107" s="27" t="s">
        <v>69</v>
      </c>
      <c r="E107" s="53">
        <v>216100</v>
      </c>
      <c r="F107" s="53">
        <v>2060</v>
      </c>
      <c r="G107" s="53">
        <f t="shared" si="65"/>
        <v>218160</v>
      </c>
      <c r="H107" s="53">
        <v>12500</v>
      </c>
      <c r="I107" s="53">
        <f t="shared" si="66"/>
        <v>230660</v>
      </c>
      <c r="J107" s="53"/>
      <c r="K107" s="53">
        <f t="shared" si="67"/>
        <v>230660</v>
      </c>
      <c r="L107" s="53"/>
      <c r="M107" s="53">
        <f t="shared" si="68"/>
        <v>230660</v>
      </c>
      <c r="N107" s="53"/>
      <c r="O107" s="53">
        <f t="shared" si="69"/>
        <v>230660</v>
      </c>
      <c r="P107" s="53"/>
      <c r="Q107" s="53">
        <f t="shared" si="70"/>
        <v>230660</v>
      </c>
      <c r="R107" s="53"/>
      <c r="S107" s="53">
        <f t="shared" si="71"/>
        <v>230660</v>
      </c>
      <c r="T107" s="53"/>
      <c r="U107" s="53">
        <f t="shared" si="72"/>
        <v>230660</v>
      </c>
      <c r="V107" s="53">
        <v>-5000</v>
      </c>
      <c r="W107" s="53">
        <f t="shared" si="73"/>
        <v>225660</v>
      </c>
      <c r="X107" s="53">
        <v>14060</v>
      </c>
      <c r="Y107" s="53">
        <f t="shared" si="74"/>
        <v>239720</v>
      </c>
      <c r="Z107" s="53"/>
      <c r="AA107" s="53">
        <f t="shared" si="33"/>
        <v>239720</v>
      </c>
      <c r="AB107" s="53">
        <v>-1500</v>
      </c>
      <c r="AC107" s="53">
        <f t="shared" si="34"/>
        <v>238220</v>
      </c>
      <c r="AD107" s="53">
        <v>-16000</v>
      </c>
      <c r="AE107" s="53">
        <f t="shared" si="35"/>
        <v>222220</v>
      </c>
      <c r="AF107" s="53">
        <v>-5000</v>
      </c>
      <c r="AG107" s="53">
        <f t="shared" si="75"/>
        <v>217220</v>
      </c>
      <c r="AH107" s="53"/>
      <c r="AI107" s="53">
        <f t="shared" si="51"/>
        <v>217220</v>
      </c>
      <c r="AJ107" s="53"/>
      <c r="AK107" s="53">
        <f t="shared" si="52"/>
        <v>217220</v>
      </c>
      <c r="AL107" s="75"/>
      <c r="AM107" s="75"/>
    </row>
    <row r="108" spans="1:39" s="15" customFormat="1" ht="21" customHeight="1">
      <c r="A108" s="59"/>
      <c r="B108" s="55"/>
      <c r="C108" s="41">
        <v>4350</v>
      </c>
      <c r="D108" s="27" t="s">
        <v>176</v>
      </c>
      <c r="E108" s="53">
        <v>7600</v>
      </c>
      <c r="F108" s="53"/>
      <c r="G108" s="53">
        <f t="shared" si="65"/>
        <v>7600</v>
      </c>
      <c r="H108" s="53"/>
      <c r="I108" s="53">
        <f t="shared" si="66"/>
        <v>7600</v>
      </c>
      <c r="J108" s="53"/>
      <c r="K108" s="53">
        <f t="shared" si="67"/>
        <v>7600</v>
      </c>
      <c r="L108" s="53"/>
      <c r="M108" s="53">
        <f t="shared" si="68"/>
        <v>7600</v>
      </c>
      <c r="N108" s="53"/>
      <c r="O108" s="53">
        <f t="shared" si="69"/>
        <v>7600</v>
      </c>
      <c r="P108" s="53"/>
      <c r="Q108" s="53">
        <f t="shared" si="70"/>
        <v>7600</v>
      </c>
      <c r="R108" s="53"/>
      <c r="S108" s="53">
        <f t="shared" si="71"/>
        <v>7600</v>
      </c>
      <c r="T108" s="53"/>
      <c r="U108" s="53">
        <f t="shared" si="72"/>
        <v>7600</v>
      </c>
      <c r="V108" s="53">
        <v>7000</v>
      </c>
      <c r="W108" s="53">
        <f t="shared" si="73"/>
        <v>14600</v>
      </c>
      <c r="X108" s="53"/>
      <c r="Y108" s="53">
        <f t="shared" si="74"/>
        <v>14600</v>
      </c>
      <c r="Z108" s="53"/>
      <c r="AA108" s="53">
        <f t="shared" si="33"/>
        <v>14600</v>
      </c>
      <c r="AB108" s="53"/>
      <c r="AC108" s="53">
        <f t="shared" si="34"/>
        <v>14600</v>
      </c>
      <c r="AD108" s="53">
        <v>-1500</v>
      </c>
      <c r="AE108" s="53">
        <f t="shared" si="35"/>
        <v>13100</v>
      </c>
      <c r="AF108" s="53">
        <v>6000</v>
      </c>
      <c r="AG108" s="53">
        <f t="shared" si="75"/>
        <v>19100</v>
      </c>
      <c r="AH108" s="53"/>
      <c r="AI108" s="53">
        <f t="shared" si="51"/>
        <v>19100</v>
      </c>
      <c r="AJ108" s="53"/>
      <c r="AK108" s="53">
        <f t="shared" si="52"/>
        <v>19100</v>
      </c>
      <c r="AL108" s="75"/>
      <c r="AM108" s="75"/>
    </row>
    <row r="109" spans="1:39" s="15" customFormat="1" ht="24">
      <c r="A109" s="59"/>
      <c r="B109" s="55"/>
      <c r="C109" s="41">
        <v>4360</v>
      </c>
      <c r="D109" s="27" t="s">
        <v>195</v>
      </c>
      <c r="E109" s="53">
        <v>24960</v>
      </c>
      <c r="F109" s="53"/>
      <c r="G109" s="53">
        <f t="shared" si="65"/>
        <v>24960</v>
      </c>
      <c r="H109" s="53"/>
      <c r="I109" s="53">
        <f t="shared" si="66"/>
        <v>24960</v>
      </c>
      <c r="J109" s="53"/>
      <c r="K109" s="53">
        <f t="shared" si="67"/>
        <v>24960</v>
      </c>
      <c r="L109" s="53"/>
      <c r="M109" s="53">
        <f t="shared" si="68"/>
        <v>24960</v>
      </c>
      <c r="N109" s="53"/>
      <c r="O109" s="53">
        <f t="shared" si="69"/>
        <v>24960</v>
      </c>
      <c r="P109" s="53"/>
      <c r="Q109" s="53">
        <f t="shared" si="70"/>
        <v>24960</v>
      </c>
      <c r="R109" s="53"/>
      <c r="S109" s="53">
        <f t="shared" si="71"/>
        <v>24960</v>
      </c>
      <c r="T109" s="53"/>
      <c r="U109" s="53">
        <f t="shared" si="72"/>
        <v>24960</v>
      </c>
      <c r="V109" s="53"/>
      <c r="W109" s="53">
        <f t="shared" si="73"/>
        <v>24960</v>
      </c>
      <c r="X109" s="53"/>
      <c r="Y109" s="53">
        <f t="shared" si="74"/>
        <v>24960</v>
      </c>
      <c r="Z109" s="53"/>
      <c r="AA109" s="53">
        <f t="shared" si="33"/>
        <v>24960</v>
      </c>
      <c r="AB109" s="53"/>
      <c r="AC109" s="53">
        <f t="shared" si="34"/>
        <v>24960</v>
      </c>
      <c r="AD109" s="53">
        <v>-1500</v>
      </c>
      <c r="AE109" s="53">
        <f t="shared" si="35"/>
        <v>23460</v>
      </c>
      <c r="AF109" s="53">
        <v>2000</v>
      </c>
      <c r="AG109" s="53">
        <f t="shared" si="75"/>
        <v>25460</v>
      </c>
      <c r="AH109" s="53"/>
      <c r="AI109" s="53">
        <f t="shared" si="51"/>
        <v>25460</v>
      </c>
      <c r="AJ109" s="53"/>
      <c r="AK109" s="53">
        <f t="shared" si="52"/>
        <v>25460</v>
      </c>
      <c r="AL109" s="75"/>
      <c r="AM109" s="75"/>
    </row>
    <row r="110" spans="1:39" s="15" customFormat="1" ht="24">
      <c r="A110" s="59"/>
      <c r="B110" s="55"/>
      <c r="C110" s="41">
        <v>4370</v>
      </c>
      <c r="D110" s="27" t="s">
        <v>188</v>
      </c>
      <c r="E110" s="53">
        <v>52300</v>
      </c>
      <c r="F110" s="53"/>
      <c r="G110" s="53">
        <f t="shared" si="65"/>
        <v>52300</v>
      </c>
      <c r="H110" s="53"/>
      <c r="I110" s="53">
        <f t="shared" si="66"/>
        <v>52300</v>
      </c>
      <c r="J110" s="53"/>
      <c r="K110" s="53">
        <f t="shared" si="67"/>
        <v>52300</v>
      </c>
      <c r="L110" s="53"/>
      <c r="M110" s="53">
        <f t="shared" si="68"/>
        <v>52300</v>
      </c>
      <c r="N110" s="53"/>
      <c r="O110" s="53">
        <f t="shared" si="69"/>
        <v>52300</v>
      </c>
      <c r="P110" s="53"/>
      <c r="Q110" s="53">
        <f t="shared" si="70"/>
        <v>52300</v>
      </c>
      <c r="R110" s="53"/>
      <c r="S110" s="53">
        <f t="shared" si="71"/>
        <v>52300</v>
      </c>
      <c r="T110" s="53"/>
      <c r="U110" s="53">
        <f t="shared" si="72"/>
        <v>52300</v>
      </c>
      <c r="V110" s="53">
        <v>-7000</v>
      </c>
      <c r="W110" s="53">
        <f t="shared" si="73"/>
        <v>45300</v>
      </c>
      <c r="X110" s="53"/>
      <c r="Y110" s="53">
        <f t="shared" si="74"/>
        <v>45300</v>
      </c>
      <c r="Z110" s="53"/>
      <c r="AA110" s="53">
        <f aca="true" t="shared" si="76" ref="AA110:AA143">SUM(Y110:Z110)</f>
        <v>45300</v>
      </c>
      <c r="AB110" s="53"/>
      <c r="AC110" s="53">
        <f aca="true" t="shared" si="77" ref="AC110:AC143">SUM(AA110:AB110)</f>
        <v>45300</v>
      </c>
      <c r="AD110" s="53"/>
      <c r="AE110" s="53">
        <f aca="true" t="shared" si="78" ref="AE110:AE143">SUM(AC110:AD110)</f>
        <v>45300</v>
      </c>
      <c r="AF110" s="53">
        <v>-8000</v>
      </c>
      <c r="AG110" s="53">
        <f t="shared" si="75"/>
        <v>37300</v>
      </c>
      <c r="AH110" s="53"/>
      <c r="AI110" s="53">
        <f t="shared" si="51"/>
        <v>37300</v>
      </c>
      <c r="AJ110" s="53"/>
      <c r="AK110" s="53">
        <f t="shared" si="52"/>
        <v>37300</v>
      </c>
      <c r="AL110" s="75"/>
      <c r="AM110" s="75"/>
    </row>
    <row r="111" spans="1:39" s="15" customFormat="1" ht="21" customHeight="1">
      <c r="A111" s="59"/>
      <c r="B111" s="55"/>
      <c r="C111" s="41">
        <v>4410</v>
      </c>
      <c r="D111" s="27" t="s">
        <v>80</v>
      </c>
      <c r="E111" s="53">
        <v>58200</v>
      </c>
      <c r="F111" s="53"/>
      <c r="G111" s="53">
        <f t="shared" si="65"/>
        <v>58200</v>
      </c>
      <c r="H111" s="53"/>
      <c r="I111" s="53">
        <f t="shared" si="66"/>
        <v>58200</v>
      </c>
      <c r="J111" s="53"/>
      <c r="K111" s="53">
        <f t="shared" si="67"/>
        <v>58200</v>
      </c>
      <c r="L111" s="53"/>
      <c r="M111" s="53">
        <f t="shared" si="68"/>
        <v>58200</v>
      </c>
      <c r="N111" s="53"/>
      <c r="O111" s="53">
        <f t="shared" si="69"/>
        <v>58200</v>
      </c>
      <c r="P111" s="53"/>
      <c r="Q111" s="53">
        <f t="shared" si="70"/>
        <v>58200</v>
      </c>
      <c r="R111" s="53"/>
      <c r="S111" s="53">
        <f t="shared" si="71"/>
        <v>58200</v>
      </c>
      <c r="T111" s="53"/>
      <c r="U111" s="53">
        <f t="shared" si="72"/>
        <v>58200</v>
      </c>
      <c r="V111" s="53"/>
      <c r="W111" s="53">
        <f t="shared" si="73"/>
        <v>58200</v>
      </c>
      <c r="X111" s="53"/>
      <c r="Y111" s="53">
        <f t="shared" si="74"/>
        <v>58200</v>
      </c>
      <c r="Z111" s="53"/>
      <c r="AA111" s="53">
        <f t="shared" si="76"/>
        <v>58200</v>
      </c>
      <c r="AB111" s="53"/>
      <c r="AC111" s="53">
        <f t="shared" si="77"/>
        <v>58200</v>
      </c>
      <c r="AD111" s="53">
        <v>-4000</v>
      </c>
      <c r="AE111" s="53">
        <f t="shared" si="78"/>
        <v>54200</v>
      </c>
      <c r="AF111" s="53"/>
      <c r="AG111" s="53">
        <f t="shared" si="75"/>
        <v>54200</v>
      </c>
      <c r="AH111" s="53"/>
      <c r="AI111" s="53">
        <f t="shared" si="51"/>
        <v>54200</v>
      </c>
      <c r="AJ111" s="53"/>
      <c r="AK111" s="53">
        <f t="shared" si="52"/>
        <v>54200</v>
      </c>
      <c r="AL111" s="75"/>
      <c r="AM111" s="75"/>
    </row>
    <row r="112" spans="1:39" s="15" customFormat="1" ht="21" customHeight="1">
      <c r="A112" s="59"/>
      <c r="B112" s="55"/>
      <c r="C112" s="59">
        <v>4420</v>
      </c>
      <c r="D112" s="27" t="s">
        <v>83</v>
      </c>
      <c r="E112" s="53">
        <v>5000</v>
      </c>
      <c r="F112" s="53"/>
      <c r="G112" s="53">
        <f t="shared" si="65"/>
        <v>5000</v>
      </c>
      <c r="H112" s="53"/>
      <c r="I112" s="53">
        <f t="shared" si="66"/>
        <v>5000</v>
      </c>
      <c r="J112" s="53"/>
      <c r="K112" s="53">
        <f t="shared" si="67"/>
        <v>5000</v>
      </c>
      <c r="L112" s="53"/>
      <c r="M112" s="53">
        <f t="shared" si="68"/>
        <v>5000</v>
      </c>
      <c r="N112" s="53"/>
      <c r="O112" s="53">
        <f t="shared" si="69"/>
        <v>5000</v>
      </c>
      <c r="P112" s="53"/>
      <c r="Q112" s="53">
        <f t="shared" si="70"/>
        <v>5000</v>
      </c>
      <c r="R112" s="53"/>
      <c r="S112" s="53">
        <f t="shared" si="71"/>
        <v>5000</v>
      </c>
      <c r="T112" s="53"/>
      <c r="U112" s="53">
        <f t="shared" si="72"/>
        <v>5000</v>
      </c>
      <c r="V112" s="53"/>
      <c r="W112" s="53">
        <f t="shared" si="73"/>
        <v>5000</v>
      </c>
      <c r="X112" s="53"/>
      <c r="Y112" s="53">
        <f t="shared" si="74"/>
        <v>5000</v>
      </c>
      <c r="Z112" s="53"/>
      <c r="AA112" s="53">
        <f t="shared" si="76"/>
        <v>5000</v>
      </c>
      <c r="AB112" s="53"/>
      <c r="AC112" s="53">
        <f t="shared" si="77"/>
        <v>5000</v>
      </c>
      <c r="AD112" s="53"/>
      <c r="AE112" s="53">
        <f t="shared" si="78"/>
        <v>5000</v>
      </c>
      <c r="AF112" s="53"/>
      <c r="AG112" s="53">
        <f t="shared" si="75"/>
        <v>5000</v>
      </c>
      <c r="AH112" s="53"/>
      <c r="AI112" s="53">
        <f t="shared" si="51"/>
        <v>5000</v>
      </c>
      <c r="AJ112" s="53"/>
      <c r="AK112" s="53">
        <f aca="true" t="shared" si="79" ref="AK112:AK143">SUM(AI112:AJ112)</f>
        <v>5000</v>
      </c>
      <c r="AL112" s="75"/>
      <c r="AM112" s="75"/>
    </row>
    <row r="113" spans="1:39" s="15" customFormat="1" ht="21" customHeight="1">
      <c r="A113" s="59"/>
      <c r="B113" s="55"/>
      <c r="C113" s="43">
        <v>4430</v>
      </c>
      <c r="D113" s="27" t="s">
        <v>84</v>
      </c>
      <c r="E113" s="53">
        <v>71600</v>
      </c>
      <c r="F113" s="53">
        <v>15000</v>
      </c>
      <c r="G113" s="53">
        <f t="shared" si="65"/>
        <v>86600</v>
      </c>
      <c r="H113" s="53">
        <v>1447</v>
      </c>
      <c r="I113" s="53">
        <f t="shared" si="66"/>
        <v>88047</v>
      </c>
      <c r="J113" s="53">
        <v>-4000</v>
      </c>
      <c r="K113" s="53">
        <f t="shared" si="67"/>
        <v>84047</v>
      </c>
      <c r="L113" s="53"/>
      <c r="M113" s="53">
        <f t="shared" si="68"/>
        <v>84047</v>
      </c>
      <c r="N113" s="53"/>
      <c r="O113" s="53">
        <f t="shared" si="69"/>
        <v>84047</v>
      </c>
      <c r="P113" s="53"/>
      <c r="Q113" s="53">
        <f t="shared" si="70"/>
        <v>84047</v>
      </c>
      <c r="R113" s="53"/>
      <c r="S113" s="53">
        <f t="shared" si="71"/>
        <v>84047</v>
      </c>
      <c r="T113" s="53"/>
      <c r="U113" s="53">
        <f t="shared" si="72"/>
        <v>84047</v>
      </c>
      <c r="V113" s="53"/>
      <c r="W113" s="53">
        <f t="shared" si="73"/>
        <v>84047</v>
      </c>
      <c r="X113" s="53"/>
      <c r="Y113" s="53">
        <f t="shared" si="74"/>
        <v>84047</v>
      </c>
      <c r="Z113" s="53">
        <v>-6000</v>
      </c>
      <c r="AA113" s="53">
        <f t="shared" si="76"/>
        <v>78047</v>
      </c>
      <c r="AB113" s="53"/>
      <c r="AC113" s="53">
        <f t="shared" si="77"/>
        <v>78047</v>
      </c>
      <c r="AD113" s="53">
        <v>-2000</v>
      </c>
      <c r="AE113" s="53">
        <f t="shared" si="78"/>
        <v>76047</v>
      </c>
      <c r="AF113" s="53">
        <v>-10000</v>
      </c>
      <c r="AG113" s="53">
        <f t="shared" si="75"/>
        <v>66047</v>
      </c>
      <c r="AH113" s="53"/>
      <c r="AI113" s="53">
        <f t="shared" si="51"/>
        <v>66047</v>
      </c>
      <c r="AJ113" s="53"/>
      <c r="AK113" s="53">
        <f t="shared" si="79"/>
        <v>66047</v>
      </c>
      <c r="AL113" s="75"/>
      <c r="AM113" s="75"/>
    </row>
    <row r="114" spans="1:39" s="15" customFormat="1" ht="24">
      <c r="A114" s="59"/>
      <c r="B114" s="55"/>
      <c r="C114" s="43">
        <v>4440</v>
      </c>
      <c r="D114" s="27" t="s">
        <v>78</v>
      </c>
      <c r="E114" s="53">
        <v>81450</v>
      </c>
      <c r="F114" s="53">
        <v>3300</v>
      </c>
      <c r="G114" s="53">
        <f t="shared" si="65"/>
        <v>84750</v>
      </c>
      <c r="H114" s="53"/>
      <c r="I114" s="53">
        <f t="shared" si="66"/>
        <v>84750</v>
      </c>
      <c r="J114" s="53"/>
      <c r="K114" s="53">
        <f t="shared" si="67"/>
        <v>84750</v>
      </c>
      <c r="L114" s="53"/>
      <c r="M114" s="53">
        <f t="shared" si="68"/>
        <v>84750</v>
      </c>
      <c r="N114" s="53"/>
      <c r="O114" s="53">
        <f t="shared" si="69"/>
        <v>84750</v>
      </c>
      <c r="P114" s="53"/>
      <c r="Q114" s="53">
        <f t="shared" si="70"/>
        <v>84750</v>
      </c>
      <c r="R114" s="53"/>
      <c r="S114" s="53">
        <f t="shared" si="71"/>
        <v>84750</v>
      </c>
      <c r="T114" s="53"/>
      <c r="U114" s="53">
        <f t="shared" si="72"/>
        <v>84750</v>
      </c>
      <c r="V114" s="53"/>
      <c r="W114" s="53">
        <f t="shared" si="73"/>
        <v>84750</v>
      </c>
      <c r="X114" s="53"/>
      <c r="Y114" s="53">
        <f t="shared" si="74"/>
        <v>84750</v>
      </c>
      <c r="Z114" s="53"/>
      <c r="AA114" s="53">
        <f t="shared" si="76"/>
        <v>84750</v>
      </c>
      <c r="AB114" s="53"/>
      <c r="AC114" s="53">
        <f t="shared" si="77"/>
        <v>84750</v>
      </c>
      <c r="AD114" s="53"/>
      <c r="AE114" s="53">
        <f t="shared" si="78"/>
        <v>84750</v>
      </c>
      <c r="AF114" s="53"/>
      <c r="AG114" s="53">
        <f t="shared" si="75"/>
        <v>84750</v>
      </c>
      <c r="AH114" s="53"/>
      <c r="AI114" s="53">
        <f t="shared" si="51"/>
        <v>84750</v>
      </c>
      <c r="AJ114" s="53"/>
      <c r="AK114" s="53">
        <f t="shared" si="79"/>
        <v>84750</v>
      </c>
      <c r="AL114" s="75"/>
      <c r="AM114" s="75"/>
    </row>
    <row r="115" spans="1:39" s="15" customFormat="1" ht="21" customHeight="1">
      <c r="A115" s="59"/>
      <c r="B115" s="55"/>
      <c r="C115" s="43">
        <v>4510</v>
      </c>
      <c r="D115" s="27" t="s">
        <v>140</v>
      </c>
      <c r="E115" s="53"/>
      <c r="F115" s="53"/>
      <c r="G115" s="53"/>
      <c r="H115" s="53"/>
      <c r="I115" s="53">
        <v>0</v>
      </c>
      <c r="J115" s="53">
        <v>4000</v>
      </c>
      <c r="K115" s="53">
        <f t="shared" si="67"/>
        <v>4000</v>
      </c>
      <c r="L115" s="53"/>
      <c r="M115" s="53">
        <f t="shared" si="68"/>
        <v>4000</v>
      </c>
      <c r="N115" s="53"/>
      <c r="O115" s="53">
        <f t="shared" si="69"/>
        <v>4000</v>
      </c>
      <c r="P115" s="53"/>
      <c r="Q115" s="53">
        <f t="shared" si="70"/>
        <v>4000</v>
      </c>
      <c r="R115" s="53"/>
      <c r="S115" s="53">
        <f t="shared" si="71"/>
        <v>4000</v>
      </c>
      <c r="T115" s="53"/>
      <c r="U115" s="53">
        <f t="shared" si="72"/>
        <v>4000</v>
      </c>
      <c r="V115" s="53"/>
      <c r="W115" s="53">
        <f t="shared" si="73"/>
        <v>4000</v>
      </c>
      <c r="X115" s="53"/>
      <c r="Y115" s="53">
        <f t="shared" si="74"/>
        <v>4000</v>
      </c>
      <c r="Z115" s="53"/>
      <c r="AA115" s="53">
        <f t="shared" si="76"/>
        <v>4000</v>
      </c>
      <c r="AB115" s="53"/>
      <c r="AC115" s="53">
        <f t="shared" si="77"/>
        <v>4000</v>
      </c>
      <c r="AD115" s="53"/>
      <c r="AE115" s="53">
        <f t="shared" si="78"/>
        <v>4000</v>
      </c>
      <c r="AF115" s="53">
        <v>-3000</v>
      </c>
      <c r="AG115" s="53">
        <f t="shared" si="75"/>
        <v>1000</v>
      </c>
      <c r="AH115" s="53"/>
      <c r="AI115" s="53">
        <f t="shared" si="51"/>
        <v>1000</v>
      </c>
      <c r="AJ115" s="53"/>
      <c r="AK115" s="53">
        <f t="shared" si="79"/>
        <v>1000</v>
      </c>
      <c r="AL115" s="75"/>
      <c r="AM115" s="75"/>
    </row>
    <row r="116" spans="1:39" s="15" customFormat="1" ht="21" customHeight="1">
      <c r="A116" s="59"/>
      <c r="B116" s="55"/>
      <c r="C116" s="43">
        <v>4580</v>
      </c>
      <c r="D116" s="27" t="s">
        <v>20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>
        <v>0</v>
      </c>
      <c r="AB116" s="53">
        <v>1500</v>
      </c>
      <c r="AC116" s="53">
        <f t="shared" si="77"/>
        <v>1500</v>
      </c>
      <c r="AD116" s="53">
        <v>-600</v>
      </c>
      <c r="AE116" s="53">
        <f t="shared" si="78"/>
        <v>900</v>
      </c>
      <c r="AF116" s="53"/>
      <c r="AG116" s="53">
        <f t="shared" si="75"/>
        <v>900</v>
      </c>
      <c r="AH116" s="53"/>
      <c r="AI116" s="53">
        <f t="shared" si="51"/>
        <v>900</v>
      </c>
      <c r="AJ116" s="53"/>
      <c r="AK116" s="53">
        <f t="shared" si="79"/>
        <v>900</v>
      </c>
      <c r="AL116" s="75"/>
      <c r="AM116" s="75"/>
    </row>
    <row r="117" spans="1:39" s="15" customFormat="1" ht="24">
      <c r="A117" s="59"/>
      <c r="B117" s="55"/>
      <c r="C117" s="43">
        <v>4700</v>
      </c>
      <c r="D117" s="27" t="s">
        <v>233</v>
      </c>
      <c r="E117" s="53">
        <v>31000</v>
      </c>
      <c r="F117" s="53"/>
      <c r="G117" s="53">
        <f>SUM(E117:F117)</f>
        <v>31000</v>
      </c>
      <c r="H117" s="53"/>
      <c r="I117" s="53">
        <f>SUM(G117:H117)</f>
        <v>31000</v>
      </c>
      <c r="J117" s="53"/>
      <c r="K117" s="53">
        <f t="shared" si="67"/>
        <v>31000</v>
      </c>
      <c r="L117" s="53"/>
      <c r="M117" s="53">
        <f t="shared" si="68"/>
        <v>31000</v>
      </c>
      <c r="N117" s="53"/>
      <c r="O117" s="53">
        <f t="shared" si="69"/>
        <v>31000</v>
      </c>
      <c r="P117" s="53"/>
      <c r="Q117" s="53">
        <f t="shared" si="70"/>
        <v>31000</v>
      </c>
      <c r="R117" s="53"/>
      <c r="S117" s="53">
        <f t="shared" si="71"/>
        <v>31000</v>
      </c>
      <c r="T117" s="53"/>
      <c r="U117" s="53">
        <f t="shared" si="72"/>
        <v>31000</v>
      </c>
      <c r="V117" s="53"/>
      <c r="W117" s="53">
        <f t="shared" si="73"/>
        <v>31000</v>
      </c>
      <c r="X117" s="53"/>
      <c r="Y117" s="53">
        <f t="shared" si="74"/>
        <v>31000</v>
      </c>
      <c r="Z117" s="53"/>
      <c r="AA117" s="53">
        <f t="shared" si="76"/>
        <v>31000</v>
      </c>
      <c r="AB117" s="53"/>
      <c r="AC117" s="53">
        <f t="shared" si="77"/>
        <v>31000</v>
      </c>
      <c r="AD117" s="53">
        <v>-4000</v>
      </c>
      <c r="AE117" s="53">
        <f t="shared" si="78"/>
        <v>27000</v>
      </c>
      <c r="AF117" s="53">
        <v>5000</v>
      </c>
      <c r="AG117" s="53">
        <f t="shared" si="75"/>
        <v>32000</v>
      </c>
      <c r="AH117" s="53"/>
      <c r="AI117" s="53">
        <f t="shared" si="51"/>
        <v>32000</v>
      </c>
      <c r="AJ117" s="53"/>
      <c r="AK117" s="53">
        <f t="shared" si="79"/>
        <v>32000</v>
      </c>
      <c r="AL117" s="75"/>
      <c r="AM117" s="75"/>
    </row>
    <row r="118" spans="1:39" s="15" customFormat="1" ht="24">
      <c r="A118" s="59"/>
      <c r="B118" s="55"/>
      <c r="C118" s="43">
        <v>4740</v>
      </c>
      <c r="D118" s="27" t="s">
        <v>189</v>
      </c>
      <c r="E118" s="53">
        <v>20000</v>
      </c>
      <c r="F118" s="53">
        <v>5000</v>
      </c>
      <c r="G118" s="53">
        <f>SUM(E118:F118)</f>
        <v>25000</v>
      </c>
      <c r="H118" s="53"/>
      <c r="I118" s="53">
        <f>SUM(G118:H118)</f>
        <v>25000</v>
      </c>
      <c r="J118" s="53"/>
      <c r="K118" s="53">
        <f t="shared" si="67"/>
        <v>25000</v>
      </c>
      <c r="L118" s="53"/>
      <c r="M118" s="53">
        <f t="shared" si="68"/>
        <v>25000</v>
      </c>
      <c r="N118" s="53"/>
      <c r="O118" s="53">
        <f t="shared" si="69"/>
        <v>25000</v>
      </c>
      <c r="P118" s="53"/>
      <c r="Q118" s="53">
        <f t="shared" si="70"/>
        <v>25000</v>
      </c>
      <c r="R118" s="53"/>
      <c r="S118" s="53">
        <f t="shared" si="71"/>
        <v>25000</v>
      </c>
      <c r="T118" s="53"/>
      <c r="U118" s="53">
        <f t="shared" si="72"/>
        <v>25000</v>
      </c>
      <c r="V118" s="53"/>
      <c r="W118" s="53">
        <f t="shared" si="73"/>
        <v>25000</v>
      </c>
      <c r="X118" s="53"/>
      <c r="Y118" s="53">
        <f t="shared" si="74"/>
        <v>25000</v>
      </c>
      <c r="Z118" s="53"/>
      <c r="AA118" s="53">
        <f t="shared" si="76"/>
        <v>25000</v>
      </c>
      <c r="AB118" s="53"/>
      <c r="AC118" s="53">
        <f t="shared" si="77"/>
        <v>25000</v>
      </c>
      <c r="AD118" s="53">
        <v>-6000</v>
      </c>
      <c r="AE118" s="53">
        <f t="shared" si="78"/>
        <v>19000</v>
      </c>
      <c r="AF118" s="53"/>
      <c r="AG118" s="53">
        <f t="shared" si="75"/>
        <v>19000</v>
      </c>
      <c r="AH118" s="53"/>
      <c r="AI118" s="53">
        <f t="shared" si="51"/>
        <v>19000</v>
      </c>
      <c r="AJ118" s="53"/>
      <c r="AK118" s="53">
        <f t="shared" si="79"/>
        <v>19000</v>
      </c>
      <c r="AL118" s="75"/>
      <c r="AM118" s="75"/>
    </row>
    <row r="119" spans="1:39" s="15" customFormat="1" ht="24">
      <c r="A119" s="59"/>
      <c r="B119" s="55"/>
      <c r="C119" s="43">
        <v>4750</v>
      </c>
      <c r="D119" s="27" t="s">
        <v>270</v>
      </c>
      <c r="E119" s="53">
        <v>81800</v>
      </c>
      <c r="F119" s="53">
        <v>1220</v>
      </c>
      <c r="G119" s="53">
        <f>SUM(E119:F119)</f>
        <v>83020</v>
      </c>
      <c r="H119" s="53">
        <v>-21576</v>
      </c>
      <c r="I119" s="53">
        <f>SUM(G119:H119)</f>
        <v>61444</v>
      </c>
      <c r="J119" s="53"/>
      <c r="K119" s="53">
        <f t="shared" si="67"/>
        <v>61444</v>
      </c>
      <c r="L119" s="53"/>
      <c r="M119" s="53">
        <f t="shared" si="68"/>
        <v>61444</v>
      </c>
      <c r="N119" s="53"/>
      <c r="O119" s="53">
        <f t="shared" si="69"/>
        <v>61444</v>
      </c>
      <c r="P119" s="53"/>
      <c r="Q119" s="53">
        <f t="shared" si="70"/>
        <v>61444</v>
      </c>
      <c r="R119" s="53"/>
      <c r="S119" s="53">
        <f t="shared" si="71"/>
        <v>61444</v>
      </c>
      <c r="T119" s="53"/>
      <c r="U119" s="53">
        <f t="shared" si="72"/>
        <v>61444</v>
      </c>
      <c r="V119" s="53"/>
      <c r="W119" s="53">
        <f t="shared" si="73"/>
        <v>61444</v>
      </c>
      <c r="X119" s="53"/>
      <c r="Y119" s="53">
        <f t="shared" si="74"/>
        <v>61444</v>
      </c>
      <c r="Z119" s="53"/>
      <c r="AA119" s="53">
        <f t="shared" si="76"/>
        <v>61444</v>
      </c>
      <c r="AB119" s="53"/>
      <c r="AC119" s="53">
        <f t="shared" si="77"/>
        <v>61444</v>
      </c>
      <c r="AD119" s="53">
        <v>-6000</v>
      </c>
      <c r="AE119" s="53">
        <f t="shared" si="78"/>
        <v>55444</v>
      </c>
      <c r="AF119" s="53"/>
      <c r="AG119" s="53">
        <f t="shared" si="75"/>
        <v>55444</v>
      </c>
      <c r="AH119" s="53"/>
      <c r="AI119" s="53">
        <f t="shared" si="51"/>
        <v>55444</v>
      </c>
      <c r="AJ119" s="53"/>
      <c r="AK119" s="53">
        <f t="shared" si="79"/>
        <v>55444</v>
      </c>
      <c r="AL119" s="75"/>
      <c r="AM119" s="75"/>
    </row>
    <row r="120" spans="1:41" s="15" customFormat="1" ht="24">
      <c r="A120" s="59"/>
      <c r="B120" s="55"/>
      <c r="C120" s="43">
        <v>6060</v>
      </c>
      <c r="D120" s="27" t="s">
        <v>86</v>
      </c>
      <c r="E120" s="53">
        <v>45000</v>
      </c>
      <c r="F120" s="53"/>
      <c r="G120" s="53">
        <f>SUM(E120:F120)</f>
        <v>45000</v>
      </c>
      <c r="H120" s="53">
        <v>-5000</v>
      </c>
      <c r="I120" s="53">
        <f>SUM(G120:H120)</f>
        <v>40000</v>
      </c>
      <c r="J120" s="53"/>
      <c r="K120" s="53">
        <f t="shared" si="67"/>
        <v>40000</v>
      </c>
      <c r="L120" s="53"/>
      <c r="M120" s="53">
        <f t="shared" si="68"/>
        <v>40000</v>
      </c>
      <c r="N120" s="53"/>
      <c r="O120" s="53">
        <f t="shared" si="69"/>
        <v>40000</v>
      </c>
      <c r="P120" s="53"/>
      <c r="Q120" s="53">
        <f t="shared" si="70"/>
        <v>40000</v>
      </c>
      <c r="R120" s="53"/>
      <c r="S120" s="53">
        <f t="shared" si="71"/>
        <v>40000</v>
      </c>
      <c r="T120" s="53"/>
      <c r="U120" s="53">
        <f t="shared" si="72"/>
        <v>40000</v>
      </c>
      <c r="V120" s="53"/>
      <c r="W120" s="53">
        <f t="shared" si="73"/>
        <v>40000</v>
      </c>
      <c r="X120" s="53"/>
      <c r="Y120" s="53">
        <f t="shared" si="74"/>
        <v>40000</v>
      </c>
      <c r="Z120" s="53"/>
      <c r="AA120" s="53">
        <f t="shared" si="76"/>
        <v>40000</v>
      </c>
      <c r="AB120" s="53"/>
      <c r="AC120" s="53">
        <f t="shared" si="77"/>
        <v>40000</v>
      </c>
      <c r="AD120" s="53"/>
      <c r="AE120" s="53">
        <f t="shared" si="78"/>
        <v>40000</v>
      </c>
      <c r="AF120" s="53"/>
      <c r="AG120" s="53">
        <f t="shared" si="75"/>
        <v>40000</v>
      </c>
      <c r="AH120" s="53"/>
      <c r="AI120" s="53">
        <f t="shared" si="51"/>
        <v>40000</v>
      </c>
      <c r="AJ120" s="53"/>
      <c r="AK120" s="53">
        <f t="shared" si="79"/>
        <v>40000</v>
      </c>
      <c r="AL120" s="75"/>
      <c r="AM120" s="75"/>
      <c r="AN120" s="75"/>
      <c r="AO120" s="75"/>
    </row>
    <row r="121" spans="1:39" s="15" customFormat="1" ht="24.75" customHeight="1">
      <c r="A121" s="59"/>
      <c r="B121" s="55">
        <v>75075</v>
      </c>
      <c r="C121" s="59"/>
      <c r="D121" s="27" t="s">
        <v>173</v>
      </c>
      <c r="E121" s="53">
        <f aca="true" t="shared" si="80" ref="E121:Z121">SUM(E122:E133)</f>
        <v>237820</v>
      </c>
      <c r="F121" s="53">
        <f t="shared" si="80"/>
        <v>7000</v>
      </c>
      <c r="G121" s="53">
        <f t="shared" si="80"/>
        <v>244820</v>
      </c>
      <c r="H121" s="53">
        <f t="shared" si="80"/>
        <v>3200</v>
      </c>
      <c r="I121" s="53">
        <f t="shared" si="80"/>
        <v>248020</v>
      </c>
      <c r="J121" s="53">
        <f t="shared" si="80"/>
        <v>0</v>
      </c>
      <c r="K121" s="53">
        <f t="shared" si="80"/>
        <v>248020</v>
      </c>
      <c r="L121" s="53">
        <f t="shared" si="80"/>
        <v>0</v>
      </c>
      <c r="M121" s="53">
        <f t="shared" si="80"/>
        <v>248020</v>
      </c>
      <c r="N121" s="53">
        <f t="shared" si="80"/>
        <v>0</v>
      </c>
      <c r="O121" s="53">
        <f t="shared" si="80"/>
        <v>248020</v>
      </c>
      <c r="P121" s="53">
        <f t="shared" si="80"/>
        <v>0</v>
      </c>
      <c r="Q121" s="53">
        <f t="shared" si="80"/>
        <v>248020</v>
      </c>
      <c r="R121" s="53">
        <f t="shared" si="80"/>
        <v>0</v>
      </c>
      <c r="S121" s="53">
        <f t="shared" si="80"/>
        <v>248020</v>
      </c>
      <c r="T121" s="53">
        <f t="shared" si="80"/>
        <v>2000</v>
      </c>
      <c r="U121" s="53">
        <f t="shared" si="80"/>
        <v>250020</v>
      </c>
      <c r="V121" s="53">
        <f t="shared" si="80"/>
        <v>0</v>
      </c>
      <c r="W121" s="53">
        <f t="shared" si="80"/>
        <v>250020</v>
      </c>
      <c r="X121" s="53">
        <f t="shared" si="80"/>
        <v>37000</v>
      </c>
      <c r="Y121" s="53">
        <f t="shared" si="80"/>
        <v>287020</v>
      </c>
      <c r="Z121" s="53">
        <f t="shared" si="80"/>
        <v>120900</v>
      </c>
      <c r="AA121" s="53">
        <f t="shared" si="76"/>
        <v>407920</v>
      </c>
      <c r="AB121" s="53">
        <f>SUM(AB122:AB133)</f>
        <v>0</v>
      </c>
      <c r="AC121" s="53">
        <f t="shared" si="77"/>
        <v>407920</v>
      </c>
      <c r="AD121" s="53">
        <f>SUM(AD122:AD133)</f>
        <v>-1620</v>
      </c>
      <c r="AE121" s="53">
        <f t="shared" si="78"/>
        <v>406300</v>
      </c>
      <c r="AF121" s="53">
        <f>SUM(AF122:AF133)</f>
        <v>0</v>
      </c>
      <c r="AG121" s="53">
        <f t="shared" si="75"/>
        <v>406300</v>
      </c>
      <c r="AH121" s="53">
        <f>SUM(AH122:AH133)</f>
        <v>0</v>
      </c>
      <c r="AI121" s="53">
        <f t="shared" si="51"/>
        <v>406300</v>
      </c>
      <c r="AJ121" s="53">
        <f>SUM(AJ122:AJ133)</f>
        <v>0</v>
      </c>
      <c r="AK121" s="53">
        <f t="shared" si="79"/>
        <v>406300</v>
      </c>
      <c r="AL121" s="75"/>
      <c r="AM121" s="75"/>
    </row>
    <row r="122" spans="1:39" s="15" customFormat="1" ht="21" customHeight="1">
      <c r="A122" s="59"/>
      <c r="B122" s="55"/>
      <c r="C122" s="59">
        <v>3020</v>
      </c>
      <c r="D122" s="27" t="s">
        <v>161</v>
      </c>
      <c r="E122" s="53">
        <v>11000</v>
      </c>
      <c r="F122" s="53"/>
      <c r="G122" s="53">
        <f aca="true" t="shared" si="81" ref="G122:G133">SUM(E122:F122)</f>
        <v>11000</v>
      </c>
      <c r="H122" s="53"/>
      <c r="I122" s="53">
        <f aca="true" t="shared" si="82" ref="I122:I132">SUM(G122:H122)</f>
        <v>11000</v>
      </c>
      <c r="J122" s="53"/>
      <c r="K122" s="53">
        <f aca="true" t="shared" si="83" ref="K122:K132">SUM(I122:J122)</f>
        <v>11000</v>
      </c>
      <c r="L122" s="53"/>
      <c r="M122" s="53">
        <f aca="true" t="shared" si="84" ref="M122:M132">SUM(K122:L122)</f>
        <v>11000</v>
      </c>
      <c r="N122" s="53"/>
      <c r="O122" s="53">
        <f aca="true" t="shared" si="85" ref="O122:O132">SUM(M122:N122)</f>
        <v>11000</v>
      </c>
      <c r="P122" s="53"/>
      <c r="Q122" s="53">
        <f aca="true" t="shared" si="86" ref="Q122:Q132">SUM(O122:P122)</f>
        <v>11000</v>
      </c>
      <c r="R122" s="53"/>
      <c r="S122" s="53">
        <f aca="true" t="shared" si="87" ref="S122:S132">SUM(Q122:R122)</f>
        <v>11000</v>
      </c>
      <c r="T122" s="53"/>
      <c r="U122" s="53">
        <f aca="true" t="shared" si="88" ref="U122:U132">SUM(S122:T122)</f>
        <v>11000</v>
      </c>
      <c r="V122" s="53"/>
      <c r="W122" s="53">
        <f aca="true" t="shared" si="89" ref="W122:W132">SUM(U122:V122)</f>
        <v>11000</v>
      </c>
      <c r="X122" s="53"/>
      <c r="Y122" s="53">
        <f aca="true" t="shared" si="90" ref="Y122:Y133">SUM(W122:X122)</f>
        <v>11000</v>
      </c>
      <c r="Z122" s="53"/>
      <c r="AA122" s="53">
        <f t="shared" si="76"/>
        <v>11000</v>
      </c>
      <c r="AB122" s="53"/>
      <c r="AC122" s="53">
        <f t="shared" si="77"/>
        <v>11000</v>
      </c>
      <c r="AD122" s="53"/>
      <c r="AE122" s="53">
        <f t="shared" si="78"/>
        <v>11000</v>
      </c>
      <c r="AF122" s="53">
        <v>-3000</v>
      </c>
      <c r="AG122" s="53">
        <f t="shared" si="75"/>
        <v>8000</v>
      </c>
      <c r="AH122" s="53"/>
      <c r="AI122" s="53">
        <f t="shared" si="51"/>
        <v>8000</v>
      </c>
      <c r="AJ122" s="53"/>
      <c r="AK122" s="53">
        <f t="shared" si="79"/>
        <v>8000</v>
      </c>
      <c r="AL122" s="75"/>
      <c r="AM122" s="75"/>
    </row>
    <row r="123" spans="1:39" s="15" customFormat="1" ht="21" customHeight="1">
      <c r="A123" s="59"/>
      <c r="B123" s="55"/>
      <c r="C123" s="59">
        <v>4110</v>
      </c>
      <c r="D123" s="27" t="s">
        <v>76</v>
      </c>
      <c r="E123" s="53">
        <v>1000</v>
      </c>
      <c r="F123" s="53"/>
      <c r="G123" s="53">
        <f t="shared" si="81"/>
        <v>1000</v>
      </c>
      <c r="H123" s="53"/>
      <c r="I123" s="53">
        <f t="shared" si="82"/>
        <v>1000</v>
      </c>
      <c r="J123" s="53"/>
      <c r="K123" s="53">
        <f t="shared" si="83"/>
        <v>1000</v>
      </c>
      <c r="L123" s="53"/>
      <c r="M123" s="53">
        <f t="shared" si="84"/>
        <v>1000</v>
      </c>
      <c r="N123" s="53"/>
      <c r="O123" s="53">
        <f t="shared" si="85"/>
        <v>1000</v>
      </c>
      <c r="P123" s="53"/>
      <c r="Q123" s="53">
        <f t="shared" si="86"/>
        <v>1000</v>
      </c>
      <c r="R123" s="53"/>
      <c r="S123" s="53">
        <f t="shared" si="87"/>
        <v>1000</v>
      </c>
      <c r="T123" s="53"/>
      <c r="U123" s="53">
        <f t="shared" si="88"/>
        <v>1000</v>
      </c>
      <c r="V123" s="53"/>
      <c r="W123" s="53">
        <f t="shared" si="89"/>
        <v>1000</v>
      </c>
      <c r="X123" s="53"/>
      <c r="Y123" s="53">
        <f t="shared" si="90"/>
        <v>1000</v>
      </c>
      <c r="Z123" s="53"/>
      <c r="AA123" s="53">
        <f t="shared" si="76"/>
        <v>1000</v>
      </c>
      <c r="AB123" s="53"/>
      <c r="AC123" s="53">
        <f t="shared" si="77"/>
        <v>1000</v>
      </c>
      <c r="AD123" s="53"/>
      <c r="AE123" s="53">
        <f t="shared" si="78"/>
        <v>1000</v>
      </c>
      <c r="AF123" s="53"/>
      <c r="AG123" s="53">
        <f t="shared" si="75"/>
        <v>1000</v>
      </c>
      <c r="AH123" s="53"/>
      <c r="AI123" s="53">
        <f t="shared" si="51"/>
        <v>1000</v>
      </c>
      <c r="AJ123" s="53"/>
      <c r="AK123" s="53">
        <f t="shared" si="79"/>
        <v>1000</v>
      </c>
      <c r="AL123" s="75"/>
      <c r="AM123" s="75"/>
    </row>
    <row r="124" spans="1:39" s="15" customFormat="1" ht="21" customHeight="1">
      <c r="A124" s="59"/>
      <c r="B124" s="55"/>
      <c r="C124" s="59">
        <v>4120</v>
      </c>
      <c r="D124" s="27" t="s">
        <v>77</v>
      </c>
      <c r="E124" s="53">
        <v>100</v>
      </c>
      <c r="F124" s="53"/>
      <c r="G124" s="53">
        <f t="shared" si="81"/>
        <v>100</v>
      </c>
      <c r="H124" s="53"/>
      <c r="I124" s="53">
        <f t="shared" si="82"/>
        <v>100</v>
      </c>
      <c r="J124" s="53"/>
      <c r="K124" s="53">
        <f t="shared" si="83"/>
        <v>100</v>
      </c>
      <c r="L124" s="53"/>
      <c r="M124" s="53">
        <f t="shared" si="84"/>
        <v>100</v>
      </c>
      <c r="N124" s="53"/>
      <c r="O124" s="53">
        <f t="shared" si="85"/>
        <v>100</v>
      </c>
      <c r="P124" s="53"/>
      <c r="Q124" s="53">
        <f t="shared" si="86"/>
        <v>100</v>
      </c>
      <c r="R124" s="53"/>
      <c r="S124" s="53">
        <f t="shared" si="87"/>
        <v>100</v>
      </c>
      <c r="T124" s="53"/>
      <c r="U124" s="53">
        <f t="shared" si="88"/>
        <v>100</v>
      </c>
      <c r="V124" s="53"/>
      <c r="W124" s="53">
        <f t="shared" si="89"/>
        <v>100</v>
      </c>
      <c r="X124" s="53"/>
      <c r="Y124" s="53">
        <f t="shared" si="90"/>
        <v>100</v>
      </c>
      <c r="Z124" s="53"/>
      <c r="AA124" s="53">
        <f t="shared" si="76"/>
        <v>100</v>
      </c>
      <c r="AB124" s="53"/>
      <c r="AC124" s="53">
        <f t="shared" si="77"/>
        <v>100</v>
      </c>
      <c r="AD124" s="53"/>
      <c r="AE124" s="53">
        <f t="shared" si="78"/>
        <v>100</v>
      </c>
      <c r="AF124" s="53"/>
      <c r="AG124" s="53">
        <f t="shared" si="75"/>
        <v>100</v>
      </c>
      <c r="AH124" s="53"/>
      <c r="AI124" s="53">
        <f t="shared" si="51"/>
        <v>100</v>
      </c>
      <c r="AJ124" s="53"/>
      <c r="AK124" s="53">
        <f t="shared" si="79"/>
        <v>100</v>
      </c>
      <c r="AL124" s="75"/>
      <c r="AM124" s="75"/>
    </row>
    <row r="125" spans="1:39" s="15" customFormat="1" ht="21" customHeight="1">
      <c r="A125" s="59"/>
      <c r="B125" s="55"/>
      <c r="C125" s="59">
        <v>4170</v>
      </c>
      <c r="D125" s="27" t="s">
        <v>162</v>
      </c>
      <c r="E125" s="53">
        <v>6000</v>
      </c>
      <c r="F125" s="53"/>
      <c r="G125" s="53">
        <f t="shared" si="81"/>
        <v>6000</v>
      </c>
      <c r="H125" s="53"/>
      <c r="I125" s="53">
        <f t="shared" si="82"/>
        <v>6000</v>
      </c>
      <c r="J125" s="53"/>
      <c r="K125" s="53">
        <f t="shared" si="83"/>
        <v>6000</v>
      </c>
      <c r="L125" s="53"/>
      <c r="M125" s="53">
        <f t="shared" si="84"/>
        <v>6000</v>
      </c>
      <c r="N125" s="53"/>
      <c r="O125" s="53">
        <f t="shared" si="85"/>
        <v>6000</v>
      </c>
      <c r="P125" s="53"/>
      <c r="Q125" s="53">
        <f t="shared" si="86"/>
        <v>6000</v>
      </c>
      <c r="R125" s="53"/>
      <c r="S125" s="53">
        <f t="shared" si="87"/>
        <v>6000</v>
      </c>
      <c r="T125" s="53"/>
      <c r="U125" s="53">
        <f t="shared" si="88"/>
        <v>6000</v>
      </c>
      <c r="V125" s="53"/>
      <c r="W125" s="53">
        <f t="shared" si="89"/>
        <v>6000</v>
      </c>
      <c r="X125" s="53"/>
      <c r="Y125" s="53">
        <f t="shared" si="90"/>
        <v>6000</v>
      </c>
      <c r="Z125" s="53"/>
      <c r="AA125" s="53">
        <f t="shared" si="76"/>
        <v>6000</v>
      </c>
      <c r="AB125" s="53"/>
      <c r="AC125" s="53">
        <f t="shared" si="77"/>
        <v>6000</v>
      </c>
      <c r="AD125" s="53">
        <v>2000</v>
      </c>
      <c r="AE125" s="53">
        <f t="shared" si="78"/>
        <v>8000</v>
      </c>
      <c r="AF125" s="53"/>
      <c r="AG125" s="53">
        <f t="shared" si="75"/>
        <v>8000</v>
      </c>
      <c r="AH125" s="53"/>
      <c r="AI125" s="53">
        <f t="shared" si="51"/>
        <v>8000</v>
      </c>
      <c r="AJ125" s="53"/>
      <c r="AK125" s="53">
        <f t="shared" si="79"/>
        <v>8000</v>
      </c>
      <c r="AL125" s="75"/>
      <c r="AM125" s="75"/>
    </row>
    <row r="126" spans="1:39" s="15" customFormat="1" ht="21" customHeight="1">
      <c r="A126" s="59"/>
      <c r="B126" s="55"/>
      <c r="C126" s="59">
        <v>4210</v>
      </c>
      <c r="D126" s="27" t="s">
        <v>82</v>
      </c>
      <c r="E126" s="53">
        <f>60000+18270</f>
        <v>78270</v>
      </c>
      <c r="F126" s="53"/>
      <c r="G126" s="53">
        <f t="shared" si="81"/>
        <v>78270</v>
      </c>
      <c r="H126" s="53"/>
      <c r="I126" s="53">
        <f t="shared" si="82"/>
        <v>78270</v>
      </c>
      <c r="J126" s="53"/>
      <c r="K126" s="53">
        <f t="shared" si="83"/>
        <v>78270</v>
      </c>
      <c r="L126" s="53"/>
      <c r="M126" s="53">
        <f t="shared" si="84"/>
        <v>78270</v>
      </c>
      <c r="N126" s="53"/>
      <c r="O126" s="53">
        <f t="shared" si="85"/>
        <v>78270</v>
      </c>
      <c r="P126" s="53"/>
      <c r="Q126" s="53">
        <f t="shared" si="86"/>
        <v>78270</v>
      </c>
      <c r="R126" s="53"/>
      <c r="S126" s="53">
        <f t="shared" si="87"/>
        <v>78270</v>
      </c>
      <c r="T126" s="53">
        <f>-1500-1500</f>
        <v>-3000</v>
      </c>
      <c r="U126" s="53">
        <f t="shared" si="88"/>
        <v>75270</v>
      </c>
      <c r="V126" s="53">
        <v>-15000</v>
      </c>
      <c r="W126" s="53">
        <f t="shared" si="89"/>
        <v>60270</v>
      </c>
      <c r="X126" s="53">
        <v>6000</v>
      </c>
      <c r="Y126" s="53">
        <f t="shared" si="90"/>
        <v>66270</v>
      </c>
      <c r="Z126" s="53">
        <v>-3500</v>
      </c>
      <c r="AA126" s="53">
        <f t="shared" si="76"/>
        <v>62770</v>
      </c>
      <c r="AB126" s="53"/>
      <c r="AC126" s="53">
        <f t="shared" si="77"/>
        <v>62770</v>
      </c>
      <c r="AD126" s="141">
        <v>-120</v>
      </c>
      <c r="AE126" s="53">
        <f t="shared" si="78"/>
        <v>62650</v>
      </c>
      <c r="AF126" s="53">
        <v>18000</v>
      </c>
      <c r="AG126" s="53">
        <f t="shared" si="75"/>
        <v>80650</v>
      </c>
      <c r="AH126" s="53"/>
      <c r="AI126" s="53">
        <f t="shared" si="51"/>
        <v>80650</v>
      </c>
      <c r="AJ126" s="53"/>
      <c r="AK126" s="53">
        <f t="shared" si="79"/>
        <v>80650</v>
      </c>
      <c r="AL126" s="75"/>
      <c r="AM126" s="75"/>
    </row>
    <row r="127" spans="1:39" s="15" customFormat="1" ht="21" customHeight="1">
      <c r="A127" s="59"/>
      <c r="B127" s="55"/>
      <c r="C127" s="41">
        <v>4300</v>
      </c>
      <c r="D127" s="27" t="s">
        <v>69</v>
      </c>
      <c r="E127" s="53">
        <f>113400+7050</f>
        <v>120450</v>
      </c>
      <c r="F127" s="53">
        <v>7000</v>
      </c>
      <c r="G127" s="53">
        <f t="shared" si="81"/>
        <v>127450</v>
      </c>
      <c r="H127" s="53">
        <f>3200-2000</f>
        <v>1200</v>
      </c>
      <c r="I127" s="53">
        <f t="shared" si="82"/>
        <v>128650</v>
      </c>
      <c r="J127" s="53"/>
      <c r="K127" s="53">
        <f t="shared" si="83"/>
        <v>128650</v>
      </c>
      <c r="L127" s="53"/>
      <c r="M127" s="53">
        <f t="shared" si="84"/>
        <v>128650</v>
      </c>
      <c r="N127" s="53"/>
      <c r="O127" s="53">
        <f t="shared" si="85"/>
        <v>128650</v>
      </c>
      <c r="P127" s="53"/>
      <c r="Q127" s="53">
        <f t="shared" si="86"/>
        <v>128650</v>
      </c>
      <c r="R127" s="53"/>
      <c r="S127" s="53">
        <f t="shared" si="87"/>
        <v>128650</v>
      </c>
      <c r="T127" s="44">
        <v>5000</v>
      </c>
      <c r="U127" s="53">
        <f t="shared" si="88"/>
        <v>133650</v>
      </c>
      <c r="V127" s="44">
        <v>20000</v>
      </c>
      <c r="W127" s="53">
        <f t="shared" si="89"/>
        <v>153650</v>
      </c>
      <c r="X127" s="44">
        <v>25000</v>
      </c>
      <c r="Y127" s="53">
        <f t="shared" si="90"/>
        <v>178650</v>
      </c>
      <c r="Z127" s="44">
        <f>80000-600+45000</f>
        <v>124400</v>
      </c>
      <c r="AA127" s="53">
        <f t="shared" si="76"/>
        <v>303050</v>
      </c>
      <c r="AB127" s="44"/>
      <c r="AC127" s="53">
        <f t="shared" si="77"/>
        <v>303050</v>
      </c>
      <c r="AD127" s="144">
        <f>-2000-1500</f>
        <v>-3500</v>
      </c>
      <c r="AE127" s="53">
        <f t="shared" si="78"/>
        <v>299550</v>
      </c>
      <c r="AF127" s="44">
        <v>-15000</v>
      </c>
      <c r="AG127" s="53">
        <f t="shared" si="75"/>
        <v>284550</v>
      </c>
      <c r="AH127" s="44"/>
      <c r="AI127" s="53">
        <f t="shared" si="51"/>
        <v>284550</v>
      </c>
      <c r="AJ127" s="44"/>
      <c r="AK127" s="53">
        <f t="shared" si="79"/>
        <v>284550</v>
      </c>
      <c r="AL127" s="75"/>
      <c r="AM127" s="75"/>
    </row>
    <row r="128" spans="1:39" s="15" customFormat="1" ht="21" customHeight="1">
      <c r="A128" s="59"/>
      <c r="B128" s="55"/>
      <c r="C128" s="41">
        <v>4350</v>
      </c>
      <c r="D128" s="27" t="s">
        <v>175</v>
      </c>
      <c r="E128" s="53">
        <v>5000</v>
      </c>
      <c r="F128" s="53"/>
      <c r="G128" s="53">
        <f t="shared" si="81"/>
        <v>5000</v>
      </c>
      <c r="H128" s="53"/>
      <c r="I128" s="53">
        <f t="shared" si="82"/>
        <v>5000</v>
      </c>
      <c r="J128" s="53"/>
      <c r="K128" s="53">
        <f t="shared" si="83"/>
        <v>5000</v>
      </c>
      <c r="L128" s="53"/>
      <c r="M128" s="53">
        <f t="shared" si="84"/>
        <v>5000</v>
      </c>
      <c r="N128" s="53"/>
      <c r="O128" s="53">
        <f t="shared" si="85"/>
        <v>5000</v>
      </c>
      <c r="P128" s="53"/>
      <c r="Q128" s="53">
        <f t="shared" si="86"/>
        <v>5000</v>
      </c>
      <c r="R128" s="53"/>
      <c r="S128" s="53">
        <f t="shared" si="87"/>
        <v>5000</v>
      </c>
      <c r="T128" s="53"/>
      <c r="U128" s="53">
        <f t="shared" si="88"/>
        <v>5000</v>
      </c>
      <c r="V128" s="53"/>
      <c r="W128" s="53">
        <f t="shared" si="89"/>
        <v>5000</v>
      </c>
      <c r="X128" s="53"/>
      <c r="Y128" s="53">
        <f t="shared" si="90"/>
        <v>5000</v>
      </c>
      <c r="Z128" s="53"/>
      <c r="AA128" s="53">
        <f t="shared" si="76"/>
        <v>5000</v>
      </c>
      <c r="AB128" s="53"/>
      <c r="AC128" s="53">
        <f t="shared" si="77"/>
        <v>5000</v>
      </c>
      <c r="AD128" s="53"/>
      <c r="AE128" s="53">
        <f t="shared" si="78"/>
        <v>5000</v>
      </c>
      <c r="AF128" s="53"/>
      <c r="AG128" s="53">
        <f t="shared" si="75"/>
        <v>5000</v>
      </c>
      <c r="AH128" s="53"/>
      <c r="AI128" s="53">
        <f t="shared" si="51"/>
        <v>5000</v>
      </c>
      <c r="AJ128" s="53"/>
      <c r="AK128" s="53">
        <f t="shared" si="79"/>
        <v>5000</v>
      </c>
      <c r="AL128" s="75"/>
      <c r="AM128" s="75"/>
    </row>
    <row r="129" spans="1:39" s="15" customFormat="1" ht="21" customHeight="1">
      <c r="A129" s="59"/>
      <c r="B129" s="55"/>
      <c r="C129" s="41">
        <v>4410</v>
      </c>
      <c r="D129" s="27" t="s">
        <v>80</v>
      </c>
      <c r="E129" s="53">
        <v>3000</v>
      </c>
      <c r="F129" s="53"/>
      <c r="G129" s="53">
        <f t="shared" si="81"/>
        <v>3000</v>
      </c>
      <c r="H129" s="53"/>
      <c r="I129" s="53">
        <f t="shared" si="82"/>
        <v>3000</v>
      </c>
      <c r="J129" s="53"/>
      <c r="K129" s="53">
        <f t="shared" si="83"/>
        <v>3000</v>
      </c>
      <c r="L129" s="53"/>
      <c r="M129" s="53">
        <f t="shared" si="84"/>
        <v>3000</v>
      </c>
      <c r="N129" s="53"/>
      <c r="O129" s="53">
        <f t="shared" si="85"/>
        <v>3000</v>
      </c>
      <c r="P129" s="53"/>
      <c r="Q129" s="53">
        <f t="shared" si="86"/>
        <v>3000</v>
      </c>
      <c r="R129" s="53"/>
      <c r="S129" s="53">
        <f t="shared" si="87"/>
        <v>3000</v>
      </c>
      <c r="T129" s="53"/>
      <c r="U129" s="53">
        <f t="shared" si="88"/>
        <v>3000</v>
      </c>
      <c r="V129" s="53"/>
      <c r="W129" s="53">
        <f t="shared" si="89"/>
        <v>3000</v>
      </c>
      <c r="X129" s="53"/>
      <c r="Y129" s="53">
        <f t="shared" si="90"/>
        <v>3000</v>
      </c>
      <c r="Z129" s="53"/>
      <c r="AA129" s="53">
        <f t="shared" si="76"/>
        <v>3000</v>
      </c>
      <c r="AB129" s="53"/>
      <c r="AC129" s="53">
        <f t="shared" si="77"/>
        <v>3000</v>
      </c>
      <c r="AD129" s="53"/>
      <c r="AE129" s="53">
        <f t="shared" si="78"/>
        <v>3000</v>
      </c>
      <c r="AF129" s="53"/>
      <c r="AG129" s="53">
        <f t="shared" si="75"/>
        <v>3000</v>
      </c>
      <c r="AH129" s="53"/>
      <c r="AI129" s="53">
        <f t="shared" si="51"/>
        <v>3000</v>
      </c>
      <c r="AJ129" s="53"/>
      <c r="AK129" s="53">
        <f t="shared" si="79"/>
        <v>3000</v>
      </c>
      <c r="AL129" s="75"/>
      <c r="AM129" s="75"/>
    </row>
    <row r="130" spans="1:39" s="15" customFormat="1" ht="21" customHeight="1">
      <c r="A130" s="59"/>
      <c r="B130" s="55"/>
      <c r="C130" s="59">
        <v>4420</v>
      </c>
      <c r="D130" s="27" t="s">
        <v>83</v>
      </c>
      <c r="E130" s="53">
        <v>3000</v>
      </c>
      <c r="F130" s="53"/>
      <c r="G130" s="53">
        <f t="shared" si="81"/>
        <v>3000</v>
      </c>
      <c r="H130" s="53"/>
      <c r="I130" s="53">
        <f t="shared" si="82"/>
        <v>3000</v>
      </c>
      <c r="J130" s="53"/>
      <c r="K130" s="53">
        <f t="shared" si="83"/>
        <v>3000</v>
      </c>
      <c r="L130" s="53"/>
      <c r="M130" s="53">
        <f t="shared" si="84"/>
        <v>3000</v>
      </c>
      <c r="N130" s="53"/>
      <c r="O130" s="53">
        <f t="shared" si="85"/>
        <v>3000</v>
      </c>
      <c r="P130" s="53"/>
      <c r="Q130" s="53">
        <f t="shared" si="86"/>
        <v>3000</v>
      </c>
      <c r="R130" s="53"/>
      <c r="S130" s="53">
        <f t="shared" si="87"/>
        <v>3000</v>
      </c>
      <c r="T130" s="53"/>
      <c r="U130" s="53">
        <f t="shared" si="88"/>
        <v>3000</v>
      </c>
      <c r="V130" s="53"/>
      <c r="W130" s="53">
        <f t="shared" si="89"/>
        <v>3000</v>
      </c>
      <c r="X130" s="53">
        <v>6000</v>
      </c>
      <c r="Y130" s="53">
        <f t="shared" si="90"/>
        <v>9000</v>
      </c>
      <c r="Z130" s="53"/>
      <c r="AA130" s="53">
        <f t="shared" si="76"/>
        <v>9000</v>
      </c>
      <c r="AB130" s="53"/>
      <c r="AC130" s="53">
        <f t="shared" si="77"/>
        <v>9000</v>
      </c>
      <c r="AD130" s="53"/>
      <c r="AE130" s="53">
        <f t="shared" si="78"/>
        <v>9000</v>
      </c>
      <c r="AF130" s="53"/>
      <c r="AG130" s="53">
        <f t="shared" si="75"/>
        <v>9000</v>
      </c>
      <c r="AH130" s="53"/>
      <c r="AI130" s="53">
        <f t="shared" si="51"/>
        <v>9000</v>
      </c>
      <c r="AJ130" s="53"/>
      <c r="AK130" s="53">
        <f t="shared" si="79"/>
        <v>9000</v>
      </c>
      <c r="AL130" s="75"/>
      <c r="AM130" s="75"/>
    </row>
    <row r="131" spans="1:39" s="15" customFormat="1" ht="21" customHeight="1">
      <c r="A131" s="59"/>
      <c r="B131" s="55"/>
      <c r="C131" s="41">
        <v>4430</v>
      </c>
      <c r="D131" s="27" t="s">
        <v>84</v>
      </c>
      <c r="E131" s="53">
        <v>3000</v>
      </c>
      <c r="F131" s="53"/>
      <c r="G131" s="53">
        <f t="shared" si="81"/>
        <v>3000</v>
      </c>
      <c r="H131" s="53">
        <v>2000</v>
      </c>
      <c r="I131" s="53">
        <f t="shared" si="82"/>
        <v>5000</v>
      </c>
      <c r="J131" s="53"/>
      <c r="K131" s="53">
        <f t="shared" si="83"/>
        <v>5000</v>
      </c>
      <c r="L131" s="53"/>
      <c r="M131" s="53">
        <f t="shared" si="84"/>
        <v>5000</v>
      </c>
      <c r="N131" s="53"/>
      <c r="O131" s="53">
        <f t="shared" si="85"/>
        <v>5000</v>
      </c>
      <c r="P131" s="53"/>
      <c r="Q131" s="53">
        <f t="shared" si="86"/>
        <v>5000</v>
      </c>
      <c r="R131" s="53"/>
      <c r="S131" s="53">
        <f t="shared" si="87"/>
        <v>5000</v>
      </c>
      <c r="T131" s="53"/>
      <c r="U131" s="53">
        <f t="shared" si="88"/>
        <v>5000</v>
      </c>
      <c r="V131" s="53"/>
      <c r="W131" s="53">
        <f t="shared" si="89"/>
        <v>5000</v>
      </c>
      <c r="X131" s="53"/>
      <c r="Y131" s="53">
        <f t="shared" si="90"/>
        <v>5000</v>
      </c>
      <c r="Z131" s="53"/>
      <c r="AA131" s="53">
        <f t="shared" si="76"/>
        <v>5000</v>
      </c>
      <c r="AB131" s="53"/>
      <c r="AC131" s="53">
        <f t="shared" si="77"/>
        <v>5000</v>
      </c>
      <c r="AD131" s="53"/>
      <c r="AE131" s="53">
        <f t="shared" si="78"/>
        <v>5000</v>
      </c>
      <c r="AF131" s="53"/>
      <c r="AG131" s="53">
        <f t="shared" si="75"/>
        <v>5000</v>
      </c>
      <c r="AH131" s="53"/>
      <c r="AI131" s="53">
        <f t="shared" si="51"/>
        <v>5000</v>
      </c>
      <c r="AJ131" s="53"/>
      <c r="AK131" s="53">
        <f t="shared" si="79"/>
        <v>5000</v>
      </c>
      <c r="AL131" s="75"/>
      <c r="AM131" s="75"/>
    </row>
    <row r="132" spans="1:39" s="15" customFormat="1" ht="24">
      <c r="A132" s="59"/>
      <c r="B132" s="55"/>
      <c r="C132" s="41">
        <v>4740</v>
      </c>
      <c r="D132" s="27" t="s">
        <v>189</v>
      </c>
      <c r="E132" s="53">
        <v>1000</v>
      </c>
      <c r="F132" s="53"/>
      <c r="G132" s="53">
        <f t="shared" si="81"/>
        <v>1000</v>
      </c>
      <c r="H132" s="53"/>
      <c r="I132" s="53">
        <f t="shared" si="82"/>
        <v>1000</v>
      </c>
      <c r="J132" s="53"/>
      <c r="K132" s="53">
        <f t="shared" si="83"/>
        <v>1000</v>
      </c>
      <c r="L132" s="53"/>
      <c r="M132" s="53">
        <f t="shared" si="84"/>
        <v>1000</v>
      </c>
      <c r="N132" s="53"/>
      <c r="O132" s="53">
        <f t="shared" si="85"/>
        <v>1000</v>
      </c>
      <c r="P132" s="53"/>
      <c r="Q132" s="53">
        <f t="shared" si="86"/>
        <v>1000</v>
      </c>
      <c r="R132" s="53"/>
      <c r="S132" s="53">
        <f t="shared" si="87"/>
        <v>1000</v>
      </c>
      <c r="T132" s="53"/>
      <c r="U132" s="53">
        <f t="shared" si="88"/>
        <v>1000</v>
      </c>
      <c r="V132" s="53"/>
      <c r="W132" s="53">
        <f t="shared" si="89"/>
        <v>1000</v>
      </c>
      <c r="X132" s="53"/>
      <c r="Y132" s="53">
        <f t="shared" si="90"/>
        <v>1000</v>
      </c>
      <c r="Z132" s="53"/>
      <c r="AA132" s="53">
        <f t="shared" si="76"/>
        <v>1000</v>
      </c>
      <c r="AB132" s="53"/>
      <c r="AC132" s="53">
        <f t="shared" si="77"/>
        <v>1000</v>
      </c>
      <c r="AD132" s="53"/>
      <c r="AE132" s="53">
        <f t="shared" si="78"/>
        <v>1000</v>
      </c>
      <c r="AF132" s="53"/>
      <c r="AG132" s="53">
        <f aca="true" t="shared" si="91" ref="AG132:AG143">SUM(AE132:AF132)</f>
        <v>1000</v>
      </c>
      <c r="AH132" s="53"/>
      <c r="AI132" s="53">
        <f t="shared" si="51"/>
        <v>1000</v>
      </c>
      <c r="AJ132" s="53"/>
      <c r="AK132" s="53">
        <f t="shared" si="79"/>
        <v>1000</v>
      </c>
      <c r="AL132" s="75"/>
      <c r="AM132" s="75"/>
    </row>
    <row r="133" spans="1:39" s="15" customFormat="1" ht="24">
      <c r="A133" s="59"/>
      <c r="B133" s="55"/>
      <c r="C133" s="41">
        <v>4750</v>
      </c>
      <c r="D133" s="27" t="s">
        <v>269</v>
      </c>
      <c r="E133" s="53">
        <v>6000</v>
      </c>
      <c r="F133" s="53"/>
      <c r="G133" s="53">
        <f t="shared" si="81"/>
        <v>6000</v>
      </c>
      <c r="H133" s="53"/>
      <c r="I133" s="53">
        <f>SUM(F133:H133)</f>
        <v>6000</v>
      </c>
      <c r="J133" s="53"/>
      <c r="K133" s="53">
        <f>SUM(H133:J133)</f>
        <v>6000</v>
      </c>
      <c r="L133" s="53"/>
      <c r="M133" s="53">
        <f>SUM(J133:L133)</f>
        <v>6000</v>
      </c>
      <c r="N133" s="53"/>
      <c r="O133" s="53">
        <f>SUM(L133:N133)</f>
        <v>6000</v>
      </c>
      <c r="P133" s="53"/>
      <c r="Q133" s="53">
        <f>SUM(N133:P133)</f>
        <v>6000</v>
      </c>
      <c r="R133" s="53"/>
      <c r="S133" s="53">
        <f>SUM(P133:R133)</f>
        <v>6000</v>
      </c>
      <c r="T133" s="53"/>
      <c r="U133" s="53">
        <f>SUM(R133:T133)</f>
        <v>6000</v>
      </c>
      <c r="V133" s="53">
        <v>-5000</v>
      </c>
      <c r="W133" s="53">
        <f>SUM(T133:V133)</f>
        <v>1000</v>
      </c>
      <c r="X133" s="53"/>
      <c r="Y133" s="53">
        <f t="shared" si="90"/>
        <v>1000</v>
      </c>
      <c r="Z133" s="53"/>
      <c r="AA133" s="53">
        <f t="shared" si="76"/>
        <v>1000</v>
      </c>
      <c r="AB133" s="53"/>
      <c r="AC133" s="53">
        <f t="shared" si="77"/>
        <v>1000</v>
      </c>
      <c r="AD133" s="53"/>
      <c r="AE133" s="53">
        <f t="shared" si="78"/>
        <v>1000</v>
      </c>
      <c r="AF133" s="53"/>
      <c r="AG133" s="53">
        <f t="shared" si="91"/>
        <v>1000</v>
      </c>
      <c r="AH133" s="53"/>
      <c r="AI133" s="53">
        <f t="shared" si="51"/>
        <v>1000</v>
      </c>
      <c r="AJ133" s="53"/>
      <c r="AK133" s="53">
        <f t="shared" si="79"/>
        <v>1000</v>
      </c>
      <c r="AL133" s="75"/>
      <c r="AM133" s="75"/>
    </row>
    <row r="134" spans="1:39" s="15" customFormat="1" ht="21" customHeight="1">
      <c r="A134" s="59"/>
      <c r="B134" s="55">
        <v>75095</v>
      </c>
      <c r="C134" s="41"/>
      <c r="D134" s="27" t="s">
        <v>16</v>
      </c>
      <c r="E134" s="53">
        <f>SUM(E136)</f>
        <v>30300</v>
      </c>
      <c r="F134" s="53">
        <f>SUM(F136)</f>
        <v>0</v>
      </c>
      <c r="G134" s="53">
        <f>SUM(G136)</f>
        <v>30300</v>
      </c>
      <c r="H134" s="53">
        <f>SUM(H136)</f>
        <v>0</v>
      </c>
      <c r="I134" s="53">
        <f aca="true" t="shared" si="92" ref="I134:Z134">SUM(I135:I137)</f>
        <v>30300</v>
      </c>
      <c r="J134" s="53">
        <f t="shared" si="92"/>
        <v>0</v>
      </c>
      <c r="K134" s="53">
        <f t="shared" si="92"/>
        <v>30300</v>
      </c>
      <c r="L134" s="53">
        <f t="shared" si="92"/>
        <v>0</v>
      </c>
      <c r="M134" s="53">
        <f t="shared" si="92"/>
        <v>30300</v>
      </c>
      <c r="N134" s="53">
        <f t="shared" si="92"/>
        <v>0</v>
      </c>
      <c r="O134" s="53">
        <f t="shared" si="92"/>
        <v>30300</v>
      </c>
      <c r="P134" s="53">
        <f t="shared" si="92"/>
        <v>0</v>
      </c>
      <c r="Q134" s="53">
        <f t="shared" si="92"/>
        <v>30300</v>
      </c>
      <c r="R134" s="53">
        <f t="shared" si="92"/>
        <v>0</v>
      </c>
      <c r="S134" s="53">
        <f t="shared" si="92"/>
        <v>30300</v>
      </c>
      <c r="T134" s="53">
        <f t="shared" si="92"/>
        <v>0</v>
      </c>
      <c r="U134" s="53">
        <f t="shared" si="92"/>
        <v>30300</v>
      </c>
      <c r="V134" s="53">
        <f t="shared" si="92"/>
        <v>0</v>
      </c>
      <c r="W134" s="53">
        <f t="shared" si="92"/>
        <v>30300</v>
      </c>
      <c r="X134" s="53">
        <f t="shared" si="92"/>
        <v>0</v>
      </c>
      <c r="Y134" s="53">
        <f t="shared" si="92"/>
        <v>30300</v>
      </c>
      <c r="Z134" s="53">
        <f t="shared" si="92"/>
        <v>1800</v>
      </c>
      <c r="AA134" s="53">
        <f t="shared" si="76"/>
        <v>32100</v>
      </c>
      <c r="AB134" s="53">
        <f>SUM(AB135:AB137)</f>
        <v>0</v>
      </c>
      <c r="AC134" s="53">
        <f t="shared" si="77"/>
        <v>32100</v>
      </c>
      <c r="AD134" s="53">
        <f>SUM(AD135:AD137)</f>
        <v>0</v>
      </c>
      <c r="AE134" s="53">
        <f t="shared" si="78"/>
        <v>32100</v>
      </c>
      <c r="AF134" s="53">
        <f>SUM(AF135:AF137)</f>
        <v>0</v>
      </c>
      <c r="AG134" s="53">
        <f t="shared" si="91"/>
        <v>32100</v>
      </c>
      <c r="AH134" s="53">
        <f>SUM(AH135:AH137)</f>
        <v>0</v>
      </c>
      <c r="AI134" s="53">
        <f t="shared" si="51"/>
        <v>32100</v>
      </c>
      <c r="AJ134" s="53">
        <f>SUM(AJ135:AJ137)</f>
        <v>0</v>
      </c>
      <c r="AK134" s="53">
        <f t="shared" si="79"/>
        <v>32100</v>
      </c>
      <c r="AL134" s="75"/>
      <c r="AM134" s="75"/>
    </row>
    <row r="135" spans="1:39" s="15" customFormat="1" ht="21" customHeight="1">
      <c r="A135" s="59"/>
      <c r="B135" s="55"/>
      <c r="C135" s="41">
        <v>4210</v>
      </c>
      <c r="D135" s="27" t="s">
        <v>82</v>
      </c>
      <c r="E135" s="53"/>
      <c r="F135" s="53"/>
      <c r="G135" s="53"/>
      <c r="H135" s="53"/>
      <c r="I135" s="53">
        <v>0</v>
      </c>
      <c r="J135" s="53">
        <v>1000</v>
      </c>
      <c r="K135" s="53">
        <f>SUM(I135:J135)</f>
        <v>1000</v>
      </c>
      <c r="L135" s="53"/>
      <c r="M135" s="53">
        <f>SUM(K135:L135)</f>
        <v>1000</v>
      </c>
      <c r="N135" s="53"/>
      <c r="O135" s="53">
        <f>SUM(M135:N135)</f>
        <v>1000</v>
      </c>
      <c r="P135" s="53"/>
      <c r="Q135" s="53">
        <f>SUM(O135:P135)</f>
        <v>1000</v>
      </c>
      <c r="R135" s="53"/>
      <c r="S135" s="53">
        <f>SUM(Q135:R135)</f>
        <v>1000</v>
      </c>
      <c r="T135" s="53"/>
      <c r="U135" s="53">
        <f>SUM(S135:T135)</f>
        <v>1000</v>
      </c>
      <c r="V135" s="53"/>
      <c r="W135" s="53">
        <f>SUM(U135:V135)</f>
        <v>1000</v>
      </c>
      <c r="X135" s="53"/>
      <c r="Y135" s="53">
        <f>SUM(W135:X135)</f>
        <v>1000</v>
      </c>
      <c r="Z135" s="53">
        <v>1800</v>
      </c>
      <c r="AA135" s="53">
        <f t="shared" si="76"/>
        <v>2800</v>
      </c>
      <c r="AB135" s="53"/>
      <c r="AC135" s="53">
        <f t="shared" si="77"/>
        <v>2800</v>
      </c>
      <c r="AD135" s="53"/>
      <c r="AE135" s="53">
        <f t="shared" si="78"/>
        <v>2800</v>
      </c>
      <c r="AF135" s="53"/>
      <c r="AG135" s="53">
        <f t="shared" si="91"/>
        <v>2800</v>
      </c>
      <c r="AH135" s="53"/>
      <c r="AI135" s="53">
        <f t="shared" si="51"/>
        <v>2800</v>
      </c>
      <c r="AJ135" s="53"/>
      <c r="AK135" s="53">
        <f t="shared" si="79"/>
        <v>2800</v>
      </c>
      <c r="AL135" s="75"/>
      <c r="AM135" s="75"/>
    </row>
    <row r="136" spans="1:39" s="15" customFormat="1" ht="21" customHeight="1">
      <c r="A136" s="59"/>
      <c r="B136" s="55"/>
      <c r="C136" s="41">
        <v>4430</v>
      </c>
      <c r="D136" s="27" t="s">
        <v>84</v>
      </c>
      <c r="E136" s="53">
        <v>30300</v>
      </c>
      <c r="F136" s="53"/>
      <c r="G136" s="53">
        <f>SUM(E136:F136)</f>
        <v>30300</v>
      </c>
      <c r="H136" s="53"/>
      <c r="I136" s="53">
        <f>SUM(G136:H136)</f>
        <v>30300</v>
      </c>
      <c r="J136" s="53">
        <v>-1100</v>
      </c>
      <c r="K136" s="53">
        <f>SUM(I136:J136)</f>
        <v>29200</v>
      </c>
      <c r="L136" s="53"/>
      <c r="M136" s="53">
        <f>SUM(K136:L136)</f>
        <v>29200</v>
      </c>
      <c r="N136" s="53"/>
      <c r="O136" s="53">
        <f>SUM(M136:N136)</f>
        <v>29200</v>
      </c>
      <c r="P136" s="53"/>
      <c r="Q136" s="53">
        <f>SUM(O136:P136)</f>
        <v>29200</v>
      </c>
      <c r="R136" s="53"/>
      <c r="S136" s="53">
        <f>SUM(Q136:R136)</f>
        <v>29200</v>
      </c>
      <c r="T136" s="53"/>
      <c r="U136" s="53">
        <f>SUM(S136:T136)</f>
        <v>29200</v>
      </c>
      <c r="V136" s="53"/>
      <c r="W136" s="53">
        <f>SUM(U136:V136)</f>
        <v>29200</v>
      </c>
      <c r="X136" s="53"/>
      <c r="Y136" s="53">
        <f>SUM(W136:X136)</f>
        <v>29200</v>
      </c>
      <c r="Z136" s="53"/>
      <c r="AA136" s="53">
        <f t="shared" si="76"/>
        <v>29200</v>
      </c>
      <c r="AB136" s="53"/>
      <c r="AC136" s="53">
        <f t="shared" si="77"/>
        <v>29200</v>
      </c>
      <c r="AD136" s="53"/>
      <c r="AE136" s="53">
        <f t="shared" si="78"/>
        <v>29200</v>
      </c>
      <c r="AF136" s="53"/>
      <c r="AG136" s="53">
        <f t="shared" si="91"/>
        <v>29200</v>
      </c>
      <c r="AH136" s="53"/>
      <c r="AI136" s="53">
        <f t="shared" si="51"/>
        <v>29200</v>
      </c>
      <c r="AJ136" s="53"/>
      <c r="AK136" s="53">
        <f t="shared" si="79"/>
        <v>29200</v>
      </c>
      <c r="AL136" s="75"/>
      <c r="AM136" s="75"/>
    </row>
    <row r="137" spans="1:39" s="15" customFormat="1" ht="21" customHeight="1">
      <c r="A137" s="59"/>
      <c r="B137" s="55"/>
      <c r="C137" s="41">
        <v>4740</v>
      </c>
      <c r="D137" s="27" t="s">
        <v>189</v>
      </c>
      <c r="E137" s="53"/>
      <c r="F137" s="53"/>
      <c r="G137" s="53"/>
      <c r="H137" s="53"/>
      <c r="I137" s="53">
        <v>0</v>
      </c>
      <c r="J137" s="53">
        <v>100</v>
      </c>
      <c r="K137" s="53">
        <f>SUM(I137:J137)</f>
        <v>100</v>
      </c>
      <c r="L137" s="53"/>
      <c r="M137" s="53">
        <f>SUM(K137:L137)</f>
        <v>100</v>
      </c>
      <c r="N137" s="53"/>
      <c r="O137" s="53">
        <f>SUM(M137:N137)</f>
        <v>100</v>
      </c>
      <c r="P137" s="53"/>
      <c r="Q137" s="53">
        <f>SUM(O137:P137)</f>
        <v>100</v>
      </c>
      <c r="R137" s="53"/>
      <c r="S137" s="53">
        <f>SUM(Q137:R137)</f>
        <v>100</v>
      </c>
      <c r="T137" s="53"/>
      <c r="U137" s="53">
        <f>SUM(S137:T137)</f>
        <v>100</v>
      </c>
      <c r="V137" s="53"/>
      <c r="W137" s="53">
        <f>SUM(U137:V137)</f>
        <v>100</v>
      </c>
      <c r="X137" s="53"/>
      <c r="Y137" s="53">
        <f>SUM(W137:X137)</f>
        <v>100</v>
      </c>
      <c r="Z137" s="53"/>
      <c r="AA137" s="53">
        <f t="shared" si="76"/>
        <v>100</v>
      </c>
      <c r="AB137" s="53"/>
      <c r="AC137" s="53">
        <f t="shared" si="77"/>
        <v>100</v>
      </c>
      <c r="AD137" s="53"/>
      <c r="AE137" s="53">
        <f t="shared" si="78"/>
        <v>100</v>
      </c>
      <c r="AF137" s="53"/>
      <c r="AG137" s="53">
        <f t="shared" si="91"/>
        <v>100</v>
      </c>
      <c r="AH137" s="53"/>
      <c r="AI137" s="53">
        <f t="shared" si="51"/>
        <v>100</v>
      </c>
      <c r="AJ137" s="53"/>
      <c r="AK137" s="53">
        <f t="shared" si="79"/>
        <v>100</v>
      </c>
      <c r="AL137" s="75"/>
      <c r="AM137" s="75"/>
    </row>
    <row r="138" spans="1:39" s="3" customFormat="1" ht="36">
      <c r="A138" s="22">
        <v>751</v>
      </c>
      <c r="B138" s="23"/>
      <c r="C138" s="24"/>
      <c r="D138" s="25" t="s">
        <v>88</v>
      </c>
      <c r="E138" s="26">
        <f aca="true" t="shared" si="93" ref="E138:AJ138">SUM(E139)</f>
        <v>3910</v>
      </c>
      <c r="F138" s="26">
        <f t="shared" si="93"/>
        <v>0</v>
      </c>
      <c r="G138" s="26">
        <f t="shared" si="93"/>
        <v>3910</v>
      </c>
      <c r="H138" s="26">
        <f t="shared" si="93"/>
        <v>0</v>
      </c>
      <c r="I138" s="26">
        <f t="shared" si="93"/>
        <v>3910</v>
      </c>
      <c r="J138" s="26">
        <f t="shared" si="93"/>
        <v>0</v>
      </c>
      <c r="K138" s="26">
        <f t="shared" si="93"/>
        <v>3910</v>
      </c>
      <c r="L138" s="26">
        <f t="shared" si="93"/>
        <v>-414</v>
      </c>
      <c r="M138" s="26">
        <f t="shared" si="93"/>
        <v>3496</v>
      </c>
      <c r="N138" s="26">
        <f t="shared" si="93"/>
        <v>0</v>
      </c>
      <c r="O138" s="26">
        <f t="shared" si="93"/>
        <v>3496</v>
      </c>
      <c r="P138" s="26">
        <f t="shared" si="93"/>
        <v>0</v>
      </c>
      <c r="Q138" s="26">
        <f t="shared" si="93"/>
        <v>3496</v>
      </c>
      <c r="R138" s="26">
        <f t="shared" si="93"/>
        <v>0</v>
      </c>
      <c r="S138" s="26">
        <f t="shared" si="93"/>
        <v>3496</v>
      </c>
      <c r="T138" s="26">
        <f t="shared" si="93"/>
        <v>0</v>
      </c>
      <c r="U138" s="26">
        <f t="shared" si="93"/>
        <v>3496</v>
      </c>
      <c r="V138" s="26">
        <f t="shared" si="93"/>
        <v>0</v>
      </c>
      <c r="W138" s="26">
        <f t="shared" si="93"/>
        <v>3496</v>
      </c>
      <c r="X138" s="26">
        <f t="shared" si="93"/>
        <v>0</v>
      </c>
      <c r="Y138" s="26">
        <f t="shared" si="93"/>
        <v>3496</v>
      </c>
      <c r="Z138" s="26">
        <f t="shared" si="93"/>
        <v>0</v>
      </c>
      <c r="AA138" s="26">
        <f t="shared" si="76"/>
        <v>3496</v>
      </c>
      <c r="AB138" s="26">
        <f t="shared" si="93"/>
        <v>0</v>
      </c>
      <c r="AC138" s="26">
        <f t="shared" si="77"/>
        <v>3496</v>
      </c>
      <c r="AD138" s="26">
        <f t="shared" si="93"/>
        <v>0</v>
      </c>
      <c r="AE138" s="26">
        <f t="shared" si="78"/>
        <v>3496</v>
      </c>
      <c r="AF138" s="26">
        <f t="shared" si="93"/>
        <v>0</v>
      </c>
      <c r="AG138" s="26">
        <f t="shared" si="91"/>
        <v>3496</v>
      </c>
      <c r="AH138" s="26">
        <f t="shared" si="93"/>
        <v>0</v>
      </c>
      <c r="AI138" s="26">
        <f t="shared" si="51"/>
        <v>3496</v>
      </c>
      <c r="AJ138" s="26">
        <f t="shared" si="93"/>
        <v>0</v>
      </c>
      <c r="AK138" s="26">
        <f t="shared" si="79"/>
        <v>3496</v>
      </c>
      <c r="AL138" s="92"/>
      <c r="AM138" s="92"/>
    </row>
    <row r="139" spans="1:39" s="15" customFormat="1" ht="24">
      <c r="A139" s="59"/>
      <c r="B139" s="55">
        <v>75101</v>
      </c>
      <c r="C139" s="59"/>
      <c r="D139" s="27" t="s">
        <v>29</v>
      </c>
      <c r="E139" s="53">
        <f aca="true" t="shared" si="94" ref="E139:X139">SUM(E140:E142)</f>
        <v>3910</v>
      </c>
      <c r="F139" s="53">
        <f t="shared" si="94"/>
        <v>0</v>
      </c>
      <c r="G139" s="53">
        <f t="shared" si="94"/>
        <v>3910</v>
      </c>
      <c r="H139" s="53">
        <f t="shared" si="94"/>
        <v>0</v>
      </c>
      <c r="I139" s="53">
        <f t="shared" si="94"/>
        <v>3910</v>
      </c>
      <c r="J139" s="53">
        <f t="shared" si="94"/>
        <v>0</v>
      </c>
      <c r="K139" s="53">
        <f t="shared" si="94"/>
        <v>3910</v>
      </c>
      <c r="L139" s="53">
        <f t="shared" si="94"/>
        <v>-414</v>
      </c>
      <c r="M139" s="53">
        <f t="shared" si="94"/>
        <v>3496</v>
      </c>
      <c r="N139" s="53">
        <f t="shared" si="94"/>
        <v>0</v>
      </c>
      <c r="O139" s="53">
        <f t="shared" si="94"/>
        <v>3496</v>
      </c>
      <c r="P139" s="53">
        <f t="shared" si="94"/>
        <v>0</v>
      </c>
      <c r="Q139" s="53">
        <f t="shared" si="94"/>
        <v>3496</v>
      </c>
      <c r="R139" s="53">
        <f t="shared" si="94"/>
        <v>0</v>
      </c>
      <c r="S139" s="53">
        <f t="shared" si="94"/>
        <v>3496</v>
      </c>
      <c r="T139" s="53">
        <f t="shared" si="94"/>
        <v>0</v>
      </c>
      <c r="U139" s="53">
        <f t="shared" si="94"/>
        <v>3496</v>
      </c>
      <c r="V139" s="53">
        <f t="shared" si="94"/>
        <v>0</v>
      </c>
      <c r="W139" s="53">
        <f t="shared" si="94"/>
        <v>3496</v>
      </c>
      <c r="X139" s="53">
        <f t="shared" si="94"/>
        <v>0</v>
      </c>
      <c r="Y139" s="53">
        <f>SUM(Y140:Y143)</f>
        <v>3496</v>
      </c>
      <c r="Z139" s="53">
        <f>SUM(Z140:Z143)</f>
        <v>0</v>
      </c>
      <c r="AA139" s="53">
        <f t="shared" si="76"/>
        <v>3496</v>
      </c>
      <c r="AB139" s="53">
        <f>SUM(AB140:AB143)</f>
        <v>0</v>
      </c>
      <c r="AC139" s="53">
        <f t="shared" si="77"/>
        <v>3496</v>
      </c>
      <c r="AD139" s="53">
        <f>SUM(AD140:AD143)</f>
        <v>0</v>
      </c>
      <c r="AE139" s="53">
        <f t="shared" si="78"/>
        <v>3496</v>
      </c>
      <c r="AF139" s="53">
        <f>SUM(AF140:AF143)</f>
        <v>0</v>
      </c>
      <c r="AG139" s="53">
        <f t="shared" si="91"/>
        <v>3496</v>
      </c>
      <c r="AH139" s="53">
        <f>SUM(AH140:AH143)</f>
        <v>0</v>
      </c>
      <c r="AI139" s="53">
        <f t="shared" si="51"/>
        <v>3496</v>
      </c>
      <c r="AJ139" s="53">
        <f>SUM(AJ140:AJ143)</f>
        <v>0</v>
      </c>
      <c r="AK139" s="53">
        <f t="shared" si="79"/>
        <v>3496</v>
      </c>
      <c r="AL139" s="75"/>
      <c r="AM139" s="75"/>
    </row>
    <row r="140" spans="1:39" s="15" customFormat="1" ht="21" customHeight="1">
      <c r="A140" s="59"/>
      <c r="B140" s="55"/>
      <c r="C140" s="41">
        <v>4210</v>
      </c>
      <c r="D140" s="27" t="s">
        <v>82</v>
      </c>
      <c r="E140" s="53">
        <v>1710</v>
      </c>
      <c r="F140" s="53"/>
      <c r="G140" s="53">
        <f>SUM(E140:F140)</f>
        <v>1710</v>
      </c>
      <c r="H140" s="53"/>
      <c r="I140" s="53">
        <f>SUM(G140:H140)</f>
        <v>1710</v>
      </c>
      <c r="J140" s="53"/>
      <c r="K140" s="53">
        <f>SUM(I140:J140)</f>
        <v>1710</v>
      </c>
      <c r="L140" s="53"/>
      <c r="M140" s="53">
        <f>SUM(K140:L140)</f>
        <v>1710</v>
      </c>
      <c r="N140" s="53"/>
      <c r="O140" s="53">
        <f>SUM(M140:N140)</f>
        <v>1710</v>
      </c>
      <c r="P140" s="53"/>
      <c r="Q140" s="53">
        <f>SUM(O140:P140)</f>
        <v>1710</v>
      </c>
      <c r="R140" s="53"/>
      <c r="S140" s="53">
        <f>SUM(Q140:R140)</f>
        <v>1710</v>
      </c>
      <c r="T140" s="53"/>
      <c r="U140" s="53">
        <f>SUM(S140:T140)</f>
        <v>1710</v>
      </c>
      <c r="V140" s="53"/>
      <c r="W140" s="53">
        <f>SUM(U140:V140)</f>
        <v>1710</v>
      </c>
      <c r="X140" s="53"/>
      <c r="Y140" s="53">
        <f>SUM(W140:X140)</f>
        <v>1710</v>
      </c>
      <c r="Z140" s="53"/>
      <c r="AA140" s="53">
        <f t="shared" si="76"/>
        <v>1710</v>
      </c>
      <c r="AB140" s="53"/>
      <c r="AC140" s="53">
        <f t="shared" si="77"/>
        <v>1710</v>
      </c>
      <c r="AD140" s="53"/>
      <c r="AE140" s="53">
        <f t="shared" si="78"/>
        <v>1710</v>
      </c>
      <c r="AF140" s="53"/>
      <c r="AG140" s="53">
        <f t="shared" si="91"/>
        <v>1710</v>
      </c>
      <c r="AH140" s="53"/>
      <c r="AI140" s="53">
        <f t="shared" si="51"/>
        <v>1710</v>
      </c>
      <c r="AJ140" s="53"/>
      <c r="AK140" s="53">
        <f t="shared" si="79"/>
        <v>1710</v>
      </c>
      <c r="AL140" s="75"/>
      <c r="AM140" s="75"/>
    </row>
    <row r="141" spans="1:39" s="15" customFormat="1" ht="24">
      <c r="A141" s="59"/>
      <c r="B141" s="55"/>
      <c r="C141" s="41">
        <v>4700</v>
      </c>
      <c r="D141" s="27" t="s">
        <v>233</v>
      </c>
      <c r="E141" s="53">
        <v>1000</v>
      </c>
      <c r="F141" s="53"/>
      <c r="G141" s="53">
        <f>SUM(E141:F141)</f>
        <v>1000</v>
      </c>
      <c r="H141" s="53"/>
      <c r="I141" s="53">
        <f>SUM(G141:H141)</f>
        <v>1000</v>
      </c>
      <c r="J141" s="53"/>
      <c r="K141" s="53">
        <f>SUM(I141:J141)</f>
        <v>1000</v>
      </c>
      <c r="L141" s="53"/>
      <c r="M141" s="53">
        <f>SUM(K141:L141)</f>
        <v>1000</v>
      </c>
      <c r="N141" s="53"/>
      <c r="O141" s="53">
        <f>SUM(M141:N141)</f>
        <v>1000</v>
      </c>
      <c r="P141" s="53"/>
      <c r="Q141" s="53">
        <f>SUM(O141:P141)</f>
        <v>1000</v>
      </c>
      <c r="R141" s="53"/>
      <c r="S141" s="53">
        <f>SUM(Q141:R141)</f>
        <v>1000</v>
      </c>
      <c r="T141" s="53"/>
      <c r="U141" s="53">
        <f>SUM(S141:T141)</f>
        <v>1000</v>
      </c>
      <c r="V141" s="53"/>
      <c r="W141" s="53">
        <f>SUM(U141:V141)</f>
        <v>1000</v>
      </c>
      <c r="X141" s="53"/>
      <c r="Y141" s="53">
        <f>SUM(W141:X141)</f>
        <v>1000</v>
      </c>
      <c r="Z141" s="53">
        <v>-1000</v>
      </c>
      <c r="AA141" s="53">
        <f t="shared" si="76"/>
        <v>0</v>
      </c>
      <c r="AB141" s="53"/>
      <c r="AC141" s="53">
        <f t="shared" si="77"/>
        <v>0</v>
      </c>
      <c r="AD141" s="53"/>
      <c r="AE141" s="53">
        <f t="shared" si="78"/>
        <v>0</v>
      </c>
      <c r="AF141" s="53"/>
      <c r="AG141" s="53">
        <f t="shared" si="91"/>
        <v>0</v>
      </c>
      <c r="AH141" s="53"/>
      <c r="AI141" s="53">
        <f t="shared" si="51"/>
        <v>0</v>
      </c>
      <c r="AJ141" s="53"/>
      <c r="AK141" s="53">
        <f t="shared" si="79"/>
        <v>0</v>
      </c>
      <c r="AL141" s="75"/>
      <c r="AM141" s="75"/>
    </row>
    <row r="142" spans="1:39" s="15" customFormat="1" ht="24">
      <c r="A142" s="59"/>
      <c r="B142" s="55"/>
      <c r="C142" s="41">
        <v>4740</v>
      </c>
      <c r="D142" s="27" t="s">
        <v>189</v>
      </c>
      <c r="E142" s="53">
        <v>1200</v>
      </c>
      <c r="F142" s="53"/>
      <c r="G142" s="53">
        <f>SUM(E142:F142)</f>
        <v>1200</v>
      </c>
      <c r="H142" s="53"/>
      <c r="I142" s="53">
        <f>SUM(G142:H142)</f>
        <v>1200</v>
      </c>
      <c r="J142" s="53"/>
      <c r="K142" s="53">
        <f>SUM(I142:J142)</f>
        <v>1200</v>
      </c>
      <c r="L142" s="53">
        <v>-414</v>
      </c>
      <c r="M142" s="53">
        <f>SUM(K142:L142)</f>
        <v>786</v>
      </c>
      <c r="N142" s="53"/>
      <c r="O142" s="53">
        <f>SUM(M142:N142)</f>
        <v>786</v>
      </c>
      <c r="P142" s="53"/>
      <c r="Q142" s="53">
        <f>SUM(O142:P142)</f>
        <v>786</v>
      </c>
      <c r="R142" s="53"/>
      <c r="S142" s="53">
        <f>SUM(Q142:R142)</f>
        <v>786</v>
      </c>
      <c r="T142" s="53"/>
      <c r="U142" s="53">
        <f>SUM(S142:T142)</f>
        <v>786</v>
      </c>
      <c r="V142" s="53"/>
      <c r="W142" s="53">
        <f>SUM(U142:V142)</f>
        <v>786</v>
      </c>
      <c r="X142" s="53"/>
      <c r="Y142" s="53">
        <f>SUM(W142:X142)</f>
        <v>786</v>
      </c>
      <c r="Z142" s="53"/>
      <c r="AA142" s="53">
        <f t="shared" si="76"/>
        <v>786</v>
      </c>
      <c r="AB142" s="53"/>
      <c r="AC142" s="53">
        <f t="shared" si="77"/>
        <v>786</v>
      </c>
      <c r="AD142" s="53"/>
      <c r="AE142" s="53">
        <f t="shared" si="78"/>
        <v>786</v>
      </c>
      <c r="AF142" s="53"/>
      <c r="AG142" s="53">
        <f t="shared" si="91"/>
        <v>786</v>
      </c>
      <c r="AH142" s="53"/>
      <c r="AI142" s="53">
        <f t="shared" si="51"/>
        <v>786</v>
      </c>
      <c r="AJ142" s="53"/>
      <c r="AK142" s="53">
        <f t="shared" si="79"/>
        <v>786</v>
      </c>
      <c r="AL142" s="75"/>
      <c r="AM142" s="75"/>
    </row>
    <row r="143" spans="1:39" s="15" customFormat="1" ht="22.5" customHeight="1">
      <c r="A143" s="59"/>
      <c r="B143" s="55"/>
      <c r="C143" s="41">
        <v>4750</v>
      </c>
      <c r="D143" s="27" t="s">
        <v>269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>
        <v>0</v>
      </c>
      <c r="Z143" s="53">
        <v>1000</v>
      </c>
      <c r="AA143" s="53">
        <f t="shared" si="76"/>
        <v>1000</v>
      </c>
      <c r="AB143" s="53"/>
      <c r="AC143" s="53">
        <f t="shared" si="77"/>
        <v>1000</v>
      </c>
      <c r="AD143" s="53"/>
      <c r="AE143" s="53">
        <f t="shared" si="78"/>
        <v>1000</v>
      </c>
      <c r="AF143" s="53"/>
      <c r="AG143" s="53">
        <f t="shared" si="91"/>
        <v>1000</v>
      </c>
      <c r="AH143" s="53"/>
      <c r="AI143" s="53">
        <f t="shared" si="51"/>
        <v>1000</v>
      </c>
      <c r="AJ143" s="53"/>
      <c r="AK143" s="53">
        <f t="shared" si="79"/>
        <v>1000</v>
      </c>
      <c r="AL143" s="75"/>
      <c r="AM143" s="75"/>
    </row>
    <row r="144" spans="1:39" s="3" customFormat="1" ht="24.75" customHeight="1">
      <c r="A144" s="22" t="s">
        <v>30</v>
      </c>
      <c r="B144" s="23"/>
      <c r="C144" s="24"/>
      <c r="D144" s="25" t="s">
        <v>91</v>
      </c>
      <c r="E144" s="26">
        <f aca="true" t="shared" si="95" ref="E144:V144">SUM(E149,E168,E188,E165)</f>
        <v>513920</v>
      </c>
      <c r="F144" s="26">
        <f t="shared" si="95"/>
        <v>193100</v>
      </c>
      <c r="G144" s="26">
        <f t="shared" si="95"/>
        <v>707020</v>
      </c>
      <c r="H144" s="26">
        <f t="shared" si="95"/>
        <v>0</v>
      </c>
      <c r="I144" s="26">
        <f t="shared" si="95"/>
        <v>707020</v>
      </c>
      <c r="J144" s="26">
        <f t="shared" si="95"/>
        <v>0</v>
      </c>
      <c r="K144" s="26">
        <f t="shared" si="95"/>
        <v>707020</v>
      </c>
      <c r="L144" s="26">
        <f t="shared" si="95"/>
        <v>0</v>
      </c>
      <c r="M144" s="26">
        <f t="shared" si="95"/>
        <v>707020</v>
      </c>
      <c r="N144" s="26">
        <f t="shared" si="95"/>
        <v>0</v>
      </c>
      <c r="O144" s="26">
        <f t="shared" si="95"/>
        <v>707020</v>
      </c>
      <c r="P144" s="26">
        <f t="shared" si="95"/>
        <v>0</v>
      </c>
      <c r="Q144" s="26">
        <f t="shared" si="95"/>
        <v>707020</v>
      </c>
      <c r="R144" s="26">
        <f t="shared" si="95"/>
        <v>62000</v>
      </c>
      <c r="S144" s="26">
        <f t="shared" si="95"/>
        <v>769020</v>
      </c>
      <c r="T144" s="26">
        <f t="shared" si="95"/>
        <v>0</v>
      </c>
      <c r="U144" s="26">
        <f t="shared" si="95"/>
        <v>769020</v>
      </c>
      <c r="V144" s="26">
        <f t="shared" si="95"/>
        <v>0</v>
      </c>
      <c r="W144" s="26">
        <f>SUM(W149,W168,W188,W165,W145)</f>
        <v>769020</v>
      </c>
      <c r="X144" s="26">
        <f>SUM(X149,X168,X188,X165,X145)</f>
        <v>67452</v>
      </c>
      <c r="Y144" s="26">
        <f aca="true" t="shared" si="96" ref="Y144:AE144">SUM(Y149,Y168,Y188,Y165,Y145,Y147)</f>
        <v>836472</v>
      </c>
      <c r="Z144" s="26">
        <f t="shared" si="96"/>
        <v>103133</v>
      </c>
      <c r="AA144" s="26">
        <f t="shared" si="96"/>
        <v>939605</v>
      </c>
      <c r="AB144" s="26">
        <f t="shared" si="96"/>
        <v>0</v>
      </c>
      <c r="AC144" s="26">
        <f t="shared" si="96"/>
        <v>939605</v>
      </c>
      <c r="AD144" s="26">
        <f t="shared" si="96"/>
        <v>0</v>
      </c>
      <c r="AE144" s="26">
        <f t="shared" si="96"/>
        <v>939605</v>
      </c>
      <c r="AF144" s="26">
        <f aca="true" t="shared" si="97" ref="AF144:AK144">SUM(AF149,AF168,AF188,AF165,AF145,AF147)</f>
        <v>0</v>
      </c>
      <c r="AG144" s="26">
        <f t="shared" si="97"/>
        <v>939605</v>
      </c>
      <c r="AH144" s="26">
        <f t="shared" si="97"/>
        <v>2000</v>
      </c>
      <c r="AI144" s="26">
        <f t="shared" si="97"/>
        <v>941605</v>
      </c>
      <c r="AJ144" s="26">
        <f t="shared" si="97"/>
        <v>0</v>
      </c>
      <c r="AK144" s="26">
        <f t="shared" si="97"/>
        <v>941605</v>
      </c>
      <c r="AL144" s="92"/>
      <c r="AM144" s="92"/>
    </row>
    <row r="145" spans="1:39" s="15" customFormat="1" ht="24.75" customHeight="1">
      <c r="A145" s="41"/>
      <c r="B145" s="60">
        <v>75405</v>
      </c>
      <c r="C145" s="59"/>
      <c r="D145" s="27" t="s">
        <v>35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>
        <f>SUM(W146)</f>
        <v>0</v>
      </c>
      <c r="X145" s="53">
        <f>SUM(X146)</f>
        <v>20000</v>
      </c>
      <c r="Y145" s="53">
        <f>SUM(Y146)</f>
        <v>20000</v>
      </c>
      <c r="Z145" s="53">
        <f>SUM(Z146)</f>
        <v>0</v>
      </c>
      <c r="AA145" s="53">
        <f aca="true" t="shared" si="98" ref="AA145:AA209">SUM(Y145:Z145)</f>
        <v>20000</v>
      </c>
      <c r="AB145" s="53">
        <f>SUM(AB146)</f>
        <v>0</v>
      </c>
      <c r="AC145" s="53">
        <f aca="true" t="shared" si="99" ref="AC145:AC209">SUM(AA145:AB145)</f>
        <v>20000</v>
      </c>
      <c r="AD145" s="53">
        <f>SUM(AD146)</f>
        <v>0</v>
      </c>
      <c r="AE145" s="53">
        <f aca="true" t="shared" si="100" ref="AE145:AE208">SUM(AC145:AD145)</f>
        <v>20000</v>
      </c>
      <c r="AF145" s="53">
        <f>SUM(AF146)</f>
        <v>0</v>
      </c>
      <c r="AG145" s="53">
        <f aca="true" t="shared" si="101" ref="AG145:AG176">SUM(AE145:AF145)</f>
        <v>20000</v>
      </c>
      <c r="AH145" s="53">
        <f>SUM(AH146)</f>
        <v>0</v>
      </c>
      <c r="AI145" s="53">
        <f aca="true" t="shared" si="102" ref="AI145:AI153">SUM(AG145:AH145)</f>
        <v>20000</v>
      </c>
      <c r="AJ145" s="53">
        <f>SUM(AJ146)</f>
        <v>0</v>
      </c>
      <c r="AK145" s="53">
        <f aca="true" t="shared" si="103" ref="AK145:AK153">SUM(AI145:AJ145)</f>
        <v>20000</v>
      </c>
      <c r="AL145" s="75"/>
      <c r="AM145" s="75"/>
    </row>
    <row r="146" spans="1:41" s="15" customFormat="1" ht="48">
      <c r="A146" s="41"/>
      <c r="B146" s="60"/>
      <c r="C146" s="59">
        <v>6620</v>
      </c>
      <c r="D146" s="27" t="s">
        <v>279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>
        <v>0</v>
      </c>
      <c r="X146" s="53">
        <v>20000</v>
      </c>
      <c r="Y146" s="53">
        <f>SUM(W146:X146)</f>
        <v>20000</v>
      </c>
      <c r="Z146" s="53"/>
      <c r="AA146" s="53">
        <f t="shared" si="98"/>
        <v>20000</v>
      </c>
      <c r="AB146" s="53"/>
      <c r="AC146" s="53">
        <f t="shared" si="99"/>
        <v>20000</v>
      </c>
      <c r="AD146" s="53"/>
      <c r="AE146" s="53">
        <f t="shared" si="100"/>
        <v>20000</v>
      </c>
      <c r="AF146" s="53"/>
      <c r="AG146" s="53">
        <f t="shared" si="101"/>
        <v>20000</v>
      </c>
      <c r="AH146" s="53"/>
      <c r="AI146" s="53">
        <f t="shared" si="102"/>
        <v>20000</v>
      </c>
      <c r="AJ146" s="53"/>
      <c r="AK146" s="53">
        <f t="shared" si="103"/>
        <v>20000</v>
      </c>
      <c r="AL146" s="75"/>
      <c r="AM146" s="75"/>
      <c r="AN146" s="75"/>
      <c r="AO146" s="75"/>
    </row>
    <row r="147" spans="1:41" s="15" customFormat="1" ht="21.75" customHeight="1">
      <c r="A147" s="41"/>
      <c r="B147" s="60">
        <v>75411</v>
      </c>
      <c r="C147" s="59"/>
      <c r="D147" s="27" t="s">
        <v>246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>
        <f>SUM(Y148)</f>
        <v>0</v>
      </c>
      <c r="Z147" s="53">
        <f>SUM(Z148)</f>
        <v>141600</v>
      </c>
      <c r="AA147" s="53">
        <f t="shared" si="98"/>
        <v>141600</v>
      </c>
      <c r="AB147" s="53">
        <f>SUM(AB148)</f>
        <v>0</v>
      </c>
      <c r="AC147" s="53">
        <f t="shared" si="99"/>
        <v>141600</v>
      </c>
      <c r="AD147" s="53">
        <f>SUM(AD148)</f>
        <v>0</v>
      </c>
      <c r="AE147" s="53">
        <f t="shared" si="100"/>
        <v>141600</v>
      </c>
      <c r="AF147" s="53">
        <f>SUM(AF148)</f>
        <v>0</v>
      </c>
      <c r="AG147" s="53">
        <f t="shared" si="101"/>
        <v>141600</v>
      </c>
      <c r="AH147" s="53">
        <f>SUM(AH148)</f>
        <v>0</v>
      </c>
      <c r="AI147" s="53">
        <f t="shared" si="102"/>
        <v>141600</v>
      </c>
      <c r="AJ147" s="53">
        <f>SUM(AJ148)</f>
        <v>0</v>
      </c>
      <c r="AK147" s="53">
        <f t="shared" si="103"/>
        <v>141600</v>
      </c>
      <c r="AL147" s="75"/>
      <c r="AM147" s="75"/>
      <c r="AN147" s="75"/>
      <c r="AO147" s="75"/>
    </row>
    <row r="148" spans="1:41" s="15" customFormat="1" ht="48">
      <c r="A148" s="41"/>
      <c r="B148" s="60"/>
      <c r="C148" s="59">
        <v>6620</v>
      </c>
      <c r="D148" s="27" t="s">
        <v>279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>
        <v>0</v>
      </c>
      <c r="Z148" s="53">
        <v>141600</v>
      </c>
      <c r="AA148" s="53">
        <f t="shared" si="98"/>
        <v>141600</v>
      </c>
      <c r="AB148" s="53"/>
      <c r="AC148" s="53">
        <f t="shared" si="99"/>
        <v>141600</v>
      </c>
      <c r="AD148" s="53"/>
      <c r="AE148" s="53">
        <f t="shared" si="100"/>
        <v>141600</v>
      </c>
      <c r="AF148" s="53"/>
      <c r="AG148" s="53">
        <f t="shared" si="101"/>
        <v>141600</v>
      </c>
      <c r="AH148" s="53"/>
      <c r="AI148" s="53">
        <f t="shared" si="102"/>
        <v>141600</v>
      </c>
      <c r="AJ148" s="53"/>
      <c r="AK148" s="53">
        <f t="shared" si="103"/>
        <v>141600</v>
      </c>
      <c r="AL148" s="75"/>
      <c r="AM148" s="75"/>
      <c r="AN148" s="75"/>
      <c r="AO148" s="75"/>
    </row>
    <row r="149" spans="1:39" s="15" customFormat="1" ht="21.75" customHeight="1">
      <c r="A149" s="59"/>
      <c r="B149" s="55" t="s">
        <v>92</v>
      </c>
      <c r="C149" s="59"/>
      <c r="D149" s="27" t="s">
        <v>93</v>
      </c>
      <c r="E149" s="53">
        <f aca="true" t="shared" si="104" ref="E149:V149">SUM(E151:E162)</f>
        <v>191420</v>
      </c>
      <c r="F149" s="53">
        <f t="shared" si="104"/>
        <v>153100</v>
      </c>
      <c r="G149" s="53">
        <f t="shared" si="104"/>
        <v>344520</v>
      </c>
      <c r="H149" s="53">
        <f t="shared" si="104"/>
        <v>0</v>
      </c>
      <c r="I149" s="53">
        <f t="shared" si="104"/>
        <v>344520</v>
      </c>
      <c r="J149" s="53">
        <f t="shared" si="104"/>
        <v>0</v>
      </c>
      <c r="K149" s="53">
        <f t="shared" si="104"/>
        <v>344520</v>
      </c>
      <c r="L149" s="53">
        <f t="shared" si="104"/>
        <v>0</v>
      </c>
      <c r="M149" s="53">
        <f t="shared" si="104"/>
        <v>344520</v>
      </c>
      <c r="N149" s="53">
        <f t="shared" si="104"/>
        <v>0</v>
      </c>
      <c r="O149" s="53">
        <f t="shared" si="104"/>
        <v>344520</v>
      </c>
      <c r="P149" s="53">
        <f t="shared" si="104"/>
        <v>0</v>
      </c>
      <c r="Q149" s="53">
        <f t="shared" si="104"/>
        <v>344520</v>
      </c>
      <c r="R149" s="53">
        <f t="shared" si="104"/>
        <v>0</v>
      </c>
      <c r="S149" s="53">
        <f t="shared" si="104"/>
        <v>344520</v>
      </c>
      <c r="T149" s="53">
        <f t="shared" si="104"/>
        <v>0</v>
      </c>
      <c r="U149" s="53">
        <f t="shared" si="104"/>
        <v>344520</v>
      </c>
      <c r="V149" s="53">
        <f t="shared" si="104"/>
        <v>0</v>
      </c>
      <c r="W149" s="53">
        <f>SUM(W150:W164)</f>
        <v>344520</v>
      </c>
      <c r="X149" s="53">
        <f>SUM(X150:X164)</f>
        <v>700</v>
      </c>
      <c r="Y149" s="53">
        <f>SUM(Y150:Y164)</f>
        <v>345220</v>
      </c>
      <c r="Z149" s="53">
        <f>SUM(Z150:Z164)</f>
        <v>-1800</v>
      </c>
      <c r="AA149" s="53">
        <f t="shared" si="98"/>
        <v>343420</v>
      </c>
      <c r="AB149" s="53">
        <f>SUM(AB150:AB164)</f>
        <v>0</v>
      </c>
      <c r="AC149" s="53">
        <f t="shared" si="99"/>
        <v>343420</v>
      </c>
      <c r="AD149" s="53">
        <f>SUM(AD150:AD164)</f>
        <v>0</v>
      </c>
      <c r="AE149" s="53">
        <f t="shared" si="100"/>
        <v>343420</v>
      </c>
      <c r="AF149" s="53">
        <f>SUM(AF150:AF164)</f>
        <v>0</v>
      </c>
      <c r="AG149" s="53">
        <f t="shared" si="101"/>
        <v>343420</v>
      </c>
      <c r="AH149" s="53">
        <f>SUM(AH150:AH164)</f>
        <v>0</v>
      </c>
      <c r="AI149" s="53">
        <f t="shared" si="102"/>
        <v>343420</v>
      </c>
      <c r="AJ149" s="53">
        <f>SUM(AJ150:AJ164)</f>
        <v>0</v>
      </c>
      <c r="AK149" s="53">
        <f t="shared" si="103"/>
        <v>343420</v>
      </c>
      <c r="AL149" s="75"/>
      <c r="AM149" s="75"/>
    </row>
    <row r="150" spans="1:39" s="15" customFormat="1" ht="36">
      <c r="A150" s="59"/>
      <c r="B150" s="55"/>
      <c r="C150" s="59">
        <v>2820</v>
      </c>
      <c r="D150" s="27" t="s">
        <v>259</v>
      </c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>
        <v>0</v>
      </c>
      <c r="X150" s="53">
        <v>8104</v>
      </c>
      <c r="Y150" s="53">
        <f aca="true" t="shared" si="105" ref="Y150:Y162">SUM(W150:X150)</f>
        <v>8104</v>
      </c>
      <c r="Z150" s="53"/>
      <c r="AA150" s="53">
        <f t="shared" si="98"/>
        <v>8104</v>
      </c>
      <c r="AB150" s="53"/>
      <c r="AC150" s="53">
        <f t="shared" si="99"/>
        <v>8104</v>
      </c>
      <c r="AD150" s="53"/>
      <c r="AE150" s="53">
        <f t="shared" si="100"/>
        <v>8104</v>
      </c>
      <c r="AF150" s="53"/>
      <c r="AG150" s="53">
        <f t="shared" si="101"/>
        <v>8104</v>
      </c>
      <c r="AH150" s="53">
        <v>421</v>
      </c>
      <c r="AI150" s="53">
        <f t="shared" si="102"/>
        <v>8525</v>
      </c>
      <c r="AJ150" s="53"/>
      <c r="AK150" s="53">
        <f t="shared" si="103"/>
        <v>8525</v>
      </c>
      <c r="AL150" s="75"/>
      <c r="AM150" s="75"/>
    </row>
    <row r="151" spans="1:39" s="15" customFormat="1" ht="24">
      <c r="A151" s="59"/>
      <c r="B151" s="55"/>
      <c r="C151" s="59">
        <v>3020</v>
      </c>
      <c r="D151" s="27" t="s">
        <v>161</v>
      </c>
      <c r="E151" s="53">
        <v>8500</v>
      </c>
      <c r="F151" s="53"/>
      <c r="G151" s="53">
        <f aca="true" t="shared" si="106" ref="G151:G162">SUM(E151:F151)</f>
        <v>8500</v>
      </c>
      <c r="H151" s="53"/>
      <c r="I151" s="53">
        <f aca="true" t="shared" si="107" ref="I151:I162">SUM(G151:H151)</f>
        <v>8500</v>
      </c>
      <c r="J151" s="53"/>
      <c r="K151" s="53">
        <f aca="true" t="shared" si="108" ref="K151:K162">SUM(I151:J151)</f>
        <v>8500</v>
      </c>
      <c r="L151" s="53"/>
      <c r="M151" s="53">
        <f aca="true" t="shared" si="109" ref="M151:M162">SUM(K151:L151)</f>
        <v>8500</v>
      </c>
      <c r="N151" s="53"/>
      <c r="O151" s="53">
        <f aca="true" t="shared" si="110" ref="O151:O162">SUM(M151:N151)</f>
        <v>8500</v>
      </c>
      <c r="P151" s="53"/>
      <c r="Q151" s="53">
        <f aca="true" t="shared" si="111" ref="Q151:Q162">SUM(O151:P151)</f>
        <v>8500</v>
      </c>
      <c r="R151" s="53"/>
      <c r="S151" s="53">
        <f aca="true" t="shared" si="112" ref="S151:S162">SUM(Q151:R151)</f>
        <v>8500</v>
      </c>
      <c r="T151" s="53">
        <v>1000</v>
      </c>
      <c r="U151" s="53">
        <f aca="true" t="shared" si="113" ref="U151:U162">SUM(S151:T151)</f>
        <v>9500</v>
      </c>
      <c r="V151" s="53"/>
      <c r="W151" s="53">
        <f aca="true" t="shared" si="114" ref="W151:W162">SUM(U151:V151)</f>
        <v>9500</v>
      </c>
      <c r="X151" s="53">
        <v>700</v>
      </c>
      <c r="Y151" s="53">
        <f t="shared" si="105"/>
        <v>10200</v>
      </c>
      <c r="Z151" s="53">
        <v>5000</v>
      </c>
      <c r="AA151" s="53">
        <f t="shared" si="98"/>
        <v>15200</v>
      </c>
      <c r="AB151" s="53">
        <v>3000</v>
      </c>
      <c r="AC151" s="53">
        <f t="shared" si="99"/>
        <v>18200</v>
      </c>
      <c r="AD151" s="53"/>
      <c r="AE151" s="53">
        <f t="shared" si="100"/>
        <v>18200</v>
      </c>
      <c r="AF151" s="53">
        <v>6500</v>
      </c>
      <c r="AG151" s="53">
        <f t="shared" si="101"/>
        <v>24700</v>
      </c>
      <c r="AH151" s="53"/>
      <c r="AI151" s="53">
        <f t="shared" si="102"/>
        <v>24700</v>
      </c>
      <c r="AJ151" s="53"/>
      <c r="AK151" s="53">
        <f t="shared" si="103"/>
        <v>24700</v>
      </c>
      <c r="AL151" s="75"/>
      <c r="AM151" s="75"/>
    </row>
    <row r="152" spans="1:39" s="15" customFormat="1" ht="21" customHeight="1">
      <c r="A152" s="59"/>
      <c r="B152" s="55"/>
      <c r="C152" s="59">
        <v>3030</v>
      </c>
      <c r="D152" s="27" t="s">
        <v>79</v>
      </c>
      <c r="E152" s="53">
        <v>20000</v>
      </c>
      <c r="F152" s="53"/>
      <c r="G152" s="53">
        <f t="shared" si="106"/>
        <v>20000</v>
      </c>
      <c r="H152" s="53"/>
      <c r="I152" s="53">
        <f t="shared" si="107"/>
        <v>20000</v>
      </c>
      <c r="J152" s="53"/>
      <c r="K152" s="53">
        <f t="shared" si="108"/>
        <v>20000</v>
      </c>
      <c r="L152" s="53"/>
      <c r="M152" s="53">
        <f t="shared" si="109"/>
        <v>20000</v>
      </c>
      <c r="N152" s="53"/>
      <c r="O152" s="53">
        <f t="shared" si="110"/>
        <v>20000</v>
      </c>
      <c r="P152" s="53"/>
      <c r="Q152" s="53">
        <f t="shared" si="111"/>
        <v>20000</v>
      </c>
      <c r="R152" s="53"/>
      <c r="S152" s="53">
        <f t="shared" si="112"/>
        <v>20000</v>
      </c>
      <c r="T152" s="53">
        <v>-5000</v>
      </c>
      <c r="U152" s="53">
        <f t="shared" si="113"/>
        <v>15000</v>
      </c>
      <c r="V152" s="53">
        <v>11500</v>
      </c>
      <c r="W152" s="53">
        <f t="shared" si="114"/>
        <v>26500</v>
      </c>
      <c r="X152" s="53"/>
      <c r="Y152" s="53">
        <f t="shared" si="105"/>
        <v>26500</v>
      </c>
      <c r="Z152" s="53">
        <v>20000</v>
      </c>
      <c r="AA152" s="53">
        <f t="shared" si="98"/>
        <v>46500</v>
      </c>
      <c r="AB152" s="53"/>
      <c r="AC152" s="53">
        <f t="shared" si="99"/>
        <v>46500</v>
      </c>
      <c r="AD152" s="53"/>
      <c r="AE152" s="53">
        <f t="shared" si="100"/>
        <v>46500</v>
      </c>
      <c r="AF152" s="53"/>
      <c r="AG152" s="53">
        <f t="shared" si="101"/>
        <v>46500</v>
      </c>
      <c r="AH152" s="53"/>
      <c r="AI152" s="53">
        <f t="shared" si="102"/>
        <v>46500</v>
      </c>
      <c r="AJ152" s="53"/>
      <c r="AK152" s="53">
        <f t="shared" si="103"/>
        <v>46500</v>
      </c>
      <c r="AL152" s="75"/>
      <c r="AM152" s="75"/>
    </row>
    <row r="153" spans="1:39" s="15" customFormat="1" ht="21" customHeight="1">
      <c r="A153" s="59"/>
      <c r="B153" s="55"/>
      <c r="C153" s="59">
        <v>4110</v>
      </c>
      <c r="D153" s="27" t="s">
        <v>76</v>
      </c>
      <c r="E153" s="53">
        <v>4550</v>
      </c>
      <c r="F153" s="53"/>
      <c r="G153" s="53">
        <f t="shared" si="106"/>
        <v>4550</v>
      </c>
      <c r="H153" s="53"/>
      <c r="I153" s="53">
        <f t="shared" si="107"/>
        <v>4550</v>
      </c>
      <c r="J153" s="53"/>
      <c r="K153" s="53">
        <f t="shared" si="108"/>
        <v>4550</v>
      </c>
      <c r="L153" s="53"/>
      <c r="M153" s="53">
        <f t="shared" si="109"/>
        <v>4550</v>
      </c>
      <c r="N153" s="53"/>
      <c r="O153" s="53">
        <f t="shared" si="110"/>
        <v>4550</v>
      </c>
      <c r="P153" s="53"/>
      <c r="Q153" s="53">
        <f t="shared" si="111"/>
        <v>4550</v>
      </c>
      <c r="R153" s="53"/>
      <c r="S153" s="53">
        <f t="shared" si="112"/>
        <v>4550</v>
      </c>
      <c r="T153" s="53"/>
      <c r="U153" s="53">
        <f t="shared" si="113"/>
        <v>4550</v>
      </c>
      <c r="V153" s="53"/>
      <c r="W153" s="53">
        <f t="shared" si="114"/>
        <v>4550</v>
      </c>
      <c r="X153" s="53"/>
      <c r="Y153" s="53">
        <f t="shared" si="105"/>
        <v>4550</v>
      </c>
      <c r="Z153" s="53"/>
      <c r="AA153" s="53">
        <f t="shared" si="98"/>
        <v>4550</v>
      </c>
      <c r="AB153" s="53"/>
      <c r="AC153" s="53">
        <f t="shared" si="99"/>
        <v>4550</v>
      </c>
      <c r="AD153" s="53"/>
      <c r="AE153" s="53">
        <f t="shared" si="100"/>
        <v>4550</v>
      </c>
      <c r="AF153" s="53"/>
      <c r="AG153" s="53">
        <f t="shared" si="101"/>
        <v>4550</v>
      </c>
      <c r="AH153" s="53"/>
      <c r="AI153" s="53">
        <f t="shared" si="102"/>
        <v>4550</v>
      </c>
      <c r="AJ153" s="53"/>
      <c r="AK153" s="53">
        <f t="shared" si="103"/>
        <v>4550</v>
      </c>
      <c r="AL153" s="75"/>
      <c r="AM153" s="75"/>
    </row>
    <row r="154" spans="1:39" s="15" customFormat="1" ht="21" customHeight="1">
      <c r="A154" s="59"/>
      <c r="B154" s="55"/>
      <c r="C154" s="59">
        <v>4120</v>
      </c>
      <c r="D154" s="27" t="s">
        <v>181</v>
      </c>
      <c r="E154" s="53">
        <v>650</v>
      </c>
      <c r="F154" s="53"/>
      <c r="G154" s="53">
        <f t="shared" si="106"/>
        <v>650</v>
      </c>
      <c r="H154" s="53"/>
      <c r="I154" s="53">
        <f t="shared" si="107"/>
        <v>650</v>
      </c>
      <c r="J154" s="53"/>
      <c r="K154" s="53">
        <f t="shared" si="108"/>
        <v>650</v>
      </c>
      <c r="L154" s="53"/>
      <c r="M154" s="53">
        <f t="shared" si="109"/>
        <v>650</v>
      </c>
      <c r="N154" s="53"/>
      <c r="O154" s="53">
        <f t="shared" si="110"/>
        <v>650</v>
      </c>
      <c r="P154" s="53"/>
      <c r="Q154" s="53">
        <f t="shared" si="111"/>
        <v>650</v>
      </c>
      <c r="R154" s="53"/>
      <c r="S154" s="53">
        <f t="shared" si="112"/>
        <v>650</v>
      </c>
      <c r="T154" s="53"/>
      <c r="U154" s="53">
        <f t="shared" si="113"/>
        <v>650</v>
      </c>
      <c r="V154" s="53"/>
      <c r="W154" s="53">
        <f t="shared" si="114"/>
        <v>650</v>
      </c>
      <c r="X154" s="53"/>
      <c r="Y154" s="53">
        <f t="shared" si="105"/>
        <v>650</v>
      </c>
      <c r="Z154" s="53"/>
      <c r="AA154" s="53">
        <f t="shared" si="98"/>
        <v>650</v>
      </c>
      <c r="AB154" s="53"/>
      <c r="AC154" s="53">
        <f t="shared" si="99"/>
        <v>650</v>
      </c>
      <c r="AD154" s="53"/>
      <c r="AE154" s="53">
        <f t="shared" si="100"/>
        <v>650</v>
      </c>
      <c r="AF154" s="53"/>
      <c r="AG154" s="53">
        <f t="shared" si="101"/>
        <v>650</v>
      </c>
      <c r="AH154" s="53"/>
      <c r="AI154" s="53">
        <f aca="true" t="shared" si="115" ref="AI154:AI186">SUM(AG154:AH154)</f>
        <v>650</v>
      </c>
      <c r="AJ154" s="53"/>
      <c r="AK154" s="53">
        <f aca="true" t="shared" si="116" ref="AK154:AK185">SUM(AI154:AJ154)</f>
        <v>650</v>
      </c>
      <c r="AL154" s="75"/>
      <c r="AM154" s="75"/>
    </row>
    <row r="155" spans="1:39" s="15" customFormat="1" ht="21" customHeight="1">
      <c r="A155" s="59"/>
      <c r="B155" s="55"/>
      <c r="C155" s="41">
        <v>4170</v>
      </c>
      <c r="D155" s="27" t="s">
        <v>162</v>
      </c>
      <c r="E155" s="53">
        <v>26200</v>
      </c>
      <c r="F155" s="53"/>
      <c r="G155" s="53">
        <f t="shared" si="106"/>
        <v>26200</v>
      </c>
      <c r="H155" s="53"/>
      <c r="I155" s="53">
        <f t="shared" si="107"/>
        <v>26200</v>
      </c>
      <c r="J155" s="53"/>
      <c r="K155" s="53">
        <f t="shared" si="108"/>
        <v>26200</v>
      </c>
      <c r="L155" s="53"/>
      <c r="M155" s="53">
        <f t="shared" si="109"/>
        <v>26200</v>
      </c>
      <c r="N155" s="53"/>
      <c r="O155" s="53">
        <f t="shared" si="110"/>
        <v>26200</v>
      </c>
      <c r="P155" s="53"/>
      <c r="Q155" s="53">
        <f t="shared" si="111"/>
        <v>26200</v>
      </c>
      <c r="R155" s="53"/>
      <c r="S155" s="53">
        <f t="shared" si="112"/>
        <v>26200</v>
      </c>
      <c r="T155" s="53"/>
      <c r="U155" s="53">
        <f t="shared" si="113"/>
        <v>26200</v>
      </c>
      <c r="V155" s="53"/>
      <c r="W155" s="53">
        <f t="shared" si="114"/>
        <v>26200</v>
      </c>
      <c r="X155" s="53"/>
      <c r="Y155" s="53">
        <f t="shared" si="105"/>
        <v>26200</v>
      </c>
      <c r="Z155" s="53"/>
      <c r="AA155" s="53">
        <f t="shared" si="98"/>
        <v>26200</v>
      </c>
      <c r="AB155" s="53"/>
      <c r="AC155" s="53">
        <f t="shared" si="99"/>
        <v>26200</v>
      </c>
      <c r="AD155" s="53"/>
      <c r="AE155" s="53">
        <f t="shared" si="100"/>
        <v>26200</v>
      </c>
      <c r="AF155" s="53"/>
      <c r="AG155" s="53">
        <f t="shared" si="101"/>
        <v>26200</v>
      </c>
      <c r="AH155" s="53"/>
      <c r="AI155" s="53">
        <f t="shared" si="115"/>
        <v>26200</v>
      </c>
      <c r="AJ155" s="53"/>
      <c r="AK155" s="53">
        <f t="shared" si="116"/>
        <v>26200</v>
      </c>
      <c r="AL155" s="75"/>
      <c r="AM155" s="75"/>
    </row>
    <row r="156" spans="1:41" s="15" customFormat="1" ht="21" customHeight="1">
      <c r="A156" s="59"/>
      <c r="B156" s="55"/>
      <c r="C156" s="41">
        <v>4210</v>
      </c>
      <c r="D156" s="27" t="s">
        <v>82</v>
      </c>
      <c r="E156" s="53">
        <f>89200+7100-21680</f>
        <v>74620</v>
      </c>
      <c r="F156" s="53"/>
      <c r="G156" s="53">
        <f t="shared" si="106"/>
        <v>74620</v>
      </c>
      <c r="H156" s="53"/>
      <c r="I156" s="53">
        <f t="shared" si="107"/>
        <v>74620</v>
      </c>
      <c r="J156" s="53"/>
      <c r="K156" s="53">
        <f t="shared" si="108"/>
        <v>74620</v>
      </c>
      <c r="L156" s="53"/>
      <c r="M156" s="53">
        <f t="shared" si="109"/>
        <v>74620</v>
      </c>
      <c r="N156" s="53"/>
      <c r="O156" s="53">
        <f t="shared" si="110"/>
        <v>74620</v>
      </c>
      <c r="P156" s="53"/>
      <c r="Q156" s="53">
        <f t="shared" si="111"/>
        <v>74620</v>
      </c>
      <c r="R156" s="53"/>
      <c r="S156" s="53">
        <f t="shared" si="112"/>
        <v>74620</v>
      </c>
      <c r="T156" s="53">
        <v>2600</v>
      </c>
      <c r="U156" s="53">
        <f t="shared" si="113"/>
        <v>77220</v>
      </c>
      <c r="V156" s="53"/>
      <c r="W156" s="53">
        <f t="shared" si="114"/>
        <v>77220</v>
      </c>
      <c r="X156" s="53">
        <v>-14980</v>
      </c>
      <c r="Y156" s="53">
        <f t="shared" si="105"/>
        <v>62240</v>
      </c>
      <c r="Z156" s="53"/>
      <c r="AA156" s="53">
        <f t="shared" si="98"/>
        <v>62240</v>
      </c>
      <c r="AB156" s="53">
        <v>15000</v>
      </c>
      <c r="AC156" s="53">
        <f t="shared" si="99"/>
        <v>77240</v>
      </c>
      <c r="AD156" s="53"/>
      <c r="AE156" s="53">
        <f t="shared" si="100"/>
        <v>77240</v>
      </c>
      <c r="AF156" s="53"/>
      <c r="AG156" s="53">
        <f t="shared" si="101"/>
        <v>77240</v>
      </c>
      <c r="AH156" s="53"/>
      <c r="AI156" s="53">
        <f t="shared" si="115"/>
        <v>77240</v>
      </c>
      <c r="AJ156" s="53"/>
      <c r="AK156" s="53">
        <f t="shared" si="116"/>
        <v>77240</v>
      </c>
      <c r="AL156" s="75"/>
      <c r="AM156" s="75"/>
      <c r="AN156" s="75"/>
      <c r="AO156" s="75"/>
    </row>
    <row r="157" spans="1:39" s="15" customFormat="1" ht="21" customHeight="1">
      <c r="A157" s="59"/>
      <c r="B157" s="55"/>
      <c r="C157" s="41">
        <v>4260</v>
      </c>
      <c r="D157" s="27" t="s">
        <v>85</v>
      </c>
      <c r="E157" s="53">
        <v>12000</v>
      </c>
      <c r="F157" s="53"/>
      <c r="G157" s="53">
        <f t="shared" si="106"/>
        <v>12000</v>
      </c>
      <c r="H157" s="53"/>
      <c r="I157" s="53">
        <f t="shared" si="107"/>
        <v>12000</v>
      </c>
      <c r="J157" s="53"/>
      <c r="K157" s="53">
        <f t="shared" si="108"/>
        <v>12000</v>
      </c>
      <c r="L157" s="53"/>
      <c r="M157" s="53">
        <f t="shared" si="109"/>
        <v>12000</v>
      </c>
      <c r="N157" s="53"/>
      <c r="O157" s="53">
        <f t="shared" si="110"/>
        <v>12000</v>
      </c>
      <c r="P157" s="53"/>
      <c r="Q157" s="53">
        <f t="shared" si="111"/>
        <v>12000</v>
      </c>
      <c r="R157" s="53"/>
      <c r="S157" s="53">
        <f t="shared" si="112"/>
        <v>12000</v>
      </c>
      <c r="T157" s="53"/>
      <c r="U157" s="53">
        <f t="shared" si="113"/>
        <v>12000</v>
      </c>
      <c r="V157" s="53">
        <v>10000</v>
      </c>
      <c r="W157" s="53">
        <f t="shared" si="114"/>
        <v>22000</v>
      </c>
      <c r="X157" s="53"/>
      <c r="Y157" s="53">
        <f t="shared" si="105"/>
        <v>22000</v>
      </c>
      <c r="Z157" s="53"/>
      <c r="AA157" s="53">
        <f t="shared" si="98"/>
        <v>22000</v>
      </c>
      <c r="AB157" s="53"/>
      <c r="AC157" s="53">
        <f t="shared" si="99"/>
        <v>22000</v>
      </c>
      <c r="AD157" s="53"/>
      <c r="AE157" s="53">
        <f t="shared" si="100"/>
        <v>22000</v>
      </c>
      <c r="AF157" s="53"/>
      <c r="AG157" s="53">
        <f t="shared" si="101"/>
        <v>22000</v>
      </c>
      <c r="AH157" s="53"/>
      <c r="AI157" s="53">
        <f t="shared" si="115"/>
        <v>22000</v>
      </c>
      <c r="AJ157" s="53"/>
      <c r="AK157" s="53">
        <f t="shared" si="116"/>
        <v>22000</v>
      </c>
      <c r="AL157" s="75"/>
      <c r="AM157" s="75"/>
    </row>
    <row r="158" spans="1:39" s="15" customFormat="1" ht="21" customHeight="1">
      <c r="A158" s="59"/>
      <c r="B158" s="55"/>
      <c r="C158" s="41">
        <v>4270</v>
      </c>
      <c r="D158" s="27" t="s">
        <v>68</v>
      </c>
      <c r="E158" s="53">
        <v>16000</v>
      </c>
      <c r="F158" s="82">
        <v>153100</v>
      </c>
      <c r="G158" s="53">
        <f t="shared" si="106"/>
        <v>169100</v>
      </c>
      <c r="H158" s="44"/>
      <c r="I158" s="53">
        <f t="shared" si="107"/>
        <v>169100</v>
      </c>
      <c r="J158" s="44"/>
      <c r="K158" s="53">
        <f t="shared" si="108"/>
        <v>169100</v>
      </c>
      <c r="L158" s="44"/>
      <c r="M158" s="53">
        <f t="shared" si="109"/>
        <v>169100</v>
      </c>
      <c r="N158" s="44"/>
      <c r="O158" s="53">
        <f t="shared" si="110"/>
        <v>169100</v>
      </c>
      <c r="P158" s="44"/>
      <c r="Q158" s="53">
        <f t="shared" si="111"/>
        <v>169100</v>
      </c>
      <c r="R158" s="44"/>
      <c r="S158" s="53">
        <f t="shared" si="112"/>
        <v>169100</v>
      </c>
      <c r="T158" s="44"/>
      <c r="U158" s="53">
        <f t="shared" si="113"/>
        <v>169100</v>
      </c>
      <c r="V158" s="44">
        <f>-10000-11500</f>
        <v>-21500</v>
      </c>
      <c r="W158" s="53">
        <f t="shared" si="114"/>
        <v>147600</v>
      </c>
      <c r="X158" s="44">
        <v>-8104</v>
      </c>
      <c r="Y158" s="53">
        <f t="shared" si="105"/>
        <v>139496</v>
      </c>
      <c r="Z158" s="44">
        <v>-52800</v>
      </c>
      <c r="AA158" s="53">
        <f t="shared" si="98"/>
        <v>86696</v>
      </c>
      <c r="AB158" s="44">
        <v>-19000</v>
      </c>
      <c r="AC158" s="53">
        <f t="shared" si="99"/>
        <v>67696</v>
      </c>
      <c r="AD158" s="44"/>
      <c r="AE158" s="53">
        <f t="shared" si="100"/>
        <v>67696</v>
      </c>
      <c r="AF158" s="44">
        <v>-6500</v>
      </c>
      <c r="AG158" s="53">
        <f t="shared" si="101"/>
        <v>61196</v>
      </c>
      <c r="AH158" s="44">
        <v>-6421</v>
      </c>
      <c r="AI158" s="53">
        <f t="shared" si="115"/>
        <v>54775</v>
      </c>
      <c r="AJ158" s="44"/>
      <c r="AK158" s="53">
        <f t="shared" si="116"/>
        <v>54775</v>
      </c>
      <c r="AL158" s="75"/>
      <c r="AM158" s="75"/>
    </row>
    <row r="159" spans="1:39" s="15" customFormat="1" ht="21" customHeight="1">
      <c r="A159" s="59"/>
      <c r="B159" s="55"/>
      <c r="C159" s="41">
        <v>4280</v>
      </c>
      <c r="D159" s="27" t="s">
        <v>180</v>
      </c>
      <c r="E159" s="53">
        <v>3600</v>
      </c>
      <c r="F159" s="53"/>
      <c r="G159" s="53">
        <f t="shared" si="106"/>
        <v>3600</v>
      </c>
      <c r="H159" s="53"/>
      <c r="I159" s="53">
        <f t="shared" si="107"/>
        <v>3600</v>
      </c>
      <c r="J159" s="53"/>
      <c r="K159" s="53">
        <f t="shared" si="108"/>
        <v>3600</v>
      </c>
      <c r="L159" s="53"/>
      <c r="M159" s="53">
        <f t="shared" si="109"/>
        <v>3600</v>
      </c>
      <c r="N159" s="53"/>
      <c r="O159" s="53">
        <f t="shared" si="110"/>
        <v>3600</v>
      </c>
      <c r="P159" s="53"/>
      <c r="Q159" s="53">
        <f t="shared" si="111"/>
        <v>3600</v>
      </c>
      <c r="R159" s="53"/>
      <c r="S159" s="53">
        <f t="shared" si="112"/>
        <v>3600</v>
      </c>
      <c r="T159" s="53">
        <v>1400</v>
      </c>
      <c r="U159" s="53">
        <f t="shared" si="113"/>
        <v>5000</v>
      </c>
      <c r="V159" s="53"/>
      <c r="W159" s="53">
        <f t="shared" si="114"/>
        <v>5000</v>
      </c>
      <c r="X159" s="53"/>
      <c r="Y159" s="53">
        <f t="shared" si="105"/>
        <v>5000</v>
      </c>
      <c r="Z159" s="53">
        <v>1000</v>
      </c>
      <c r="AA159" s="53">
        <f t="shared" si="98"/>
        <v>6000</v>
      </c>
      <c r="AB159" s="53">
        <v>1000</v>
      </c>
      <c r="AC159" s="53">
        <f t="shared" si="99"/>
        <v>7000</v>
      </c>
      <c r="AD159" s="53"/>
      <c r="AE159" s="53">
        <f t="shared" si="100"/>
        <v>7000</v>
      </c>
      <c r="AF159" s="53"/>
      <c r="AG159" s="53">
        <f t="shared" si="101"/>
        <v>7000</v>
      </c>
      <c r="AH159" s="53"/>
      <c r="AI159" s="53">
        <f t="shared" si="115"/>
        <v>7000</v>
      </c>
      <c r="AJ159" s="53"/>
      <c r="AK159" s="53">
        <f t="shared" si="116"/>
        <v>7000</v>
      </c>
      <c r="AL159" s="75"/>
      <c r="AM159" s="75"/>
    </row>
    <row r="160" spans="1:39" s="15" customFormat="1" ht="21" customHeight="1">
      <c r="A160" s="59"/>
      <c r="B160" s="55"/>
      <c r="C160" s="41">
        <v>4300</v>
      </c>
      <c r="D160" s="27" t="s">
        <v>69</v>
      </c>
      <c r="E160" s="53">
        <v>11900</v>
      </c>
      <c r="F160" s="53"/>
      <c r="G160" s="53">
        <f t="shared" si="106"/>
        <v>11900</v>
      </c>
      <c r="H160" s="53"/>
      <c r="I160" s="53">
        <f t="shared" si="107"/>
        <v>11900</v>
      </c>
      <c r="J160" s="53"/>
      <c r="K160" s="53">
        <f t="shared" si="108"/>
        <v>11900</v>
      </c>
      <c r="L160" s="53"/>
      <c r="M160" s="53">
        <f t="shared" si="109"/>
        <v>11900</v>
      </c>
      <c r="N160" s="53"/>
      <c r="O160" s="53">
        <f t="shared" si="110"/>
        <v>11900</v>
      </c>
      <c r="P160" s="53"/>
      <c r="Q160" s="53">
        <f t="shared" si="111"/>
        <v>11900</v>
      </c>
      <c r="R160" s="53"/>
      <c r="S160" s="53">
        <f t="shared" si="112"/>
        <v>11900</v>
      </c>
      <c r="T160" s="53"/>
      <c r="U160" s="53">
        <f t="shared" si="113"/>
        <v>11900</v>
      </c>
      <c r="V160" s="53"/>
      <c r="W160" s="53">
        <f t="shared" si="114"/>
        <v>11900</v>
      </c>
      <c r="X160" s="53"/>
      <c r="Y160" s="53">
        <f t="shared" si="105"/>
        <v>11900</v>
      </c>
      <c r="Z160" s="53"/>
      <c r="AA160" s="53">
        <f t="shared" si="98"/>
        <v>11900</v>
      </c>
      <c r="AB160" s="53"/>
      <c r="AC160" s="53">
        <f t="shared" si="99"/>
        <v>11900</v>
      </c>
      <c r="AD160" s="53"/>
      <c r="AE160" s="53">
        <f t="shared" si="100"/>
        <v>11900</v>
      </c>
      <c r="AF160" s="53"/>
      <c r="AG160" s="53">
        <f t="shared" si="101"/>
        <v>11900</v>
      </c>
      <c r="AH160" s="53"/>
      <c r="AI160" s="53">
        <f t="shared" si="115"/>
        <v>11900</v>
      </c>
      <c r="AJ160" s="53"/>
      <c r="AK160" s="53">
        <f t="shared" si="116"/>
        <v>11900</v>
      </c>
      <c r="AL160" s="75"/>
      <c r="AM160" s="75"/>
    </row>
    <row r="161" spans="1:39" s="15" customFormat="1" ht="21" customHeight="1">
      <c r="A161" s="59"/>
      <c r="B161" s="55"/>
      <c r="C161" s="41">
        <v>4410</v>
      </c>
      <c r="D161" s="27" t="s">
        <v>80</v>
      </c>
      <c r="E161" s="53">
        <v>3400</v>
      </c>
      <c r="F161" s="53"/>
      <c r="G161" s="53">
        <f t="shared" si="106"/>
        <v>3400</v>
      </c>
      <c r="H161" s="53"/>
      <c r="I161" s="53">
        <f t="shared" si="107"/>
        <v>3400</v>
      </c>
      <c r="J161" s="53"/>
      <c r="K161" s="53">
        <f t="shared" si="108"/>
        <v>3400</v>
      </c>
      <c r="L161" s="53"/>
      <c r="M161" s="53">
        <f t="shared" si="109"/>
        <v>3400</v>
      </c>
      <c r="N161" s="53"/>
      <c r="O161" s="53">
        <f t="shared" si="110"/>
        <v>3400</v>
      </c>
      <c r="P161" s="53"/>
      <c r="Q161" s="53">
        <f t="shared" si="111"/>
        <v>3400</v>
      </c>
      <c r="R161" s="53"/>
      <c r="S161" s="53">
        <f t="shared" si="112"/>
        <v>3400</v>
      </c>
      <c r="T161" s="53"/>
      <c r="U161" s="53">
        <f t="shared" si="113"/>
        <v>3400</v>
      </c>
      <c r="V161" s="53"/>
      <c r="W161" s="53">
        <f t="shared" si="114"/>
        <v>3400</v>
      </c>
      <c r="X161" s="53"/>
      <c r="Y161" s="53">
        <f t="shared" si="105"/>
        <v>3400</v>
      </c>
      <c r="Z161" s="53"/>
      <c r="AA161" s="53">
        <f t="shared" si="98"/>
        <v>3400</v>
      </c>
      <c r="AB161" s="53"/>
      <c r="AC161" s="53">
        <f t="shared" si="99"/>
        <v>3400</v>
      </c>
      <c r="AD161" s="53"/>
      <c r="AE161" s="53">
        <f t="shared" si="100"/>
        <v>3400</v>
      </c>
      <c r="AF161" s="53"/>
      <c r="AG161" s="53">
        <f t="shared" si="101"/>
        <v>3400</v>
      </c>
      <c r="AH161" s="53"/>
      <c r="AI161" s="53">
        <f t="shared" si="115"/>
        <v>3400</v>
      </c>
      <c r="AJ161" s="53"/>
      <c r="AK161" s="53">
        <f t="shared" si="116"/>
        <v>3400</v>
      </c>
      <c r="AL161" s="75"/>
      <c r="AM161" s="75"/>
    </row>
    <row r="162" spans="1:39" s="15" customFormat="1" ht="21" customHeight="1">
      <c r="A162" s="59"/>
      <c r="B162" s="55"/>
      <c r="C162" s="41">
        <v>4430</v>
      </c>
      <c r="D162" s="27" t="s">
        <v>84</v>
      </c>
      <c r="E162" s="53">
        <v>10000</v>
      </c>
      <c r="F162" s="53"/>
      <c r="G162" s="53">
        <f t="shared" si="106"/>
        <v>10000</v>
      </c>
      <c r="H162" s="53"/>
      <c r="I162" s="53">
        <f t="shared" si="107"/>
        <v>10000</v>
      </c>
      <c r="J162" s="53"/>
      <c r="K162" s="53">
        <f t="shared" si="108"/>
        <v>10000</v>
      </c>
      <c r="L162" s="53"/>
      <c r="M162" s="53">
        <f t="shared" si="109"/>
        <v>10000</v>
      </c>
      <c r="N162" s="53"/>
      <c r="O162" s="53">
        <f t="shared" si="110"/>
        <v>10000</v>
      </c>
      <c r="P162" s="53"/>
      <c r="Q162" s="53">
        <f t="shared" si="111"/>
        <v>10000</v>
      </c>
      <c r="R162" s="53"/>
      <c r="S162" s="53">
        <f t="shared" si="112"/>
        <v>10000</v>
      </c>
      <c r="T162" s="53"/>
      <c r="U162" s="53">
        <f t="shared" si="113"/>
        <v>10000</v>
      </c>
      <c r="V162" s="53"/>
      <c r="W162" s="53">
        <f t="shared" si="114"/>
        <v>10000</v>
      </c>
      <c r="X162" s="53"/>
      <c r="Y162" s="53">
        <f t="shared" si="105"/>
        <v>10000</v>
      </c>
      <c r="Z162" s="53"/>
      <c r="AA162" s="53">
        <f t="shared" si="98"/>
        <v>10000</v>
      </c>
      <c r="AB162" s="53"/>
      <c r="AC162" s="53">
        <f t="shared" si="99"/>
        <v>10000</v>
      </c>
      <c r="AD162" s="53"/>
      <c r="AE162" s="53">
        <f t="shared" si="100"/>
        <v>10000</v>
      </c>
      <c r="AF162" s="53"/>
      <c r="AG162" s="53">
        <f t="shared" si="101"/>
        <v>10000</v>
      </c>
      <c r="AH162" s="53"/>
      <c r="AI162" s="53">
        <f t="shared" si="115"/>
        <v>10000</v>
      </c>
      <c r="AJ162" s="53"/>
      <c r="AK162" s="53">
        <f t="shared" si="116"/>
        <v>10000</v>
      </c>
      <c r="AL162" s="75"/>
      <c r="AM162" s="75"/>
    </row>
    <row r="163" spans="1:41" s="15" customFormat="1" ht="21" customHeight="1">
      <c r="A163" s="59"/>
      <c r="B163" s="55"/>
      <c r="C163" s="41">
        <v>6050</v>
      </c>
      <c r="D163" s="27" t="s">
        <v>63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>
        <v>0</v>
      </c>
      <c r="Z163" s="53">
        <v>25000</v>
      </c>
      <c r="AA163" s="53">
        <f t="shared" si="98"/>
        <v>25000</v>
      </c>
      <c r="AB163" s="53"/>
      <c r="AC163" s="53">
        <f t="shared" si="99"/>
        <v>25000</v>
      </c>
      <c r="AD163" s="53"/>
      <c r="AE163" s="53">
        <f t="shared" si="100"/>
        <v>25000</v>
      </c>
      <c r="AF163" s="53"/>
      <c r="AG163" s="53">
        <f t="shared" si="101"/>
        <v>25000</v>
      </c>
      <c r="AH163" s="53"/>
      <c r="AI163" s="53">
        <f t="shared" si="115"/>
        <v>25000</v>
      </c>
      <c r="AJ163" s="53"/>
      <c r="AK163" s="53">
        <f t="shared" si="116"/>
        <v>25000</v>
      </c>
      <c r="AL163" s="75"/>
      <c r="AM163" s="75"/>
      <c r="AN163" s="75"/>
      <c r="AO163" s="75"/>
    </row>
    <row r="164" spans="1:41" s="15" customFormat="1" ht="21" customHeight="1">
      <c r="A164" s="59"/>
      <c r="B164" s="55"/>
      <c r="C164" s="41">
        <v>6060</v>
      </c>
      <c r="D164" s="27" t="s">
        <v>86</v>
      </c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>
        <v>0</v>
      </c>
      <c r="X164" s="53">
        <v>14980</v>
      </c>
      <c r="Y164" s="53">
        <f>SUM(W164:X164)</f>
        <v>14980</v>
      </c>
      <c r="Z164" s="53"/>
      <c r="AA164" s="53">
        <f t="shared" si="98"/>
        <v>14980</v>
      </c>
      <c r="AB164" s="53"/>
      <c r="AC164" s="53">
        <f t="shared" si="99"/>
        <v>14980</v>
      </c>
      <c r="AD164" s="53"/>
      <c r="AE164" s="53">
        <f t="shared" si="100"/>
        <v>14980</v>
      </c>
      <c r="AF164" s="53"/>
      <c r="AG164" s="53">
        <f t="shared" si="101"/>
        <v>14980</v>
      </c>
      <c r="AH164" s="53">
        <v>6000</v>
      </c>
      <c r="AI164" s="53">
        <f t="shared" si="115"/>
        <v>20980</v>
      </c>
      <c r="AJ164" s="53"/>
      <c r="AK164" s="53">
        <f t="shared" si="116"/>
        <v>20980</v>
      </c>
      <c r="AL164" s="75"/>
      <c r="AM164" s="75"/>
      <c r="AN164" s="75"/>
      <c r="AO164" s="75"/>
    </row>
    <row r="165" spans="1:39" s="15" customFormat="1" ht="21" customHeight="1">
      <c r="A165" s="59"/>
      <c r="B165" s="55">
        <v>75414</v>
      </c>
      <c r="C165" s="41"/>
      <c r="D165" s="27" t="s">
        <v>202</v>
      </c>
      <c r="E165" s="53">
        <f aca="true" t="shared" si="117" ref="E165:T165">SUM(E166)</f>
        <v>2500</v>
      </c>
      <c r="F165" s="53">
        <f t="shared" si="117"/>
        <v>0</v>
      </c>
      <c r="G165" s="53">
        <f t="shared" si="117"/>
        <v>2500</v>
      </c>
      <c r="H165" s="53">
        <f t="shared" si="117"/>
        <v>0</v>
      </c>
      <c r="I165" s="53">
        <f t="shared" si="117"/>
        <v>2500</v>
      </c>
      <c r="J165" s="53">
        <f t="shared" si="117"/>
        <v>0</v>
      </c>
      <c r="K165" s="53">
        <f t="shared" si="117"/>
        <v>2500</v>
      </c>
      <c r="L165" s="53">
        <f t="shared" si="117"/>
        <v>0</v>
      </c>
      <c r="M165" s="53">
        <f t="shared" si="117"/>
        <v>2500</v>
      </c>
      <c r="N165" s="53">
        <f t="shared" si="117"/>
        <v>0</v>
      </c>
      <c r="O165" s="53">
        <f t="shared" si="117"/>
        <v>2500</v>
      </c>
      <c r="P165" s="53">
        <f t="shared" si="117"/>
        <v>0</v>
      </c>
      <c r="Q165" s="53">
        <f t="shared" si="117"/>
        <v>2500</v>
      </c>
      <c r="R165" s="53">
        <f t="shared" si="117"/>
        <v>0</v>
      </c>
      <c r="S165" s="53">
        <f t="shared" si="117"/>
        <v>2500</v>
      </c>
      <c r="T165" s="53">
        <f t="shared" si="117"/>
        <v>0</v>
      </c>
      <c r="U165" s="53">
        <f aca="true" t="shared" si="118" ref="U165:Z165">SUM(U166:U167)</f>
        <v>2500</v>
      </c>
      <c r="V165" s="53">
        <f t="shared" si="118"/>
        <v>0</v>
      </c>
      <c r="W165" s="53">
        <f t="shared" si="118"/>
        <v>2500</v>
      </c>
      <c r="X165" s="53">
        <f t="shared" si="118"/>
        <v>0</v>
      </c>
      <c r="Y165" s="53">
        <f t="shared" si="118"/>
        <v>2500</v>
      </c>
      <c r="Z165" s="53">
        <f t="shared" si="118"/>
        <v>0</v>
      </c>
      <c r="AA165" s="53">
        <f t="shared" si="98"/>
        <v>2500</v>
      </c>
      <c r="AB165" s="53">
        <f>SUM(AB166:AB167)</f>
        <v>0</v>
      </c>
      <c r="AC165" s="53">
        <f t="shared" si="99"/>
        <v>2500</v>
      </c>
      <c r="AD165" s="53">
        <f>SUM(AD166:AD167)</f>
        <v>0</v>
      </c>
      <c r="AE165" s="53">
        <f t="shared" si="100"/>
        <v>2500</v>
      </c>
      <c r="AF165" s="53">
        <f>SUM(AF166:AF167)</f>
        <v>0</v>
      </c>
      <c r="AG165" s="53">
        <f t="shared" si="101"/>
        <v>2500</v>
      </c>
      <c r="AH165" s="53">
        <f>SUM(AH166:AH167)</f>
        <v>0</v>
      </c>
      <c r="AI165" s="53">
        <f t="shared" si="115"/>
        <v>2500</v>
      </c>
      <c r="AJ165" s="53">
        <f>SUM(AJ166:AJ167)</f>
        <v>0</v>
      </c>
      <c r="AK165" s="53">
        <f t="shared" si="116"/>
        <v>2500</v>
      </c>
      <c r="AL165" s="75"/>
      <c r="AM165" s="75"/>
    </row>
    <row r="166" spans="1:39" s="15" customFormat="1" ht="21" customHeight="1">
      <c r="A166" s="59"/>
      <c r="B166" s="55"/>
      <c r="C166" s="41">
        <v>4210</v>
      </c>
      <c r="D166" s="27" t="s">
        <v>82</v>
      </c>
      <c r="E166" s="53">
        <v>2500</v>
      </c>
      <c r="F166" s="53"/>
      <c r="G166" s="53">
        <f>SUM(E166:F166)</f>
        <v>2500</v>
      </c>
      <c r="H166" s="53"/>
      <c r="I166" s="53">
        <f>SUM(G166:H166)</f>
        <v>2500</v>
      </c>
      <c r="J166" s="53"/>
      <c r="K166" s="53">
        <f>SUM(I166:J166)</f>
        <v>2500</v>
      </c>
      <c r="L166" s="53"/>
      <c r="M166" s="53">
        <f>SUM(K166:L166)</f>
        <v>2500</v>
      </c>
      <c r="N166" s="53"/>
      <c r="O166" s="53">
        <f>SUM(M166:N166)</f>
        <v>2500</v>
      </c>
      <c r="P166" s="53"/>
      <c r="Q166" s="53">
        <f>SUM(O166:P166)</f>
        <v>2500</v>
      </c>
      <c r="R166" s="53"/>
      <c r="S166" s="53">
        <f>SUM(Q166:R166)</f>
        <v>2500</v>
      </c>
      <c r="T166" s="53"/>
      <c r="U166" s="53">
        <f>SUM(S166:T166)</f>
        <v>2500</v>
      </c>
      <c r="V166" s="53">
        <v>-488</v>
      </c>
      <c r="W166" s="53">
        <f>SUM(U166:V166)</f>
        <v>2012</v>
      </c>
      <c r="X166" s="53"/>
      <c r="Y166" s="53">
        <f>SUM(W166:X166)</f>
        <v>2012</v>
      </c>
      <c r="Z166" s="53"/>
      <c r="AA166" s="53">
        <f t="shared" si="98"/>
        <v>2012</v>
      </c>
      <c r="AB166" s="53"/>
      <c r="AC166" s="53">
        <f t="shared" si="99"/>
        <v>2012</v>
      </c>
      <c r="AD166" s="53"/>
      <c r="AE166" s="53">
        <f t="shared" si="100"/>
        <v>2012</v>
      </c>
      <c r="AF166" s="53"/>
      <c r="AG166" s="53">
        <f t="shared" si="101"/>
        <v>2012</v>
      </c>
      <c r="AH166" s="53"/>
      <c r="AI166" s="53">
        <f t="shared" si="115"/>
        <v>2012</v>
      </c>
      <c r="AJ166" s="53"/>
      <c r="AK166" s="53">
        <f t="shared" si="116"/>
        <v>2012</v>
      </c>
      <c r="AL166" s="75"/>
      <c r="AM166" s="75"/>
    </row>
    <row r="167" spans="1:39" s="15" customFormat="1" ht="24">
      <c r="A167" s="59"/>
      <c r="B167" s="55"/>
      <c r="C167" s="41">
        <v>4750</v>
      </c>
      <c r="D167" s="27" t="s">
        <v>269</v>
      </c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>
        <v>0</v>
      </c>
      <c r="V167" s="53">
        <v>488</v>
      </c>
      <c r="W167" s="53">
        <f>SUM(U167:V167)</f>
        <v>488</v>
      </c>
      <c r="X167" s="53"/>
      <c r="Y167" s="53">
        <f>SUM(W167:X167)</f>
        <v>488</v>
      </c>
      <c r="Z167" s="53"/>
      <c r="AA167" s="53">
        <f t="shared" si="98"/>
        <v>488</v>
      </c>
      <c r="AB167" s="53"/>
      <c r="AC167" s="53">
        <f t="shared" si="99"/>
        <v>488</v>
      </c>
      <c r="AD167" s="53"/>
      <c r="AE167" s="53">
        <f t="shared" si="100"/>
        <v>488</v>
      </c>
      <c r="AF167" s="53"/>
      <c r="AG167" s="53">
        <f t="shared" si="101"/>
        <v>488</v>
      </c>
      <c r="AH167" s="53"/>
      <c r="AI167" s="53">
        <f t="shared" si="115"/>
        <v>488</v>
      </c>
      <c r="AJ167" s="53"/>
      <c r="AK167" s="53">
        <f t="shared" si="116"/>
        <v>488</v>
      </c>
      <c r="AL167" s="75"/>
      <c r="AM167" s="75"/>
    </row>
    <row r="168" spans="1:39" s="15" customFormat="1" ht="21.75" customHeight="1">
      <c r="A168" s="59"/>
      <c r="B168" s="55">
        <v>75416</v>
      </c>
      <c r="C168" s="59"/>
      <c r="D168" s="27" t="s">
        <v>32</v>
      </c>
      <c r="E168" s="53">
        <f aca="true" t="shared" si="119" ref="E168:Z168">SUM(E169:E187)</f>
        <v>315000</v>
      </c>
      <c r="F168" s="53">
        <f t="shared" si="119"/>
        <v>0</v>
      </c>
      <c r="G168" s="53">
        <f t="shared" si="119"/>
        <v>315000</v>
      </c>
      <c r="H168" s="53">
        <f t="shared" si="119"/>
        <v>0</v>
      </c>
      <c r="I168" s="53">
        <f t="shared" si="119"/>
        <v>315000</v>
      </c>
      <c r="J168" s="53">
        <f t="shared" si="119"/>
        <v>0</v>
      </c>
      <c r="K168" s="53">
        <f t="shared" si="119"/>
        <v>315000</v>
      </c>
      <c r="L168" s="53">
        <f t="shared" si="119"/>
        <v>0</v>
      </c>
      <c r="M168" s="53">
        <f t="shared" si="119"/>
        <v>315000</v>
      </c>
      <c r="N168" s="53">
        <f t="shared" si="119"/>
        <v>0</v>
      </c>
      <c r="O168" s="53">
        <f t="shared" si="119"/>
        <v>315000</v>
      </c>
      <c r="P168" s="53">
        <f t="shared" si="119"/>
        <v>0</v>
      </c>
      <c r="Q168" s="53">
        <f t="shared" si="119"/>
        <v>315000</v>
      </c>
      <c r="R168" s="53">
        <f t="shared" si="119"/>
        <v>0</v>
      </c>
      <c r="S168" s="53">
        <f t="shared" si="119"/>
        <v>315000</v>
      </c>
      <c r="T168" s="53">
        <f t="shared" si="119"/>
        <v>0</v>
      </c>
      <c r="U168" s="53">
        <f t="shared" si="119"/>
        <v>315000</v>
      </c>
      <c r="V168" s="53">
        <f t="shared" si="119"/>
        <v>0</v>
      </c>
      <c r="W168" s="53">
        <f t="shared" si="119"/>
        <v>315000</v>
      </c>
      <c r="X168" s="53">
        <f t="shared" si="119"/>
        <v>0</v>
      </c>
      <c r="Y168" s="53">
        <f t="shared" si="119"/>
        <v>315000</v>
      </c>
      <c r="Z168" s="53">
        <f t="shared" si="119"/>
        <v>-36667</v>
      </c>
      <c r="AA168" s="53">
        <f t="shared" si="98"/>
        <v>278333</v>
      </c>
      <c r="AB168" s="53">
        <f>SUM(AB169:AB187)</f>
        <v>0</v>
      </c>
      <c r="AC168" s="53">
        <f t="shared" si="99"/>
        <v>278333</v>
      </c>
      <c r="AD168" s="53">
        <f>SUM(AD169:AD187)</f>
        <v>0</v>
      </c>
      <c r="AE168" s="53">
        <f t="shared" si="100"/>
        <v>278333</v>
      </c>
      <c r="AF168" s="53">
        <f>SUM(AF169:AF187)</f>
        <v>0</v>
      </c>
      <c r="AG168" s="53">
        <f t="shared" si="101"/>
        <v>278333</v>
      </c>
      <c r="AH168" s="53">
        <f>SUM(AH169:AH187)</f>
        <v>2000</v>
      </c>
      <c r="AI168" s="53">
        <f t="shared" si="115"/>
        <v>280333</v>
      </c>
      <c r="AJ168" s="53">
        <f>SUM(AJ169:AJ187)</f>
        <v>0</v>
      </c>
      <c r="AK168" s="53">
        <f t="shared" si="116"/>
        <v>280333</v>
      </c>
      <c r="AL168" s="75"/>
      <c r="AM168" s="75"/>
    </row>
    <row r="169" spans="1:39" s="15" customFormat="1" ht="24">
      <c r="A169" s="59"/>
      <c r="B169" s="55"/>
      <c r="C169" s="41">
        <v>3020</v>
      </c>
      <c r="D169" s="27" t="s">
        <v>161</v>
      </c>
      <c r="E169" s="53">
        <v>14900</v>
      </c>
      <c r="F169" s="53"/>
      <c r="G169" s="53">
        <f aca="true" t="shared" si="120" ref="G169:G183">SUM(E169:F169)</f>
        <v>14900</v>
      </c>
      <c r="H169" s="53"/>
      <c r="I169" s="53">
        <f aca="true" t="shared" si="121" ref="I169:I183">SUM(G169:H169)</f>
        <v>14900</v>
      </c>
      <c r="J169" s="53"/>
      <c r="K169" s="53">
        <f aca="true" t="shared" si="122" ref="K169:K187">SUM(I169:J169)</f>
        <v>14900</v>
      </c>
      <c r="L169" s="53"/>
      <c r="M169" s="53">
        <f aca="true" t="shared" si="123" ref="M169:M187">SUM(K169:L169)</f>
        <v>14900</v>
      </c>
      <c r="N169" s="53"/>
      <c r="O169" s="53">
        <f aca="true" t="shared" si="124" ref="O169:O187">SUM(M169:N169)</f>
        <v>14900</v>
      </c>
      <c r="P169" s="53"/>
      <c r="Q169" s="53">
        <f aca="true" t="shared" si="125" ref="Q169:Q187">SUM(O169:P169)</f>
        <v>14900</v>
      </c>
      <c r="R169" s="53"/>
      <c r="S169" s="53">
        <f aca="true" t="shared" si="126" ref="S169:S187">SUM(Q169:R169)</f>
        <v>14900</v>
      </c>
      <c r="T169" s="53"/>
      <c r="U169" s="53">
        <f aca="true" t="shared" si="127" ref="U169:U187">SUM(S169:T169)</f>
        <v>14900</v>
      </c>
      <c r="V169" s="53"/>
      <c r="W169" s="53">
        <f aca="true" t="shared" si="128" ref="W169:W187">SUM(U169:V169)</f>
        <v>14900</v>
      </c>
      <c r="X169" s="53"/>
      <c r="Y169" s="53">
        <f aca="true" t="shared" si="129" ref="Y169:Y187">SUM(W169:X169)</f>
        <v>14900</v>
      </c>
      <c r="Z169" s="53"/>
      <c r="AA169" s="53">
        <f t="shared" si="98"/>
        <v>14900</v>
      </c>
      <c r="AB169" s="53"/>
      <c r="AC169" s="53">
        <f t="shared" si="99"/>
        <v>14900</v>
      </c>
      <c r="AD169" s="53">
        <v>-1000</v>
      </c>
      <c r="AE169" s="53">
        <f t="shared" si="100"/>
        <v>13900</v>
      </c>
      <c r="AF169" s="53"/>
      <c r="AG169" s="53">
        <f t="shared" si="101"/>
        <v>13900</v>
      </c>
      <c r="AH169" s="53"/>
      <c r="AI169" s="53">
        <f t="shared" si="115"/>
        <v>13900</v>
      </c>
      <c r="AJ169" s="53"/>
      <c r="AK169" s="53">
        <f t="shared" si="116"/>
        <v>13900</v>
      </c>
      <c r="AL169" s="75"/>
      <c r="AM169" s="75"/>
    </row>
    <row r="170" spans="1:39" s="15" customFormat="1" ht="21" customHeight="1">
      <c r="A170" s="59"/>
      <c r="B170" s="55"/>
      <c r="C170" s="41">
        <v>4010</v>
      </c>
      <c r="D170" s="27" t="s">
        <v>74</v>
      </c>
      <c r="E170" s="53">
        <f>180500-250</f>
        <v>180250</v>
      </c>
      <c r="F170" s="53"/>
      <c r="G170" s="53">
        <f t="shared" si="120"/>
        <v>180250</v>
      </c>
      <c r="H170" s="53"/>
      <c r="I170" s="53">
        <f t="shared" si="121"/>
        <v>180250</v>
      </c>
      <c r="J170" s="53"/>
      <c r="K170" s="53">
        <f t="shared" si="122"/>
        <v>180250</v>
      </c>
      <c r="L170" s="53"/>
      <c r="M170" s="53">
        <f t="shared" si="123"/>
        <v>180250</v>
      </c>
      <c r="N170" s="53"/>
      <c r="O170" s="53">
        <f t="shared" si="124"/>
        <v>180250</v>
      </c>
      <c r="P170" s="53"/>
      <c r="Q170" s="53">
        <f t="shared" si="125"/>
        <v>180250</v>
      </c>
      <c r="R170" s="53"/>
      <c r="S170" s="53">
        <f t="shared" si="126"/>
        <v>180250</v>
      </c>
      <c r="T170" s="53"/>
      <c r="U170" s="53">
        <f t="shared" si="127"/>
        <v>180250</v>
      </c>
      <c r="V170" s="53"/>
      <c r="W170" s="53">
        <f t="shared" si="128"/>
        <v>180250</v>
      </c>
      <c r="X170" s="53"/>
      <c r="Y170" s="53">
        <f t="shared" si="129"/>
        <v>180250</v>
      </c>
      <c r="Z170" s="53">
        <v>-30000</v>
      </c>
      <c r="AA170" s="53">
        <f t="shared" si="98"/>
        <v>150250</v>
      </c>
      <c r="AB170" s="53"/>
      <c r="AC170" s="53">
        <f t="shared" si="99"/>
        <v>150250</v>
      </c>
      <c r="AD170" s="53"/>
      <c r="AE170" s="53">
        <f t="shared" si="100"/>
        <v>150250</v>
      </c>
      <c r="AF170" s="53"/>
      <c r="AG170" s="53">
        <f t="shared" si="101"/>
        <v>150250</v>
      </c>
      <c r="AH170" s="53"/>
      <c r="AI170" s="53">
        <f t="shared" si="115"/>
        <v>150250</v>
      </c>
      <c r="AJ170" s="53"/>
      <c r="AK170" s="53">
        <f t="shared" si="116"/>
        <v>150250</v>
      </c>
      <c r="AL170" s="75"/>
      <c r="AM170" s="75"/>
    </row>
    <row r="171" spans="1:39" s="15" customFormat="1" ht="21" customHeight="1">
      <c r="A171" s="59"/>
      <c r="B171" s="55"/>
      <c r="C171" s="41">
        <v>4040</v>
      </c>
      <c r="D171" s="27" t="s">
        <v>75</v>
      </c>
      <c r="E171" s="53">
        <v>7000</v>
      </c>
      <c r="F171" s="53"/>
      <c r="G171" s="53">
        <f t="shared" si="120"/>
        <v>7000</v>
      </c>
      <c r="H171" s="53"/>
      <c r="I171" s="53">
        <f t="shared" si="121"/>
        <v>7000</v>
      </c>
      <c r="J171" s="53"/>
      <c r="K171" s="53">
        <f t="shared" si="122"/>
        <v>7000</v>
      </c>
      <c r="L171" s="53"/>
      <c r="M171" s="53">
        <f t="shared" si="123"/>
        <v>7000</v>
      </c>
      <c r="N171" s="53"/>
      <c r="O171" s="53">
        <f t="shared" si="124"/>
        <v>7000</v>
      </c>
      <c r="P171" s="53"/>
      <c r="Q171" s="53">
        <f t="shared" si="125"/>
        <v>7000</v>
      </c>
      <c r="R171" s="53"/>
      <c r="S171" s="53">
        <f t="shared" si="126"/>
        <v>7000</v>
      </c>
      <c r="T171" s="53"/>
      <c r="U171" s="53">
        <f t="shared" si="127"/>
        <v>7000</v>
      </c>
      <c r="V171" s="53"/>
      <c r="W171" s="53">
        <f t="shared" si="128"/>
        <v>7000</v>
      </c>
      <c r="X171" s="53"/>
      <c r="Y171" s="53">
        <f t="shared" si="129"/>
        <v>7000</v>
      </c>
      <c r="Z171" s="53"/>
      <c r="AA171" s="53">
        <f t="shared" si="98"/>
        <v>7000</v>
      </c>
      <c r="AB171" s="53"/>
      <c r="AC171" s="53">
        <f t="shared" si="99"/>
        <v>7000</v>
      </c>
      <c r="AD171" s="53"/>
      <c r="AE171" s="53">
        <f t="shared" si="100"/>
        <v>7000</v>
      </c>
      <c r="AF171" s="53"/>
      <c r="AG171" s="53">
        <f t="shared" si="101"/>
        <v>7000</v>
      </c>
      <c r="AH171" s="53"/>
      <c r="AI171" s="53">
        <f t="shared" si="115"/>
        <v>7000</v>
      </c>
      <c r="AJ171" s="53"/>
      <c r="AK171" s="53">
        <f t="shared" si="116"/>
        <v>7000</v>
      </c>
      <c r="AL171" s="75"/>
      <c r="AM171" s="75"/>
    </row>
    <row r="172" spans="1:39" s="15" customFormat="1" ht="21" customHeight="1">
      <c r="A172" s="59"/>
      <c r="B172" s="55"/>
      <c r="C172" s="41">
        <v>4110</v>
      </c>
      <c r="D172" s="27" t="s">
        <v>76</v>
      </c>
      <c r="E172" s="53">
        <v>31900</v>
      </c>
      <c r="F172" s="53"/>
      <c r="G172" s="53">
        <f t="shared" si="120"/>
        <v>31900</v>
      </c>
      <c r="H172" s="53"/>
      <c r="I172" s="53">
        <f t="shared" si="121"/>
        <v>31900</v>
      </c>
      <c r="J172" s="53"/>
      <c r="K172" s="53">
        <f t="shared" si="122"/>
        <v>31900</v>
      </c>
      <c r="L172" s="53"/>
      <c r="M172" s="53">
        <f t="shared" si="123"/>
        <v>31900</v>
      </c>
      <c r="N172" s="53"/>
      <c r="O172" s="53">
        <f t="shared" si="124"/>
        <v>31900</v>
      </c>
      <c r="P172" s="53"/>
      <c r="Q172" s="53">
        <f t="shared" si="125"/>
        <v>31900</v>
      </c>
      <c r="R172" s="53"/>
      <c r="S172" s="53">
        <f t="shared" si="126"/>
        <v>31900</v>
      </c>
      <c r="T172" s="53"/>
      <c r="U172" s="53">
        <f t="shared" si="127"/>
        <v>31900</v>
      </c>
      <c r="V172" s="53"/>
      <c r="W172" s="53">
        <f t="shared" si="128"/>
        <v>31900</v>
      </c>
      <c r="X172" s="53"/>
      <c r="Y172" s="53">
        <f t="shared" si="129"/>
        <v>31900</v>
      </c>
      <c r="Z172" s="53">
        <v>-6667</v>
      </c>
      <c r="AA172" s="53">
        <f t="shared" si="98"/>
        <v>25233</v>
      </c>
      <c r="AB172" s="53"/>
      <c r="AC172" s="53">
        <f t="shared" si="99"/>
        <v>25233</v>
      </c>
      <c r="AD172" s="53"/>
      <c r="AE172" s="53">
        <f t="shared" si="100"/>
        <v>25233</v>
      </c>
      <c r="AF172" s="53"/>
      <c r="AG172" s="53">
        <f t="shared" si="101"/>
        <v>25233</v>
      </c>
      <c r="AH172" s="53"/>
      <c r="AI172" s="53">
        <f t="shared" si="115"/>
        <v>25233</v>
      </c>
      <c r="AJ172" s="53"/>
      <c r="AK172" s="53">
        <f t="shared" si="116"/>
        <v>25233</v>
      </c>
      <c r="AL172" s="75"/>
      <c r="AM172" s="75"/>
    </row>
    <row r="173" spans="1:39" s="15" customFormat="1" ht="21" customHeight="1">
      <c r="A173" s="59"/>
      <c r="B173" s="55"/>
      <c r="C173" s="41">
        <v>4120</v>
      </c>
      <c r="D173" s="27" t="s">
        <v>77</v>
      </c>
      <c r="E173" s="53">
        <v>4600</v>
      </c>
      <c r="F173" s="53"/>
      <c r="G173" s="53">
        <f t="shared" si="120"/>
        <v>4600</v>
      </c>
      <c r="H173" s="53"/>
      <c r="I173" s="53">
        <f t="shared" si="121"/>
        <v>4600</v>
      </c>
      <c r="J173" s="53"/>
      <c r="K173" s="53">
        <f t="shared" si="122"/>
        <v>4600</v>
      </c>
      <c r="L173" s="53"/>
      <c r="M173" s="53">
        <f t="shared" si="123"/>
        <v>4600</v>
      </c>
      <c r="N173" s="53"/>
      <c r="O173" s="53">
        <f t="shared" si="124"/>
        <v>4600</v>
      </c>
      <c r="P173" s="53"/>
      <c r="Q173" s="53">
        <f t="shared" si="125"/>
        <v>4600</v>
      </c>
      <c r="R173" s="53"/>
      <c r="S173" s="53">
        <f t="shared" si="126"/>
        <v>4600</v>
      </c>
      <c r="T173" s="53"/>
      <c r="U173" s="53">
        <f t="shared" si="127"/>
        <v>4600</v>
      </c>
      <c r="V173" s="53"/>
      <c r="W173" s="53">
        <f t="shared" si="128"/>
        <v>4600</v>
      </c>
      <c r="X173" s="53"/>
      <c r="Y173" s="53">
        <f t="shared" si="129"/>
        <v>4600</v>
      </c>
      <c r="Z173" s="53"/>
      <c r="AA173" s="53">
        <f t="shared" si="98"/>
        <v>4600</v>
      </c>
      <c r="AB173" s="53"/>
      <c r="AC173" s="53">
        <f t="shared" si="99"/>
        <v>4600</v>
      </c>
      <c r="AD173" s="53"/>
      <c r="AE173" s="53">
        <f t="shared" si="100"/>
        <v>4600</v>
      </c>
      <c r="AF173" s="53"/>
      <c r="AG173" s="53">
        <f t="shared" si="101"/>
        <v>4600</v>
      </c>
      <c r="AH173" s="53"/>
      <c r="AI173" s="53">
        <f t="shared" si="115"/>
        <v>4600</v>
      </c>
      <c r="AJ173" s="53"/>
      <c r="AK173" s="53">
        <f t="shared" si="116"/>
        <v>4600</v>
      </c>
      <c r="AL173" s="75"/>
      <c r="AM173" s="75"/>
    </row>
    <row r="174" spans="1:39" s="15" customFormat="1" ht="21" customHeight="1">
      <c r="A174" s="59"/>
      <c r="B174" s="55"/>
      <c r="C174" s="41">
        <v>4210</v>
      </c>
      <c r="D174" s="27" t="s">
        <v>82</v>
      </c>
      <c r="E174" s="53">
        <v>10000</v>
      </c>
      <c r="F174" s="53"/>
      <c r="G174" s="53">
        <f t="shared" si="120"/>
        <v>10000</v>
      </c>
      <c r="H174" s="53"/>
      <c r="I174" s="53">
        <f t="shared" si="121"/>
        <v>10000</v>
      </c>
      <c r="J174" s="53"/>
      <c r="K174" s="53">
        <f t="shared" si="122"/>
        <v>10000</v>
      </c>
      <c r="L174" s="53"/>
      <c r="M174" s="53">
        <f t="shared" si="123"/>
        <v>10000</v>
      </c>
      <c r="N174" s="53"/>
      <c r="O174" s="53">
        <f t="shared" si="124"/>
        <v>10000</v>
      </c>
      <c r="P174" s="53"/>
      <c r="Q174" s="53">
        <f t="shared" si="125"/>
        <v>10000</v>
      </c>
      <c r="R174" s="53"/>
      <c r="S174" s="53">
        <f t="shared" si="126"/>
        <v>10000</v>
      </c>
      <c r="T174" s="53"/>
      <c r="U174" s="53">
        <f t="shared" si="127"/>
        <v>10000</v>
      </c>
      <c r="V174" s="53"/>
      <c r="W174" s="53">
        <f t="shared" si="128"/>
        <v>10000</v>
      </c>
      <c r="X174" s="53"/>
      <c r="Y174" s="53">
        <f t="shared" si="129"/>
        <v>10000</v>
      </c>
      <c r="Z174" s="53"/>
      <c r="AA174" s="53">
        <f t="shared" si="98"/>
        <v>10000</v>
      </c>
      <c r="AB174" s="53"/>
      <c r="AC174" s="53">
        <f t="shared" si="99"/>
        <v>10000</v>
      </c>
      <c r="AD174" s="53">
        <v>1000</v>
      </c>
      <c r="AE174" s="53">
        <f t="shared" si="100"/>
        <v>11000</v>
      </c>
      <c r="AF174" s="53"/>
      <c r="AG174" s="53">
        <f t="shared" si="101"/>
        <v>11000</v>
      </c>
      <c r="AH174" s="53"/>
      <c r="AI174" s="53">
        <f t="shared" si="115"/>
        <v>11000</v>
      </c>
      <c r="AJ174" s="53"/>
      <c r="AK174" s="53">
        <f t="shared" si="116"/>
        <v>11000</v>
      </c>
      <c r="AL174" s="75"/>
      <c r="AM174" s="75"/>
    </row>
    <row r="175" spans="1:39" s="15" customFormat="1" ht="21" customHeight="1">
      <c r="A175" s="59"/>
      <c r="B175" s="55"/>
      <c r="C175" s="41">
        <v>4270</v>
      </c>
      <c r="D175" s="27" t="s">
        <v>68</v>
      </c>
      <c r="E175" s="53">
        <v>4000</v>
      </c>
      <c r="F175" s="53"/>
      <c r="G175" s="53">
        <f t="shared" si="120"/>
        <v>4000</v>
      </c>
      <c r="H175" s="53"/>
      <c r="I175" s="53">
        <f t="shared" si="121"/>
        <v>4000</v>
      </c>
      <c r="J175" s="53"/>
      <c r="K175" s="53">
        <f t="shared" si="122"/>
        <v>4000</v>
      </c>
      <c r="L175" s="53"/>
      <c r="M175" s="53">
        <f t="shared" si="123"/>
        <v>4000</v>
      </c>
      <c r="N175" s="53"/>
      <c r="O175" s="53">
        <f t="shared" si="124"/>
        <v>4000</v>
      </c>
      <c r="P175" s="53"/>
      <c r="Q175" s="53">
        <f t="shared" si="125"/>
        <v>4000</v>
      </c>
      <c r="R175" s="53"/>
      <c r="S175" s="53">
        <f t="shared" si="126"/>
        <v>4000</v>
      </c>
      <c r="T175" s="53"/>
      <c r="U175" s="53">
        <f t="shared" si="127"/>
        <v>4000</v>
      </c>
      <c r="V175" s="53"/>
      <c r="W175" s="53">
        <f t="shared" si="128"/>
        <v>4000</v>
      </c>
      <c r="X175" s="53"/>
      <c r="Y175" s="53">
        <f t="shared" si="129"/>
        <v>4000</v>
      </c>
      <c r="Z175" s="53"/>
      <c r="AA175" s="53">
        <f t="shared" si="98"/>
        <v>4000</v>
      </c>
      <c r="AB175" s="53"/>
      <c r="AC175" s="53">
        <f t="shared" si="99"/>
        <v>4000</v>
      </c>
      <c r="AD175" s="53"/>
      <c r="AE175" s="53">
        <f t="shared" si="100"/>
        <v>4000</v>
      </c>
      <c r="AF175" s="53"/>
      <c r="AG175" s="53">
        <f t="shared" si="101"/>
        <v>4000</v>
      </c>
      <c r="AH175" s="53"/>
      <c r="AI175" s="53">
        <f t="shared" si="115"/>
        <v>4000</v>
      </c>
      <c r="AJ175" s="53"/>
      <c r="AK175" s="53">
        <f t="shared" si="116"/>
        <v>4000</v>
      </c>
      <c r="AL175" s="75"/>
      <c r="AM175" s="75"/>
    </row>
    <row r="176" spans="1:39" s="15" customFormat="1" ht="21" customHeight="1">
      <c r="A176" s="59"/>
      <c r="B176" s="55"/>
      <c r="C176" s="41">
        <v>4280</v>
      </c>
      <c r="D176" s="27" t="s">
        <v>180</v>
      </c>
      <c r="E176" s="53">
        <v>1200</v>
      </c>
      <c r="F176" s="53"/>
      <c r="G176" s="53">
        <f t="shared" si="120"/>
        <v>1200</v>
      </c>
      <c r="H176" s="53"/>
      <c r="I176" s="53">
        <f t="shared" si="121"/>
        <v>1200</v>
      </c>
      <c r="J176" s="53"/>
      <c r="K176" s="53">
        <f t="shared" si="122"/>
        <v>1200</v>
      </c>
      <c r="L176" s="53"/>
      <c r="M176" s="53">
        <f t="shared" si="123"/>
        <v>1200</v>
      </c>
      <c r="N176" s="53"/>
      <c r="O176" s="53">
        <f t="shared" si="124"/>
        <v>1200</v>
      </c>
      <c r="P176" s="53"/>
      <c r="Q176" s="53">
        <f t="shared" si="125"/>
        <v>1200</v>
      </c>
      <c r="R176" s="53"/>
      <c r="S176" s="53">
        <f t="shared" si="126"/>
        <v>1200</v>
      </c>
      <c r="T176" s="53"/>
      <c r="U176" s="53">
        <f t="shared" si="127"/>
        <v>1200</v>
      </c>
      <c r="V176" s="53"/>
      <c r="W176" s="53">
        <f t="shared" si="128"/>
        <v>1200</v>
      </c>
      <c r="X176" s="53"/>
      <c r="Y176" s="53">
        <f t="shared" si="129"/>
        <v>1200</v>
      </c>
      <c r="Z176" s="53"/>
      <c r="AA176" s="53">
        <f t="shared" si="98"/>
        <v>1200</v>
      </c>
      <c r="AB176" s="53"/>
      <c r="AC176" s="53">
        <f t="shared" si="99"/>
        <v>1200</v>
      </c>
      <c r="AD176" s="53"/>
      <c r="AE176" s="53">
        <f t="shared" si="100"/>
        <v>1200</v>
      </c>
      <c r="AF176" s="53"/>
      <c r="AG176" s="53">
        <f t="shared" si="101"/>
        <v>1200</v>
      </c>
      <c r="AH176" s="53"/>
      <c r="AI176" s="53">
        <f t="shared" si="115"/>
        <v>1200</v>
      </c>
      <c r="AJ176" s="53"/>
      <c r="AK176" s="53">
        <f t="shared" si="116"/>
        <v>1200</v>
      </c>
      <c r="AL176" s="75"/>
      <c r="AM176" s="75"/>
    </row>
    <row r="177" spans="1:39" s="15" customFormat="1" ht="21" customHeight="1">
      <c r="A177" s="59"/>
      <c r="B177" s="55"/>
      <c r="C177" s="41">
        <v>4300</v>
      </c>
      <c r="D177" s="27" t="s">
        <v>69</v>
      </c>
      <c r="E177" s="53">
        <v>3000</v>
      </c>
      <c r="F177" s="53"/>
      <c r="G177" s="53">
        <f t="shared" si="120"/>
        <v>3000</v>
      </c>
      <c r="H177" s="53"/>
      <c r="I177" s="53">
        <f t="shared" si="121"/>
        <v>3000</v>
      </c>
      <c r="J177" s="53"/>
      <c r="K177" s="53">
        <f t="shared" si="122"/>
        <v>3000</v>
      </c>
      <c r="L177" s="53"/>
      <c r="M177" s="53">
        <f t="shared" si="123"/>
        <v>3000</v>
      </c>
      <c r="N177" s="53"/>
      <c r="O177" s="53">
        <f t="shared" si="124"/>
        <v>3000</v>
      </c>
      <c r="P177" s="53"/>
      <c r="Q177" s="53">
        <f t="shared" si="125"/>
        <v>3000</v>
      </c>
      <c r="R177" s="53"/>
      <c r="S177" s="53">
        <f t="shared" si="126"/>
        <v>3000</v>
      </c>
      <c r="T177" s="53"/>
      <c r="U177" s="53">
        <f t="shared" si="127"/>
        <v>3000</v>
      </c>
      <c r="V177" s="53"/>
      <c r="W177" s="53">
        <f t="shared" si="128"/>
        <v>3000</v>
      </c>
      <c r="X177" s="53"/>
      <c r="Y177" s="53">
        <f t="shared" si="129"/>
        <v>3000</v>
      </c>
      <c r="Z177" s="53"/>
      <c r="AA177" s="53">
        <f t="shared" si="98"/>
        <v>3000</v>
      </c>
      <c r="AB177" s="53">
        <v>-40</v>
      </c>
      <c r="AC177" s="53">
        <f t="shared" si="99"/>
        <v>2960</v>
      </c>
      <c r="AD177" s="53"/>
      <c r="AE177" s="53">
        <f t="shared" si="100"/>
        <v>2960</v>
      </c>
      <c r="AF177" s="53"/>
      <c r="AG177" s="53">
        <f aca="true" t="shared" si="130" ref="AG177:AG208">SUM(AE177:AF177)</f>
        <v>2960</v>
      </c>
      <c r="AH177" s="53"/>
      <c r="AI177" s="53">
        <f t="shared" si="115"/>
        <v>2960</v>
      </c>
      <c r="AJ177" s="53"/>
      <c r="AK177" s="53">
        <f t="shared" si="116"/>
        <v>2960</v>
      </c>
      <c r="AL177" s="75"/>
      <c r="AM177" s="75"/>
    </row>
    <row r="178" spans="1:39" s="15" customFormat="1" ht="24">
      <c r="A178" s="59"/>
      <c r="B178" s="55"/>
      <c r="C178" s="41">
        <v>4360</v>
      </c>
      <c r="D178" s="27" t="s">
        <v>195</v>
      </c>
      <c r="E178" s="53">
        <v>1500</v>
      </c>
      <c r="F178" s="53"/>
      <c r="G178" s="53">
        <f t="shared" si="120"/>
        <v>1500</v>
      </c>
      <c r="H178" s="53"/>
      <c r="I178" s="53">
        <f t="shared" si="121"/>
        <v>1500</v>
      </c>
      <c r="J178" s="53"/>
      <c r="K178" s="53">
        <f t="shared" si="122"/>
        <v>1500</v>
      </c>
      <c r="L178" s="53"/>
      <c r="M178" s="53">
        <f t="shared" si="123"/>
        <v>1500</v>
      </c>
      <c r="N178" s="53"/>
      <c r="O178" s="53">
        <f t="shared" si="124"/>
        <v>1500</v>
      </c>
      <c r="P178" s="53"/>
      <c r="Q178" s="53">
        <f t="shared" si="125"/>
        <v>1500</v>
      </c>
      <c r="R178" s="53"/>
      <c r="S178" s="53">
        <f t="shared" si="126"/>
        <v>1500</v>
      </c>
      <c r="T178" s="53"/>
      <c r="U178" s="53">
        <f t="shared" si="127"/>
        <v>1500</v>
      </c>
      <c r="V178" s="53"/>
      <c r="W178" s="53">
        <f t="shared" si="128"/>
        <v>1500</v>
      </c>
      <c r="X178" s="53"/>
      <c r="Y178" s="53">
        <f t="shared" si="129"/>
        <v>1500</v>
      </c>
      <c r="Z178" s="53"/>
      <c r="AA178" s="53">
        <f t="shared" si="98"/>
        <v>1500</v>
      </c>
      <c r="AB178" s="53"/>
      <c r="AC178" s="53">
        <f t="shared" si="99"/>
        <v>1500</v>
      </c>
      <c r="AD178" s="53"/>
      <c r="AE178" s="53">
        <f t="shared" si="100"/>
        <v>1500</v>
      </c>
      <c r="AF178" s="53"/>
      <c r="AG178" s="53">
        <f t="shared" si="130"/>
        <v>1500</v>
      </c>
      <c r="AH178" s="53"/>
      <c r="AI178" s="53">
        <f t="shared" si="115"/>
        <v>1500</v>
      </c>
      <c r="AJ178" s="53"/>
      <c r="AK178" s="53">
        <f t="shared" si="116"/>
        <v>1500</v>
      </c>
      <c r="AL178" s="75"/>
      <c r="AM178" s="75"/>
    </row>
    <row r="179" spans="1:39" s="15" customFormat="1" ht="24">
      <c r="A179" s="59"/>
      <c r="B179" s="55"/>
      <c r="C179" s="41">
        <v>4370</v>
      </c>
      <c r="D179" s="27" t="s">
        <v>188</v>
      </c>
      <c r="E179" s="53">
        <v>1500</v>
      </c>
      <c r="F179" s="53"/>
      <c r="G179" s="53">
        <f t="shared" si="120"/>
        <v>1500</v>
      </c>
      <c r="H179" s="53"/>
      <c r="I179" s="53">
        <f t="shared" si="121"/>
        <v>1500</v>
      </c>
      <c r="J179" s="53"/>
      <c r="K179" s="53">
        <f t="shared" si="122"/>
        <v>1500</v>
      </c>
      <c r="L179" s="53"/>
      <c r="M179" s="53">
        <f t="shared" si="123"/>
        <v>1500</v>
      </c>
      <c r="N179" s="53"/>
      <c r="O179" s="53">
        <f t="shared" si="124"/>
        <v>1500</v>
      </c>
      <c r="P179" s="53"/>
      <c r="Q179" s="53">
        <f t="shared" si="125"/>
        <v>1500</v>
      </c>
      <c r="R179" s="53"/>
      <c r="S179" s="53">
        <f t="shared" si="126"/>
        <v>1500</v>
      </c>
      <c r="T179" s="53"/>
      <c r="U179" s="53">
        <f t="shared" si="127"/>
        <v>1500</v>
      </c>
      <c r="V179" s="53"/>
      <c r="W179" s="53">
        <f t="shared" si="128"/>
        <v>1500</v>
      </c>
      <c r="X179" s="53"/>
      <c r="Y179" s="53">
        <f t="shared" si="129"/>
        <v>1500</v>
      </c>
      <c r="Z179" s="53"/>
      <c r="AA179" s="53">
        <f t="shared" si="98"/>
        <v>1500</v>
      </c>
      <c r="AB179" s="53"/>
      <c r="AC179" s="53">
        <f t="shared" si="99"/>
        <v>1500</v>
      </c>
      <c r="AD179" s="53"/>
      <c r="AE179" s="53">
        <f t="shared" si="100"/>
        <v>1500</v>
      </c>
      <c r="AF179" s="53"/>
      <c r="AG179" s="53">
        <f t="shared" si="130"/>
        <v>1500</v>
      </c>
      <c r="AH179" s="53"/>
      <c r="AI179" s="53">
        <f t="shared" si="115"/>
        <v>1500</v>
      </c>
      <c r="AJ179" s="53"/>
      <c r="AK179" s="53">
        <f t="shared" si="116"/>
        <v>1500</v>
      </c>
      <c r="AL179" s="75"/>
      <c r="AM179" s="75"/>
    </row>
    <row r="180" spans="1:39" s="15" customFormat="1" ht="24">
      <c r="A180" s="59"/>
      <c r="B180" s="55"/>
      <c r="C180" s="41">
        <v>4400</v>
      </c>
      <c r="D180" s="27" t="s">
        <v>203</v>
      </c>
      <c r="E180" s="53">
        <v>1000</v>
      </c>
      <c r="F180" s="53"/>
      <c r="G180" s="53">
        <f t="shared" si="120"/>
        <v>1000</v>
      </c>
      <c r="H180" s="53"/>
      <c r="I180" s="53">
        <f t="shared" si="121"/>
        <v>1000</v>
      </c>
      <c r="J180" s="53"/>
      <c r="K180" s="53">
        <f t="shared" si="122"/>
        <v>1000</v>
      </c>
      <c r="L180" s="53"/>
      <c r="M180" s="53">
        <f t="shared" si="123"/>
        <v>1000</v>
      </c>
      <c r="N180" s="53"/>
      <c r="O180" s="53">
        <f t="shared" si="124"/>
        <v>1000</v>
      </c>
      <c r="P180" s="53"/>
      <c r="Q180" s="53">
        <f t="shared" si="125"/>
        <v>1000</v>
      </c>
      <c r="R180" s="53"/>
      <c r="S180" s="53">
        <f t="shared" si="126"/>
        <v>1000</v>
      </c>
      <c r="T180" s="53"/>
      <c r="U180" s="53">
        <f t="shared" si="127"/>
        <v>1000</v>
      </c>
      <c r="V180" s="53"/>
      <c r="W180" s="53">
        <f t="shared" si="128"/>
        <v>1000</v>
      </c>
      <c r="X180" s="53"/>
      <c r="Y180" s="53">
        <f t="shared" si="129"/>
        <v>1000</v>
      </c>
      <c r="Z180" s="53"/>
      <c r="AA180" s="53">
        <f t="shared" si="98"/>
        <v>1000</v>
      </c>
      <c r="AB180" s="53"/>
      <c r="AC180" s="53">
        <f t="shared" si="99"/>
        <v>1000</v>
      </c>
      <c r="AD180" s="53"/>
      <c r="AE180" s="53">
        <f t="shared" si="100"/>
        <v>1000</v>
      </c>
      <c r="AF180" s="53"/>
      <c r="AG180" s="53">
        <f t="shared" si="130"/>
        <v>1000</v>
      </c>
      <c r="AH180" s="53"/>
      <c r="AI180" s="53">
        <f t="shared" si="115"/>
        <v>1000</v>
      </c>
      <c r="AJ180" s="53"/>
      <c r="AK180" s="53">
        <f t="shared" si="116"/>
        <v>1000</v>
      </c>
      <c r="AL180" s="75"/>
      <c r="AM180" s="75"/>
    </row>
    <row r="181" spans="1:39" s="15" customFormat="1" ht="21" customHeight="1">
      <c r="A181" s="59"/>
      <c r="B181" s="55"/>
      <c r="C181" s="41">
        <v>4410</v>
      </c>
      <c r="D181" s="27" t="s">
        <v>80</v>
      </c>
      <c r="E181" s="53">
        <v>700</v>
      </c>
      <c r="F181" s="53"/>
      <c r="G181" s="53">
        <f t="shared" si="120"/>
        <v>700</v>
      </c>
      <c r="H181" s="53"/>
      <c r="I181" s="53">
        <f t="shared" si="121"/>
        <v>700</v>
      </c>
      <c r="J181" s="53"/>
      <c r="K181" s="53">
        <f t="shared" si="122"/>
        <v>700</v>
      </c>
      <c r="L181" s="53"/>
      <c r="M181" s="53">
        <f t="shared" si="123"/>
        <v>700</v>
      </c>
      <c r="N181" s="53"/>
      <c r="O181" s="53">
        <f t="shared" si="124"/>
        <v>700</v>
      </c>
      <c r="P181" s="53"/>
      <c r="Q181" s="53">
        <f t="shared" si="125"/>
        <v>700</v>
      </c>
      <c r="R181" s="53"/>
      <c r="S181" s="53">
        <f t="shared" si="126"/>
        <v>700</v>
      </c>
      <c r="T181" s="53"/>
      <c r="U181" s="53">
        <f t="shared" si="127"/>
        <v>700</v>
      </c>
      <c r="V181" s="53"/>
      <c r="W181" s="53">
        <f t="shared" si="128"/>
        <v>700</v>
      </c>
      <c r="X181" s="53"/>
      <c r="Y181" s="53">
        <f t="shared" si="129"/>
        <v>700</v>
      </c>
      <c r="Z181" s="53"/>
      <c r="AA181" s="53">
        <f t="shared" si="98"/>
        <v>700</v>
      </c>
      <c r="AB181" s="53"/>
      <c r="AC181" s="53">
        <f t="shared" si="99"/>
        <v>700</v>
      </c>
      <c r="AD181" s="53"/>
      <c r="AE181" s="53">
        <f t="shared" si="100"/>
        <v>700</v>
      </c>
      <c r="AF181" s="53"/>
      <c r="AG181" s="53">
        <f t="shared" si="130"/>
        <v>700</v>
      </c>
      <c r="AH181" s="53"/>
      <c r="AI181" s="53">
        <f t="shared" si="115"/>
        <v>700</v>
      </c>
      <c r="AJ181" s="53"/>
      <c r="AK181" s="53">
        <f t="shared" si="116"/>
        <v>700</v>
      </c>
      <c r="AL181" s="75"/>
      <c r="AM181" s="75"/>
    </row>
    <row r="182" spans="1:39" s="15" customFormat="1" ht="21" customHeight="1">
      <c r="A182" s="59"/>
      <c r="B182" s="55"/>
      <c r="C182" s="43">
        <v>4430</v>
      </c>
      <c r="D182" s="27" t="s">
        <v>84</v>
      </c>
      <c r="E182" s="53">
        <v>3500</v>
      </c>
      <c r="F182" s="53"/>
      <c r="G182" s="53">
        <f t="shared" si="120"/>
        <v>3500</v>
      </c>
      <c r="H182" s="53"/>
      <c r="I182" s="53">
        <f t="shared" si="121"/>
        <v>3500</v>
      </c>
      <c r="J182" s="53">
        <v>-200</v>
      </c>
      <c r="K182" s="53">
        <f t="shared" si="122"/>
        <v>3300</v>
      </c>
      <c r="L182" s="53"/>
      <c r="M182" s="53">
        <f t="shared" si="123"/>
        <v>3300</v>
      </c>
      <c r="N182" s="53"/>
      <c r="O182" s="53">
        <f t="shared" si="124"/>
        <v>3300</v>
      </c>
      <c r="P182" s="53"/>
      <c r="Q182" s="53">
        <f t="shared" si="125"/>
        <v>3300</v>
      </c>
      <c r="R182" s="53"/>
      <c r="S182" s="53">
        <f t="shared" si="126"/>
        <v>3300</v>
      </c>
      <c r="T182" s="53"/>
      <c r="U182" s="53">
        <f t="shared" si="127"/>
        <v>3300</v>
      </c>
      <c r="V182" s="53"/>
      <c r="W182" s="53">
        <f t="shared" si="128"/>
        <v>3300</v>
      </c>
      <c r="X182" s="53"/>
      <c r="Y182" s="53">
        <f t="shared" si="129"/>
        <v>3300</v>
      </c>
      <c r="Z182" s="53"/>
      <c r="AA182" s="53">
        <f t="shared" si="98"/>
        <v>3300</v>
      </c>
      <c r="AB182" s="53"/>
      <c r="AC182" s="53">
        <f t="shared" si="99"/>
        <v>3300</v>
      </c>
      <c r="AD182" s="53"/>
      <c r="AE182" s="53">
        <f t="shared" si="100"/>
        <v>3300</v>
      </c>
      <c r="AF182" s="53"/>
      <c r="AG182" s="53">
        <f t="shared" si="130"/>
        <v>3300</v>
      </c>
      <c r="AH182" s="53"/>
      <c r="AI182" s="53">
        <f t="shared" si="115"/>
        <v>3300</v>
      </c>
      <c r="AJ182" s="53"/>
      <c r="AK182" s="53">
        <f t="shared" si="116"/>
        <v>3300</v>
      </c>
      <c r="AL182" s="75"/>
      <c r="AM182" s="75"/>
    </row>
    <row r="183" spans="1:39" s="15" customFormat="1" ht="21" customHeight="1">
      <c r="A183" s="59"/>
      <c r="B183" s="55"/>
      <c r="C183" s="43">
        <v>4440</v>
      </c>
      <c r="D183" s="27" t="s">
        <v>78</v>
      </c>
      <c r="E183" s="53">
        <v>4950</v>
      </c>
      <c r="F183" s="53"/>
      <c r="G183" s="53">
        <f t="shared" si="120"/>
        <v>4950</v>
      </c>
      <c r="H183" s="53"/>
      <c r="I183" s="53">
        <f t="shared" si="121"/>
        <v>4950</v>
      </c>
      <c r="J183" s="53"/>
      <c r="K183" s="53">
        <f t="shared" si="122"/>
        <v>4950</v>
      </c>
      <c r="L183" s="53"/>
      <c r="M183" s="53">
        <f t="shared" si="123"/>
        <v>4950</v>
      </c>
      <c r="N183" s="53"/>
      <c r="O183" s="53">
        <f t="shared" si="124"/>
        <v>4950</v>
      </c>
      <c r="P183" s="53"/>
      <c r="Q183" s="53">
        <f t="shared" si="125"/>
        <v>4950</v>
      </c>
      <c r="R183" s="53"/>
      <c r="S183" s="53">
        <f t="shared" si="126"/>
        <v>4950</v>
      </c>
      <c r="T183" s="53"/>
      <c r="U183" s="53">
        <f t="shared" si="127"/>
        <v>4950</v>
      </c>
      <c r="V183" s="53"/>
      <c r="W183" s="53">
        <f t="shared" si="128"/>
        <v>4950</v>
      </c>
      <c r="X183" s="53"/>
      <c r="Y183" s="53">
        <f t="shared" si="129"/>
        <v>4950</v>
      </c>
      <c r="Z183" s="53"/>
      <c r="AA183" s="53">
        <f t="shared" si="98"/>
        <v>4950</v>
      </c>
      <c r="AB183" s="53"/>
      <c r="AC183" s="53">
        <f t="shared" si="99"/>
        <v>4950</v>
      </c>
      <c r="AD183" s="53"/>
      <c r="AE183" s="53">
        <f t="shared" si="100"/>
        <v>4950</v>
      </c>
      <c r="AF183" s="53"/>
      <c r="AG183" s="53">
        <f t="shared" si="130"/>
        <v>4950</v>
      </c>
      <c r="AH183" s="53"/>
      <c r="AI183" s="53">
        <f t="shared" si="115"/>
        <v>4950</v>
      </c>
      <c r="AJ183" s="53"/>
      <c r="AK183" s="53">
        <f t="shared" si="116"/>
        <v>4950</v>
      </c>
      <c r="AL183" s="75"/>
      <c r="AM183" s="75"/>
    </row>
    <row r="184" spans="1:39" s="15" customFormat="1" ht="21" customHeight="1">
      <c r="A184" s="59"/>
      <c r="B184" s="55"/>
      <c r="C184" s="43">
        <v>4510</v>
      </c>
      <c r="D184" s="27" t="s">
        <v>140</v>
      </c>
      <c r="E184" s="53"/>
      <c r="F184" s="53"/>
      <c r="G184" s="53"/>
      <c r="H184" s="53"/>
      <c r="I184" s="53">
        <v>0</v>
      </c>
      <c r="J184" s="53">
        <v>200</v>
      </c>
      <c r="K184" s="53">
        <f t="shared" si="122"/>
        <v>200</v>
      </c>
      <c r="L184" s="53"/>
      <c r="M184" s="53">
        <f t="shared" si="123"/>
        <v>200</v>
      </c>
      <c r="N184" s="53"/>
      <c r="O184" s="53">
        <f t="shared" si="124"/>
        <v>200</v>
      </c>
      <c r="P184" s="53"/>
      <c r="Q184" s="53">
        <f t="shared" si="125"/>
        <v>200</v>
      </c>
      <c r="R184" s="53"/>
      <c r="S184" s="53">
        <f t="shared" si="126"/>
        <v>200</v>
      </c>
      <c r="T184" s="53"/>
      <c r="U184" s="53">
        <f t="shared" si="127"/>
        <v>200</v>
      </c>
      <c r="V184" s="53"/>
      <c r="W184" s="53">
        <f t="shared" si="128"/>
        <v>200</v>
      </c>
      <c r="X184" s="53"/>
      <c r="Y184" s="53">
        <f t="shared" si="129"/>
        <v>200</v>
      </c>
      <c r="Z184" s="53"/>
      <c r="AA184" s="53">
        <f t="shared" si="98"/>
        <v>200</v>
      </c>
      <c r="AB184" s="53"/>
      <c r="AC184" s="53">
        <f t="shared" si="99"/>
        <v>200</v>
      </c>
      <c r="AD184" s="53"/>
      <c r="AE184" s="53">
        <f t="shared" si="100"/>
        <v>200</v>
      </c>
      <c r="AF184" s="53"/>
      <c r="AG184" s="53">
        <f t="shared" si="130"/>
        <v>200</v>
      </c>
      <c r="AH184" s="53"/>
      <c r="AI184" s="53">
        <f t="shared" si="115"/>
        <v>200</v>
      </c>
      <c r="AJ184" s="53"/>
      <c r="AK184" s="53">
        <f t="shared" si="116"/>
        <v>200</v>
      </c>
      <c r="AL184" s="75"/>
      <c r="AM184" s="75"/>
    </row>
    <row r="185" spans="1:39" s="15" customFormat="1" ht="21" customHeight="1">
      <c r="A185" s="59"/>
      <c r="B185" s="55"/>
      <c r="C185" s="43">
        <v>4580</v>
      </c>
      <c r="D185" s="27" t="s">
        <v>20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>
        <v>0</v>
      </c>
      <c r="AB185" s="53">
        <v>40</v>
      </c>
      <c r="AC185" s="53">
        <f t="shared" si="99"/>
        <v>40</v>
      </c>
      <c r="AD185" s="53"/>
      <c r="AE185" s="53">
        <f t="shared" si="100"/>
        <v>40</v>
      </c>
      <c r="AF185" s="53"/>
      <c r="AG185" s="53">
        <f t="shared" si="130"/>
        <v>40</v>
      </c>
      <c r="AH185" s="53"/>
      <c r="AI185" s="53">
        <f t="shared" si="115"/>
        <v>40</v>
      </c>
      <c r="AJ185" s="53"/>
      <c r="AK185" s="53">
        <f t="shared" si="116"/>
        <v>40</v>
      </c>
      <c r="AL185" s="75"/>
      <c r="AM185" s="75"/>
    </row>
    <row r="186" spans="1:39" s="15" customFormat="1" ht="24">
      <c r="A186" s="59"/>
      <c r="B186" s="55"/>
      <c r="C186" s="43">
        <v>4700</v>
      </c>
      <c r="D186" s="27" t="s">
        <v>233</v>
      </c>
      <c r="E186" s="53">
        <v>10000</v>
      </c>
      <c r="F186" s="53"/>
      <c r="G186" s="53">
        <f>SUM(E186:F186)</f>
        <v>10000</v>
      </c>
      <c r="H186" s="53"/>
      <c r="I186" s="53">
        <f>SUM(G186:H186)</f>
        <v>10000</v>
      </c>
      <c r="J186" s="53"/>
      <c r="K186" s="53">
        <f t="shared" si="122"/>
        <v>10000</v>
      </c>
      <c r="L186" s="53"/>
      <c r="M186" s="53">
        <f t="shared" si="123"/>
        <v>10000</v>
      </c>
      <c r="N186" s="53"/>
      <c r="O186" s="53">
        <f t="shared" si="124"/>
        <v>10000</v>
      </c>
      <c r="P186" s="53"/>
      <c r="Q186" s="53">
        <f t="shared" si="125"/>
        <v>10000</v>
      </c>
      <c r="R186" s="53"/>
      <c r="S186" s="53">
        <f t="shared" si="126"/>
        <v>10000</v>
      </c>
      <c r="T186" s="53"/>
      <c r="U186" s="53">
        <f t="shared" si="127"/>
        <v>10000</v>
      </c>
      <c r="V186" s="53"/>
      <c r="W186" s="53">
        <f t="shared" si="128"/>
        <v>10000</v>
      </c>
      <c r="X186" s="53"/>
      <c r="Y186" s="53">
        <f t="shared" si="129"/>
        <v>10000</v>
      </c>
      <c r="Z186" s="53"/>
      <c r="AA186" s="53">
        <f t="shared" si="98"/>
        <v>10000</v>
      </c>
      <c r="AB186" s="53"/>
      <c r="AC186" s="53">
        <f t="shared" si="99"/>
        <v>10000</v>
      </c>
      <c r="AD186" s="53"/>
      <c r="AE186" s="53">
        <f t="shared" si="100"/>
        <v>10000</v>
      </c>
      <c r="AF186" s="53"/>
      <c r="AG186" s="53">
        <f t="shared" si="130"/>
        <v>10000</v>
      </c>
      <c r="AH186" s="53">
        <v>-3000</v>
      </c>
      <c r="AI186" s="53">
        <f t="shared" si="115"/>
        <v>7000</v>
      </c>
      <c r="AJ186" s="53"/>
      <c r="AK186" s="53">
        <f aca="true" t="shared" si="131" ref="AK186:AK217">SUM(AI186:AJ186)</f>
        <v>7000</v>
      </c>
      <c r="AL186" s="75"/>
      <c r="AM186" s="75"/>
    </row>
    <row r="187" spans="1:41" s="15" customFormat="1" ht="21" customHeight="1">
      <c r="A187" s="59"/>
      <c r="B187" s="55"/>
      <c r="C187" s="43">
        <v>6060</v>
      </c>
      <c r="D187" s="27" t="s">
        <v>86</v>
      </c>
      <c r="E187" s="53">
        <v>35000</v>
      </c>
      <c r="F187" s="53"/>
      <c r="G187" s="53">
        <f>SUM(E187:F187)</f>
        <v>35000</v>
      </c>
      <c r="H187" s="53"/>
      <c r="I187" s="53">
        <f>SUM(G187:H187)</f>
        <v>35000</v>
      </c>
      <c r="J187" s="53"/>
      <c r="K187" s="53">
        <f t="shared" si="122"/>
        <v>35000</v>
      </c>
      <c r="L187" s="53"/>
      <c r="M187" s="53">
        <f t="shared" si="123"/>
        <v>35000</v>
      </c>
      <c r="N187" s="53"/>
      <c r="O187" s="53">
        <f t="shared" si="124"/>
        <v>35000</v>
      </c>
      <c r="P187" s="53"/>
      <c r="Q187" s="53">
        <f t="shared" si="125"/>
        <v>35000</v>
      </c>
      <c r="R187" s="53"/>
      <c r="S187" s="53">
        <f t="shared" si="126"/>
        <v>35000</v>
      </c>
      <c r="T187" s="53"/>
      <c r="U187" s="53">
        <f t="shared" si="127"/>
        <v>35000</v>
      </c>
      <c r="V187" s="53"/>
      <c r="W187" s="53">
        <f t="shared" si="128"/>
        <v>35000</v>
      </c>
      <c r="X187" s="53"/>
      <c r="Y187" s="53">
        <f t="shared" si="129"/>
        <v>35000</v>
      </c>
      <c r="Z187" s="53"/>
      <c r="AA187" s="53">
        <f t="shared" si="98"/>
        <v>35000</v>
      </c>
      <c r="AB187" s="53"/>
      <c r="AC187" s="53">
        <f t="shared" si="99"/>
        <v>35000</v>
      </c>
      <c r="AD187" s="53"/>
      <c r="AE187" s="53">
        <f t="shared" si="100"/>
        <v>35000</v>
      </c>
      <c r="AF187" s="53"/>
      <c r="AG187" s="53">
        <f t="shared" si="130"/>
        <v>35000</v>
      </c>
      <c r="AH187" s="53">
        <v>5000</v>
      </c>
      <c r="AI187" s="53">
        <f aca="true" t="shared" si="132" ref="AI187:AI219">SUM(AG187:AH187)</f>
        <v>40000</v>
      </c>
      <c r="AJ187" s="53"/>
      <c r="AK187" s="53">
        <f t="shared" si="131"/>
        <v>40000</v>
      </c>
      <c r="AL187" s="75"/>
      <c r="AM187" s="75"/>
      <c r="AN187" s="75"/>
      <c r="AO187" s="75"/>
    </row>
    <row r="188" spans="1:39" s="15" customFormat="1" ht="21.75" customHeight="1">
      <c r="A188" s="59"/>
      <c r="B188" s="55" t="s">
        <v>94</v>
      </c>
      <c r="C188" s="59"/>
      <c r="D188" s="27" t="s">
        <v>16</v>
      </c>
      <c r="E188" s="53">
        <f aca="true" t="shared" si="133" ref="E188:Z188">SUM(E189:E190)</f>
        <v>5000</v>
      </c>
      <c r="F188" s="53">
        <f t="shared" si="133"/>
        <v>40000</v>
      </c>
      <c r="G188" s="53">
        <f t="shared" si="133"/>
        <v>45000</v>
      </c>
      <c r="H188" s="53">
        <f t="shared" si="133"/>
        <v>0</v>
      </c>
      <c r="I188" s="53">
        <f t="shared" si="133"/>
        <v>45000</v>
      </c>
      <c r="J188" s="53">
        <f t="shared" si="133"/>
        <v>0</v>
      </c>
      <c r="K188" s="53">
        <f t="shared" si="133"/>
        <v>45000</v>
      </c>
      <c r="L188" s="53">
        <f t="shared" si="133"/>
        <v>0</v>
      </c>
      <c r="M188" s="53">
        <f t="shared" si="133"/>
        <v>45000</v>
      </c>
      <c r="N188" s="53">
        <f t="shared" si="133"/>
        <v>0</v>
      </c>
      <c r="O188" s="53">
        <f t="shared" si="133"/>
        <v>45000</v>
      </c>
      <c r="P188" s="53">
        <f t="shared" si="133"/>
        <v>0</v>
      </c>
      <c r="Q188" s="53">
        <f t="shared" si="133"/>
        <v>45000</v>
      </c>
      <c r="R188" s="53">
        <f t="shared" si="133"/>
        <v>62000</v>
      </c>
      <c r="S188" s="53">
        <f t="shared" si="133"/>
        <v>107000</v>
      </c>
      <c r="T188" s="53">
        <f t="shared" si="133"/>
        <v>0</v>
      </c>
      <c r="U188" s="53">
        <f t="shared" si="133"/>
        <v>107000</v>
      </c>
      <c r="V188" s="53">
        <f t="shared" si="133"/>
        <v>0</v>
      </c>
      <c r="W188" s="53">
        <f t="shared" si="133"/>
        <v>107000</v>
      </c>
      <c r="X188" s="53">
        <f t="shared" si="133"/>
        <v>46752</v>
      </c>
      <c r="Y188" s="53">
        <f t="shared" si="133"/>
        <v>153752</v>
      </c>
      <c r="Z188" s="53">
        <f t="shared" si="133"/>
        <v>0</v>
      </c>
      <c r="AA188" s="53">
        <f t="shared" si="98"/>
        <v>153752</v>
      </c>
      <c r="AB188" s="53">
        <f>SUM(AB189:AB190)</f>
        <v>0</v>
      </c>
      <c r="AC188" s="53">
        <f t="shared" si="99"/>
        <v>153752</v>
      </c>
      <c r="AD188" s="53">
        <f>SUM(AD189:AD190)</f>
        <v>0</v>
      </c>
      <c r="AE188" s="53">
        <f t="shared" si="100"/>
        <v>153752</v>
      </c>
      <c r="AF188" s="53">
        <f>SUM(AF189:AF190)</f>
        <v>0</v>
      </c>
      <c r="AG188" s="53">
        <f t="shared" si="130"/>
        <v>153752</v>
      </c>
      <c r="AH188" s="53">
        <f>SUM(AH189:AH190)</f>
        <v>0</v>
      </c>
      <c r="AI188" s="53">
        <f t="shared" si="132"/>
        <v>153752</v>
      </c>
      <c r="AJ188" s="53">
        <f>SUM(AJ189:AJ190)</f>
        <v>0</v>
      </c>
      <c r="AK188" s="53">
        <f t="shared" si="131"/>
        <v>153752</v>
      </c>
      <c r="AL188" s="75"/>
      <c r="AM188" s="75"/>
    </row>
    <row r="189" spans="1:39" s="15" customFormat="1" ht="21" customHeight="1">
      <c r="A189" s="59"/>
      <c r="B189" s="55"/>
      <c r="C189" s="43">
        <v>4430</v>
      </c>
      <c r="D189" s="27" t="s">
        <v>84</v>
      </c>
      <c r="E189" s="53">
        <v>5000</v>
      </c>
      <c r="F189" s="53"/>
      <c r="G189" s="53">
        <f>SUM(E189:F189)</f>
        <v>5000</v>
      </c>
      <c r="H189" s="53"/>
      <c r="I189" s="53">
        <f>SUM(G189:H189)</f>
        <v>5000</v>
      </c>
      <c r="J189" s="53"/>
      <c r="K189" s="53">
        <f>SUM(I189:J189)</f>
        <v>5000</v>
      </c>
      <c r="L189" s="53"/>
      <c r="M189" s="53">
        <f>SUM(K189:L189)</f>
        <v>5000</v>
      </c>
      <c r="N189" s="53"/>
      <c r="O189" s="53">
        <f>SUM(M189:N189)</f>
        <v>5000</v>
      </c>
      <c r="P189" s="53"/>
      <c r="Q189" s="53">
        <f>SUM(O189:P189)</f>
        <v>5000</v>
      </c>
      <c r="R189" s="53"/>
      <c r="S189" s="53">
        <f>SUM(Q189:R189)</f>
        <v>5000</v>
      </c>
      <c r="T189" s="53"/>
      <c r="U189" s="53">
        <f>SUM(S189:T189)</f>
        <v>5000</v>
      </c>
      <c r="V189" s="53"/>
      <c r="W189" s="53">
        <f>SUM(U189:V189)</f>
        <v>5000</v>
      </c>
      <c r="X189" s="53"/>
      <c r="Y189" s="53">
        <f>SUM(W189:X189)</f>
        <v>5000</v>
      </c>
      <c r="Z189" s="53"/>
      <c r="AA189" s="53">
        <f t="shared" si="98"/>
        <v>5000</v>
      </c>
      <c r="AB189" s="53"/>
      <c r="AC189" s="53">
        <f t="shared" si="99"/>
        <v>5000</v>
      </c>
      <c r="AD189" s="53"/>
      <c r="AE189" s="53">
        <f t="shared" si="100"/>
        <v>5000</v>
      </c>
      <c r="AF189" s="53"/>
      <c r="AG189" s="53">
        <f t="shared" si="130"/>
        <v>5000</v>
      </c>
      <c r="AH189" s="53"/>
      <c r="AI189" s="53">
        <f t="shared" si="132"/>
        <v>5000</v>
      </c>
      <c r="AJ189" s="53"/>
      <c r="AK189" s="53">
        <f t="shared" si="131"/>
        <v>5000</v>
      </c>
      <c r="AL189" s="75"/>
      <c r="AM189" s="75"/>
    </row>
    <row r="190" spans="1:41" s="15" customFormat="1" ht="21" customHeight="1">
      <c r="A190" s="59"/>
      <c r="B190" s="55"/>
      <c r="C190" s="43">
        <v>6050</v>
      </c>
      <c r="D190" s="27" t="s">
        <v>63</v>
      </c>
      <c r="E190" s="53">
        <v>0</v>
      </c>
      <c r="F190" s="53">
        <v>40000</v>
      </c>
      <c r="G190" s="53">
        <f>SUM(E190:F190)</f>
        <v>40000</v>
      </c>
      <c r="H190" s="53"/>
      <c r="I190" s="53">
        <f>SUM(G190:H190)</f>
        <v>40000</v>
      </c>
      <c r="J190" s="53"/>
      <c r="K190" s="53">
        <f>SUM(I190:J190)</f>
        <v>40000</v>
      </c>
      <c r="L190" s="53"/>
      <c r="M190" s="53">
        <f>SUM(K190:L190)</f>
        <v>40000</v>
      </c>
      <c r="N190" s="53"/>
      <c r="O190" s="53">
        <f>SUM(M190:N190)</f>
        <v>40000</v>
      </c>
      <c r="P190" s="53"/>
      <c r="Q190" s="53">
        <f>SUM(O190:P190)</f>
        <v>40000</v>
      </c>
      <c r="R190" s="53">
        <v>62000</v>
      </c>
      <c r="S190" s="53">
        <f>SUM(Q190:R190)</f>
        <v>102000</v>
      </c>
      <c r="T190" s="53"/>
      <c r="U190" s="53">
        <f>SUM(S190:T190)</f>
        <v>102000</v>
      </c>
      <c r="V190" s="53"/>
      <c r="W190" s="53">
        <f>SUM(U190:V190)</f>
        <v>102000</v>
      </c>
      <c r="X190" s="53">
        <f>26752+20000</f>
        <v>46752</v>
      </c>
      <c r="Y190" s="53">
        <f>SUM(W190:X190)</f>
        <v>148752</v>
      </c>
      <c r="Z190" s="53"/>
      <c r="AA190" s="53">
        <f t="shared" si="98"/>
        <v>148752</v>
      </c>
      <c r="AB190" s="53"/>
      <c r="AC190" s="53">
        <f t="shared" si="99"/>
        <v>148752</v>
      </c>
      <c r="AD190" s="53"/>
      <c r="AE190" s="53">
        <f t="shared" si="100"/>
        <v>148752</v>
      </c>
      <c r="AF190" s="53"/>
      <c r="AG190" s="53">
        <f t="shared" si="130"/>
        <v>148752</v>
      </c>
      <c r="AH190" s="53"/>
      <c r="AI190" s="53">
        <f t="shared" si="132"/>
        <v>148752</v>
      </c>
      <c r="AJ190" s="53"/>
      <c r="AK190" s="53">
        <f t="shared" si="131"/>
        <v>148752</v>
      </c>
      <c r="AL190" s="75"/>
      <c r="AM190" s="75"/>
      <c r="AN190" s="75"/>
      <c r="AO190" s="75"/>
    </row>
    <row r="191" spans="1:39" s="29" customFormat="1" ht="60">
      <c r="A191" s="24">
        <v>756</v>
      </c>
      <c r="B191" s="38"/>
      <c r="C191" s="37"/>
      <c r="D191" s="25" t="s">
        <v>244</v>
      </c>
      <c r="E191" s="26">
        <f aca="true" t="shared" si="134" ref="E191:AJ191">SUM(E192)</f>
        <v>86000</v>
      </c>
      <c r="F191" s="26">
        <f t="shared" si="134"/>
        <v>3900</v>
      </c>
      <c r="G191" s="26">
        <f t="shared" si="134"/>
        <v>89900</v>
      </c>
      <c r="H191" s="26">
        <f t="shared" si="134"/>
        <v>0</v>
      </c>
      <c r="I191" s="26">
        <f t="shared" si="134"/>
        <v>89900</v>
      </c>
      <c r="J191" s="26">
        <f t="shared" si="134"/>
        <v>0</v>
      </c>
      <c r="K191" s="26">
        <f t="shared" si="134"/>
        <v>89900</v>
      </c>
      <c r="L191" s="26">
        <f t="shared" si="134"/>
        <v>0</v>
      </c>
      <c r="M191" s="26">
        <f t="shared" si="134"/>
        <v>89900</v>
      </c>
      <c r="N191" s="26">
        <f t="shared" si="134"/>
        <v>4519</v>
      </c>
      <c r="O191" s="26">
        <f t="shared" si="134"/>
        <v>94419</v>
      </c>
      <c r="P191" s="26">
        <f t="shared" si="134"/>
        <v>0</v>
      </c>
      <c r="Q191" s="26">
        <f t="shared" si="134"/>
        <v>94419</v>
      </c>
      <c r="R191" s="26">
        <f t="shared" si="134"/>
        <v>0</v>
      </c>
      <c r="S191" s="26">
        <f t="shared" si="134"/>
        <v>94419</v>
      </c>
      <c r="T191" s="26">
        <f t="shared" si="134"/>
        <v>0</v>
      </c>
      <c r="U191" s="26">
        <f t="shared" si="134"/>
        <v>94419</v>
      </c>
      <c r="V191" s="26">
        <f t="shared" si="134"/>
        <v>0</v>
      </c>
      <c r="W191" s="26">
        <f t="shared" si="134"/>
        <v>94419</v>
      </c>
      <c r="X191" s="26">
        <f t="shared" si="134"/>
        <v>0</v>
      </c>
      <c r="Y191" s="26">
        <f t="shared" si="134"/>
        <v>94419</v>
      </c>
      <c r="Z191" s="26">
        <f t="shared" si="134"/>
        <v>0</v>
      </c>
      <c r="AA191" s="26">
        <f t="shared" si="98"/>
        <v>94419</v>
      </c>
      <c r="AB191" s="26">
        <f t="shared" si="134"/>
        <v>0</v>
      </c>
      <c r="AC191" s="26">
        <f t="shared" si="99"/>
        <v>94419</v>
      </c>
      <c r="AD191" s="26">
        <f t="shared" si="134"/>
        <v>2753</v>
      </c>
      <c r="AE191" s="26">
        <f t="shared" si="100"/>
        <v>97172</v>
      </c>
      <c r="AF191" s="26">
        <f t="shared" si="134"/>
        <v>0</v>
      </c>
      <c r="AG191" s="26">
        <f t="shared" si="130"/>
        <v>97172</v>
      </c>
      <c r="AH191" s="26">
        <f t="shared" si="134"/>
        <v>0</v>
      </c>
      <c r="AI191" s="26">
        <f t="shared" si="132"/>
        <v>97172</v>
      </c>
      <c r="AJ191" s="26">
        <f t="shared" si="134"/>
        <v>0</v>
      </c>
      <c r="AK191" s="26">
        <f t="shared" si="131"/>
        <v>97172</v>
      </c>
      <c r="AL191" s="28"/>
      <c r="AM191" s="28"/>
    </row>
    <row r="192" spans="1:39" s="15" customFormat="1" ht="24">
      <c r="A192" s="59"/>
      <c r="B192" s="55">
        <v>75647</v>
      </c>
      <c r="C192" s="43"/>
      <c r="D192" s="27" t="s">
        <v>153</v>
      </c>
      <c r="E192" s="53">
        <f aca="true" t="shared" si="135" ref="E192:Z192">SUM(E193:E200)</f>
        <v>86000</v>
      </c>
      <c r="F192" s="53">
        <f t="shared" si="135"/>
        <v>3900</v>
      </c>
      <c r="G192" s="53">
        <f t="shared" si="135"/>
        <v>89900</v>
      </c>
      <c r="H192" s="53">
        <f t="shared" si="135"/>
        <v>0</v>
      </c>
      <c r="I192" s="53">
        <f t="shared" si="135"/>
        <v>89900</v>
      </c>
      <c r="J192" s="53">
        <f t="shared" si="135"/>
        <v>0</v>
      </c>
      <c r="K192" s="53">
        <f t="shared" si="135"/>
        <v>89900</v>
      </c>
      <c r="L192" s="53">
        <f t="shared" si="135"/>
        <v>0</v>
      </c>
      <c r="M192" s="53">
        <f t="shared" si="135"/>
        <v>89900</v>
      </c>
      <c r="N192" s="53">
        <f t="shared" si="135"/>
        <v>4519</v>
      </c>
      <c r="O192" s="53">
        <f t="shared" si="135"/>
        <v>94419</v>
      </c>
      <c r="P192" s="53">
        <f t="shared" si="135"/>
        <v>0</v>
      </c>
      <c r="Q192" s="53">
        <f t="shared" si="135"/>
        <v>94419</v>
      </c>
      <c r="R192" s="53">
        <f t="shared" si="135"/>
        <v>0</v>
      </c>
      <c r="S192" s="53">
        <f t="shared" si="135"/>
        <v>94419</v>
      </c>
      <c r="T192" s="53">
        <f t="shared" si="135"/>
        <v>0</v>
      </c>
      <c r="U192" s="53">
        <f t="shared" si="135"/>
        <v>94419</v>
      </c>
      <c r="V192" s="53">
        <f t="shared" si="135"/>
        <v>0</v>
      </c>
      <c r="W192" s="53">
        <f t="shared" si="135"/>
        <v>94419</v>
      </c>
      <c r="X192" s="53">
        <f t="shared" si="135"/>
        <v>0</v>
      </c>
      <c r="Y192" s="53">
        <f t="shared" si="135"/>
        <v>94419</v>
      </c>
      <c r="Z192" s="53">
        <f t="shared" si="135"/>
        <v>0</v>
      </c>
      <c r="AA192" s="53">
        <f t="shared" si="98"/>
        <v>94419</v>
      </c>
      <c r="AB192" s="53">
        <f>SUM(AB193:AB200)</f>
        <v>0</v>
      </c>
      <c r="AC192" s="53">
        <f t="shared" si="99"/>
        <v>94419</v>
      </c>
      <c r="AD192" s="53">
        <f>SUM(AD193:AD200)</f>
        <v>2753</v>
      </c>
      <c r="AE192" s="53">
        <f t="shared" si="100"/>
        <v>97172</v>
      </c>
      <c r="AF192" s="53">
        <f>SUM(AF193:AF200)</f>
        <v>0</v>
      </c>
      <c r="AG192" s="53">
        <f t="shared" si="130"/>
        <v>97172</v>
      </c>
      <c r="AH192" s="53">
        <f>SUM(AH193:AH200)</f>
        <v>0</v>
      </c>
      <c r="AI192" s="53">
        <f t="shared" si="132"/>
        <v>97172</v>
      </c>
      <c r="AJ192" s="53">
        <f>SUM(AJ193:AJ200)</f>
        <v>0</v>
      </c>
      <c r="AK192" s="53">
        <f t="shared" si="131"/>
        <v>97172</v>
      </c>
      <c r="AL192" s="75"/>
      <c r="AM192" s="75"/>
    </row>
    <row r="193" spans="1:39" s="15" customFormat="1" ht="24.75" customHeight="1">
      <c r="A193" s="59"/>
      <c r="B193" s="55"/>
      <c r="C193" s="43">
        <v>4100</v>
      </c>
      <c r="D193" s="27" t="s">
        <v>87</v>
      </c>
      <c r="E193" s="53">
        <v>40000</v>
      </c>
      <c r="F193" s="53"/>
      <c r="G193" s="53">
        <f>SUM(E193:F193)</f>
        <v>40000</v>
      </c>
      <c r="H193" s="53"/>
      <c r="I193" s="53">
        <f>SUM(G193:H193)</f>
        <v>40000</v>
      </c>
      <c r="J193" s="53"/>
      <c r="K193" s="53">
        <f>SUM(I193:J193)</f>
        <v>40000</v>
      </c>
      <c r="L193" s="53"/>
      <c r="M193" s="53">
        <f>SUM(K193:L193)</f>
        <v>40000</v>
      </c>
      <c r="N193" s="53"/>
      <c r="O193" s="53">
        <f aca="true" t="shared" si="136" ref="O193:O200">SUM(M193:N193)</f>
        <v>40000</v>
      </c>
      <c r="P193" s="53"/>
      <c r="Q193" s="53">
        <f aca="true" t="shared" si="137" ref="Q193:Q200">SUM(O193:P193)</f>
        <v>40000</v>
      </c>
      <c r="R193" s="53"/>
      <c r="S193" s="53">
        <f aca="true" t="shared" si="138" ref="S193:S200">SUM(Q193:R193)</f>
        <v>40000</v>
      </c>
      <c r="T193" s="53"/>
      <c r="U193" s="53">
        <f aca="true" t="shared" si="139" ref="U193:U200">SUM(S193:T193)</f>
        <v>40000</v>
      </c>
      <c r="V193" s="53"/>
      <c r="W193" s="53">
        <f aca="true" t="shared" si="140" ref="W193:W200">SUM(U193:V193)</f>
        <v>40000</v>
      </c>
      <c r="X193" s="53"/>
      <c r="Y193" s="53">
        <f aca="true" t="shared" si="141" ref="Y193:Y200">SUM(W193:X193)</f>
        <v>40000</v>
      </c>
      <c r="Z193" s="53"/>
      <c r="AA193" s="53">
        <f t="shared" si="98"/>
        <v>40000</v>
      </c>
      <c r="AB193" s="53"/>
      <c r="AC193" s="53">
        <f t="shared" si="99"/>
        <v>40000</v>
      </c>
      <c r="AD193" s="53">
        <v>-3000</v>
      </c>
      <c r="AE193" s="53">
        <f t="shared" si="100"/>
        <v>37000</v>
      </c>
      <c r="AF193" s="53"/>
      <c r="AG193" s="53">
        <f t="shared" si="130"/>
        <v>37000</v>
      </c>
      <c r="AH193" s="53"/>
      <c r="AI193" s="53">
        <f t="shared" si="132"/>
        <v>37000</v>
      </c>
      <c r="AJ193" s="53"/>
      <c r="AK193" s="53">
        <f t="shared" si="131"/>
        <v>37000</v>
      </c>
      <c r="AL193" s="75"/>
      <c r="AM193" s="75"/>
    </row>
    <row r="194" spans="1:39" s="15" customFormat="1" ht="23.25" customHeight="1">
      <c r="A194" s="59"/>
      <c r="B194" s="55"/>
      <c r="C194" s="43">
        <v>4170</v>
      </c>
      <c r="D194" s="27" t="s">
        <v>162</v>
      </c>
      <c r="E194" s="53">
        <v>5000</v>
      </c>
      <c r="F194" s="53"/>
      <c r="G194" s="53">
        <f>SUM(E194:F194)</f>
        <v>5000</v>
      </c>
      <c r="H194" s="53"/>
      <c r="I194" s="53">
        <f>SUM(G194:H194)</f>
        <v>5000</v>
      </c>
      <c r="J194" s="53"/>
      <c r="K194" s="53">
        <f>SUM(I194:J194)</f>
        <v>5000</v>
      </c>
      <c r="L194" s="53"/>
      <c r="M194" s="53">
        <f>SUM(K194:L194)</f>
        <v>5000</v>
      </c>
      <c r="N194" s="53"/>
      <c r="O194" s="53">
        <f t="shared" si="136"/>
        <v>5000</v>
      </c>
      <c r="P194" s="53"/>
      <c r="Q194" s="53">
        <f t="shared" si="137"/>
        <v>5000</v>
      </c>
      <c r="R194" s="53"/>
      <c r="S194" s="53">
        <f t="shared" si="138"/>
        <v>5000</v>
      </c>
      <c r="T194" s="53"/>
      <c r="U194" s="53">
        <f t="shared" si="139"/>
        <v>5000</v>
      </c>
      <c r="V194" s="53"/>
      <c r="W194" s="53">
        <f t="shared" si="140"/>
        <v>5000</v>
      </c>
      <c r="X194" s="53"/>
      <c r="Y194" s="53">
        <f t="shared" si="141"/>
        <v>5000</v>
      </c>
      <c r="Z194" s="53"/>
      <c r="AA194" s="53">
        <f t="shared" si="98"/>
        <v>5000</v>
      </c>
      <c r="AB194" s="53"/>
      <c r="AC194" s="53">
        <f t="shared" si="99"/>
        <v>5000</v>
      </c>
      <c r="AD194" s="53">
        <v>-2000</v>
      </c>
      <c r="AE194" s="53">
        <f t="shared" si="100"/>
        <v>3000</v>
      </c>
      <c r="AF194" s="53"/>
      <c r="AG194" s="53">
        <f t="shared" si="130"/>
        <v>3000</v>
      </c>
      <c r="AH194" s="53"/>
      <c r="AI194" s="53">
        <f t="shared" si="132"/>
        <v>3000</v>
      </c>
      <c r="AJ194" s="53"/>
      <c r="AK194" s="53">
        <f t="shared" si="131"/>
        <v>3000</v>
      </c>
      <c r="AL194" s="75"/>
      <c r="AM194" s="75"/>
    </row>
    <row r="195" spans="1:39" s="15" customFormat="1" ht="21" customHeight="1">
      <c r="A195" s="59"/>
      <c r="B195" s="55"/>
      <c r="C195" s="43">
        <v>4210</v>
      </c>
      <c r="D195" s="27" t="s">
        <v>62</v>
      </c>
      <c r="E195" s="53">
        <v>2000</v>
      </c>
      <c r="F195" s="53"/>
      <c r="G195" s="53">
        <f>SUM(E195:F195)</f>
        <v>2000</v>
      </c>
      <c r="H195" s="53"/>
      <c r="I195" s="53">
        <f>SUM(G195:H195)</f>
        <v>2000</v>
      </c>
      <c r="J195" s="53"/>
      <c r="K195" s="53">
        <f>SUM(I195:J195)</f>
        <v>2000</v>
      </c>
      <c r="L195" s="53"/>
      <c r="M195" s="53">
        <f>SUM(K195:L195)</f>
        <v>2000</v>
      </c>
      <c r="N195" s="53"/>
      <c r="O195" s="53">
        <f t="shared" si="136"/>
        <v>2000</v>
      </c>
      <c r="P195" s="53"/>
      <c r="Q195" s="53">
        <f t="shared" si="137"/>
        <v>2000</v>
      </c>
      <c r="R195" s="53"/>
      <c r="S195" s="53">
        <f t="shared" si="138"/>
        <v>2000</v>
      </c>
      <c r="T195" s="53"/>
      <c r="U195" s="53">
        <f t="shared" si="139"/>
        <v>2000</v>
      </c>
      <c r="V195" s="53"/>
      <c r="W195" s="53">
        <f t="shared" si="140"/>
        <v>2000</v>
      </c>
      <c r="X195" s="53"/>
      <c r="Y195" s="53">
        <f t="shared" si="141"/>
        <v>2000</v>
      </c>
      <c r="Z195" s="53"/>
      <c r="AA195" s="53">
        <f t="shared" si="98"/>
        <v>2000</v>
      </c>
      <c r="AB195" s="53"/>
      <c r="AC195" s="53">
        <f t="shared" si="99"/>
        <v>2000</v>
      </c>
      <c r="AD195" s="53"/>
      <c r="AE195" s="53">
        <f t="shared" si="100"/>
        <v>2000</v>
      </c>
      <c r="AF195" s="53"/>
      <c r="AG195" s="53">
        <f t="shared" si="130"/>
        <v>2000</v>
      </c>
      <c r="AH195" s="53"/>
      <c r="AI195" s="53">
        <f t="shared" si="132"/>
        <v>2000</v>
      </c>
      <c r="AJ195" s="53"/>
      <c r="AK195" s="53">
        <f t="shared" si="131"/>
        <v>2000</v>
      </c>
      <c r="AL195" s="75"/>
      <c r="AM195" s="75"/>
    </row>
    <row r="196" spans="1:39" s="15" customFormat="1" ht="24" customHeight="1">
      <c r="A196" s="59"/>
      <c r="B196" s="55"/>
      <c r="C196" s="43">
        <v>4300</v>
      </c>
      <c r="D196" s="27" t="s">
        <v>69</v>
      </c>
      <c r="E196" s="53">
        <v>20000</v>
      </c>
      <c r="F196" s="53"/>
      <c r="G196" s="53">
        <f>SUM(E196:F196)</f>
        <v>20000</v>
      </c>
      <c r="H196" s="53"/>
      <c r="I196" s="53">
        <f>SUM(G196:H196)</f>
        <v>20000</v>
      </c>
      <c r="J196" s="53"/>
      <c r="K196" s="53">
        <f>SUM(I196:J196)</f>
        <v>20000</v>
      </c>
      <c r="L196" s="53"/>
      <c r="M196" s="53">
        <f>SUM(K196:L196)</f>
        <v>20000</v>
      </c>
      <c r="N196" s="53"/>
      <c r="O196" s="53">
        <f t="shared" si="136"/>
        <v>20000</v>
      </c>
      <c r="P196" s="53"/>
      <c r="Q196" s="53">
        <f t="shared" si="137"/>
        <v>20000</v>
      </c>
      <c r="R196" s="53"/>
      <c r="S196" s="53">
        <f t="shared" si="138"/>
        <v>20000</v>
      </c>
      <c r="T196" s="53"/>
      <c r="U196" s="53">
        <f t="shared" si="139"/>
        <v>20000</v>
      </c>
      <c r="V196" s="53"/>
      <c r="W196" s="53">
        <f t="shared" si="140"/>
        <v>20000</v>
      </c>
      <c r="X196" s="53"/>
      <c r="Y196" s="53">
        <f t="shared" si="141"/>
        <v>20000</v>
      </c>
      <c r="Z196" s="53"/>
      <c r="AA196" s="53">
        <f t="shared" si="98"/>
        <v>20000</v>
      </c>
      <c r="AB196" s="53"/>
      <c r="AC196" s="53">
        <f t="shared" si="99"/>
        <v>20000</v>
      </c>
      <c r="AD196" s="53"/>
      <c r="AE196" s="53">
        <f t="shared" si="100"/>
        <v>20000</v>
      </c>
      <c r="AF196" s="53"/>
      <c r="AG196" s="53">
        <f t="shared" si="130"/>
        <v>20000</v>
      </c>
      <c r="AH196" s="53"/>
      <c r="AI196" s="53">
        <f t="shared" si="132"/>
        <v>20000</v>
      </c>
      <c r="AJ196" s="53"/>
      <c r="AK196" s="53">
        <f t="shared" si="131"/>
        <v>20000</v>
      </c>
      <c r="AL196" s="75"/>
      <c r="AM196" s="75"/>
    </row>
    <row r="197" spans="1:39" s="15" customFormat="1" ht="21" customHeight="1">
      <c r="A197" s="59"/>
      <c r="B197" s="55"/>
      <c r="C197" s="43">
        <v>4430</v>
      </c>
      <c r="D197" s="27" t="s">
        <v>84</v>
      </c>
      <c r="E197" s="53">
        <v>7000</v>
      </c>
      <c r="F197" s="53">
        <v>3900</v>
      </c>
      <c r="G197" s="53">
        <f>SUM(E197:F197)</f>
        <v>10900</v>
      </c>
      <c r="H197" s="53"/>
      <c r="I197" s="53">
        <f>SUM(G197:H197)</f>
        <v>10900</v>
      </c>
      <c r="J197" s="53"/>
      <c r="K197" s="53">
        <f>SUM(I197:J197)</f>
        <v>10900</v>
      </c>
      <c r="L197" s="53"/>
      <c r="M197" s="53">
        <f>SUM(K197:L197)</f>
        <v>10900</v>
      </c>
      <c r="N197" s="53"/>
      <c r="O197" s="53">
        <f t="shared" si="136"/>
        <v>10900</v>
      </c>
      <c r="P197" s="53"/>
      <c r="Q197" s="53">
        <f t="shared" si="137"/>
        <v>10900</v>
      </c>
      <c r="R197" s="53"/>
      <c r="S197" s="53">
        <f t="shared" si="138"/>
        <v>10900</v>
      </c>
      <c r="T197" s="53"/>
      <c r="U197" s="53">
        <f t="shared" si="139"/>
        <v>10900</v>
      </c>
      <c r="V197" s="53"/>
      <c r="W197" s="53">
        <f t="shared" si="140"/>
        <v>10900</v>
      </c>
      <c r="X197" s="53">
        <v>-8000</v>
      </c>
      <c r="Y197" s="53">
        <f t="shared" si="141"/>
        <v>2900</v>
      </c>
      <c r="Z197" s="53"/>
      <c r="AA197" s="53">
        <f t="shared" si="98"/>
        <v>2900</v>
      </c>
      <c r="AB197" s="53">
        <v>-2000</v>
      </c>
      <c r="AC197" s="53">
        <f t="shared" si="99"/>
        <v>900</v>
      </c>
      <c r="AD197" s="53"/>
      <c r="AE197" s="53">
        <f t="shared" si="100"/>
        <v>900</v>
      </c>
      <c r="AF197" s="53"/>
      <c r="AG197" s="53">
        <f t="shared" si="130"/>
        <v>900</v>
      </c>
      <c r="AH197" s="53"/>
      <c r="AI197" s="53">
        <f t="shared" si="132"/>
        <v>900</v>
      </c>
      <c r="AJ197" s="53"/>
      <c r="AK197" s="53">
        <f t="shared" si="131"/>
        <v>900</v>
      </c>
      <c r="AL197" s="75"/>
      <c r="AM197" s="75"/>
    </row>
    <row r="198" spans="1:39" s="15" customFormat="1" ht="21" customHeight="1">
      <c r="A198" s="59"/>
      <c r="B198" s="55"/>
      <c r="C198" s="43">
        <v>4530</v>
      </c>
      <c r="D198" s="27" t="s">
        <v>276</v>
      </c>
      <c r="E198" s="53"/>
      <c r="F198" s="53"/>
      <c r="G198" s="53"/>
      <c r="H198" s="53"/>
      <c r="I198" s="53"/>
      <c r="J198" s="53"/>
      <c r="K198" s="53"/>
      <c r="L198" s="53"/>
      <c r="M198" s="53">
        <v>0</v>
      </c>
      <c r="N198" s="53">
        <v>4519</v>
      </c>
      <c r="O198" s="53">
        <f t="shared" si="136"/>
        <v>4519</v>
      </c>
      <c r="P198" s="53"/>
      <c r="Q198" s="53">
        <f t="shared" si="137"/>
        <v>4519</v>
      </c>
      <c r="R198" s="53"/>
      <c r="S198" s="53">
        <f t="shared" si="138"/>
        <v>4519</v>
      </c>
      <c r="T198" s="53"/>
      <c r="U198" s="53">
        <f t="shared" si="139"/>
        <v>4519</v>
      </c>
      <c r="V198" s="53"/>
      <c r="W198" s="53">
        <f t="shared" si="140"/>
        <v>4519</v>
      </c>
      <c r="X198" s="53"/>
      <c r="Y198" s="53">
        <f t="shared" si="141"/>
        <v>4519</v>
      </c>
      <c r="Z198" s="53"/>
      <c r="AA198" s="53">
        <f t="shared" si="98"/>
        <v>4519</v>
      </c>
      <c r="AB198" s="53"/>
      <c r="AC198" s="53">
        <f t="shared" si="99"/>
        <v>4519</v>
      </c>
      <c r="AD198" s="53"/>
      <c r="AE198" s="53">
        <f t="shared" si="100"/>
        <v>4519</v>
      </c>
      <c r="AF198" s="53"/>
      <c r="AG198" s="53">
        <f t="shared" si="130"/>
        <v>4519</v>
      </c>
      <c r="AH198" s="53"/>
      <c r="AI198" s="53">
        <f t="shared" si="132"/>
        <v>4519</v>
      </c>
      <c r="AJ198" s="53"/>
      <c r="AK198" s="53">
        <f t="shared" si="131"/>
        <v>4519</v>
      </c>
      <c r="AL198" s="75"/>
      <c r="AM198" s="75"/>
    </row>
    <row r="199" spans="1:39" s="15" customFormat="1" ht="24">
      <c r="A199" s="59"/>
      <c r="B199" s="55"/>
      <c r="C199" s="43">
        <v>4610</v>
      </c>
      <c r="D199" s="27" t="s">
        <v>155</v>
      </c>
      <c r="E199" s="53">
        <v>8000</v>
      </c>
      <c r="F199" s="53"/>
      <c r="G199" s="53">
        <f>SUM(E199:F199)</f>
        <v>8000</v>
      </c>
      <c r="H199" s="53"/>
      <c r="I199" s="53">
        <f>SUM(G199:H199)</f>
        <v>8000</v>
      </c>
      <c r="J199" s="53"/>
      <c r="K199" s="53">
        <f>SUM(I199:J199)</f>
        <v>8000</v>
      </c>
      <c r="L199" s="53"/>
      <c r="M199" s="53">
        <f>SUM(K199:L199)</f>
        <v>8000</v>
      </c>
      <c r="N199" s="53"/>
      <c r="O199" s="53">
        <f t="shared" si="136"/>
        <v>8000</v>
      </c>
      <c r="P199" s="53"/>
      <c r="Q199" s="53">
        <f t="shared" si="137"/>
        <v>8000</v>
      </c>
      <c r="R199" s="53"/>
      <c r="S199" s="53">
        <f t="shared" si="138"/>
        <v>8000</v>
      </c>
      <c r="T199" s="53"/>
      <c r="U199" s="53">
        <f t="shared" si="139"/>
        <v>8000</v>
      </c>
      <c r="V199" s="53"/>
      <c r="W199" s="53">
        <f t="shared" si="140"/>
        <v>8000</v>
      </c>
      <c r="X199" s="53">
        <v>8000</v>
      </c>
      <c r="Y199" s="53">
        <f t="shared" si="141"/>
        <v>16000</v>
      </c>
      <c r="Z199" s="53"/>
      <c r="AA199" s="53">
        <f t="shared" si="98"/>
        <v>16000</v>
      </c>
      <c r="AB199" s="53">
        <v>4000</v>
      </c>
      <c r="AC199" s="53">
        <f t="shared" si="99"/>
        <v>20000</v>
      </c>
      <c r="AD199" s="53">
        <f>5000+2753</f>
        <v>7753</v>
      </c>
      <c r="AE199" s="53">
        <f t="shared" si="100"/>
        <v>27753</v>
      </c>
      <c r="AF199" s="53"/>
      <c r="AG199" s="53">
        <f t="shared" si="130"/>
        <v>27753</v>
      </c>
      <c r="AH199" s="53"/>
      <c r="AI199" s="53">
        <f t="shared" si="132"/>
        <v>27753</v>
      </c>
      <c r="AJ199" s="53"/>
      <c r="AK199" s="53">
        <f t="shared" si="131"/>
        <v>27753</v>
      </c>
      <c r="AL199" s="75"/>
      <c r="AM199" s="75"/>
    </row>
    <row r="200" spans="1:39" s="15" customFormat="1" ht="24">
      <c r="A200" s="59"/>
      <c r="B200" s="55"/>
      <c r="C200" s="43">
        <v>4740</v>
      </c>
      <c r="D200" s="27" t="s">
        <v>189</v>
      </c>
      <c r="E200" s="53">
        <v>4000</v>
      </c>
      <c r="F200" s="53"/>
      <c r="G200" s="53">
        <f>SUM(E200:F200)</f>
        <v>4000</v>
      </c>
      <c r="H200" s="53"/>
      <c r="I200" s="53">
        <f>SUM(G200:H200)</f>
        <v>4000</v>
      </c>
      <c r="J200" s="53"/>
      <c r="K200" s="53">
        <f>SUM(I200:J200)</f>
        <v>4000</v>
      </c>
      <c r="L200" s="53"/>
      <c r="M200" s="53">
        <f>SUM(K200:L200)</f>
        <v>4000</v>
      </c>
      <c r="N200" s="53"/>
      <c r="O200" s="53">
        <f t="shared" si="136"/>
        <v>4000</v>
      </c>
      <c r="P200" s="53"/>
      <c r="Q200" s="53">
        <f t="shared" si="137"/>
        <v>4000</v>
      </c>
      <c r="R200" s="53"/>
      <c r="S200" s="53">
        <f t="shared" si="138"/>
        <v>4000</v>
      </c>
      <c r="T200" s="53"/>
      <c r="U200" s="53">
        <f t="shared" si="139"/>
        <v>4000</v>
      </c>
      <c r="V200" s="53"/>
      <c r="W200" s="53">
        <f t="shared" si="140"/>
        <v>4000</v>
      </c>
      <c r="X200" s="53"/>
      <c r="Y200" s="53">
        <f t="shared" si="141"/>
        <v>4000</v>
      </c>
      <c r="Z200" s="53"/>
      <c r="AA200" s="53">
        <f t="shared" si="98"/>
        <v>4000</v>
      </c>
      <c r="AB200" s="53">
        <v>-2000</v>
      </c>
      <c r="AC200" s="53">
        <f t="shared" si="99"/>
        <v>2000</v>
      </c>
      <c r="AD200" s="53"/>
      <c r="AE200" s="53">
        <f t="shared" si="100"/>
        <v>2000</v>
      </c>
      <c r="AF200" s="53"/>
      <c r="AG200" s="53">
        <f t="shared" si="130"/>
        <v>2000</v>
      </c>
      <c r="AH200" s="53"/>
      <c r="AI200" s="53">
        <f t="shared" si="132"/>
        <v>2000</v>
      </c>
      <c r="AJ200" s="53"/>
      <c r="AK200" s="53">
        <f t="shared" si="131"/>
        <v>2000</v>
      </c>
      <c r="AL200" s="75"/>
      <c r="AM200" s="75"/>
    </row>
    <row r="201" spans="1:39" s="3" customFormat="1" ht="21.75" customHeight="1">
      <c r="A201" s="22" t="s">
        <v>95</v>
      </c>
      <c r="B201" s="23"/>
      <c r="C201" s="24"/>
      <c r="D201" s="25" t="s">
        <v>96</v>
      </c>
      <c r="E201" s="26">
        <f aca="true" t="shared" si="142" ref="E201:AJ201">SUM(E202)</f>
        <v>425000</v>
      </c>
      <c r="F201" s="26">
        <f t="shared" si="142"/>
        <v>0</v>
      </c>
      <c r="G201" s="26">
        <f t="shared" si="142"/>
        <v>425000</v>
      </c>
      <c r="H201" s="26">
        <f t="shared" si="142"/>
        <v>0</v>
      </c>
      <c r="I201" s="26">
        <f t="shared" si="142"/>
        <v>425000</v>
      </c>
      <c r="J201" s="26">
        <f t="shared" si="142"/>
        <v>0</v>
      </c>
      <c r="K201" s="26">
        <f t="shared" si="142"/>
        <v>425000</v>
      </c>
      <c r="L201" s="26">
        <f t="shared" si="142"/>
        <v>0</v>
      </c>
      <c r="M201" s="26">
        <f t="shared" si="142"/>
        <v>425000</v>
      </c>
      <c r="N201" s="26">
        <f t="shared" si="142"/>
        <v>0</v>
      </c>
      <c r="O201" s="26">
        <f t="shared" si="142"/>
        <v>425000</v>
      </c>
      <c r="P201" s="26">
        <f t="shared" si="142"/>
        <v>0</v>
      </c>
      <c r="Q201" s="26">
        <f t="shared" si="142"/>
        <v>425000</v>
      </c>
      <c r="R201" s="26">
        <f t="shared" si="142"/>
        <v>0</v>
      </c>
      <c r="S201" s="26">
        <f t="shared" si="142"/>
        <v>425000</v>
      </c>
      <c r="T201" s="26">
        <f t="shared" si="142"/>
        <v>0</v>
      </c>
      <c r="U201" s="26">
        <f t="shared" si="142"/>
        <v>425000</v>
      </c>
      <c r="V201" s="26">
        <f t="shared" si="142"/>
        <v>0</v>
      </c>
      <c r="W201" s="26">
        <f t="shared" si="142"/>
        <v>425000</v>
      </c>
      <c r="X201" s="26">
        <f t="shared" si="142"/>
        <v>0</v>
      </c>
      <c r="Y201" s="26">
        <f t="shared" si="142"/>
        <v>425000</v>
      </c>
      <c r="Z201" s="26">
        <f t="shared" si="142"/>
        <v>0</v>
      </c>
      <c r="AA201" s="26">
        <f t="shared" si="98"/>
        <v>425000</v>
      </c>
      <c r="AB201" s="26">
        <f t="shared" si="142"/>
        <v>0</v>
      </c>
      <c r="AC201" s="26">
        <f t="shared" si="99"/>
        <v>425000</v>
      </c>
      <c r="AD201" s="26">
        <f t="shared" si="142"/>
        <v>0</v>
      </c>
      <c r="AE201" s="26">
        <f t="shared" si="100"/>
        <v>425000</v>
      </c>
      <c r="AF201" s="26">
        <f t="shared" si="142"/>
        <v>0</v>
      </c>
      <c r="AG201" s="26">
        <f t="shared" si="130"/>
        <v>425000</v>
      </c>
      <c r="AH201" s="26">
        <f t="shared" si="142"/>
        <v>0</v>
      </c>
      <c r="AI201" s="26">
        <f t="shared" si="132"/>
        <v>425000</v>
      </c>
      <c r="AJ201" s="26">
        <f t="shared" si="142"/>
        <v>0</v>
      </c>
      <c r="AK201" s="26">
        <f t="shared" si="131"/>
        <v>425000</v>
      </c>
      <c r="AL201" s="92"/>
      <c r="AM201" s="92"/>
    </row>
    <row r="202" spans="1:39" s="15" customFormat="1" ht="24">
      <c r="A202" s="41"/>
      <c r="B202" s="55" t="s">
        <v>97</v>
      </c>
      <c r="C202" s="59"/>
      <c r="D202" s="27" t="s">
        <v>98</v>
      </c>
      <c r="E202" s="53">
        <f aca="true" t="shared" si="143" ref="E202:AJ202">SUM(E203:E203)</f>
        <v>425000</v>
      </c>
      <c r="F202" s="53">
        <f t="shared" si="143"/>
        <v>0</v>
      </c>
      <c r="G202" s="53">
        <f t="shared" si="143"/>
        <v>425000</v>
      </c>
      <c r="H202" s="53">
        <f t="shared" si="143"/>
        <v>0</v>
      </c>
      <c r="I202" s="53">
        <f t="shared" si="143"/>
        <v>425000</v>
      </c>
      <c r="J202" s="53">
        <f t="shared" si="143"/>
        <v>0</v>
      </c>
      <c r="K202" s="53">
        <f t="shared" si="143"/>
        <v>425000</v>
      </c>
      <c r="L202" s="53">
        <f t="shared" si="143"/>
        <v>0</v>
      </c>
      <c r="M202" s="53">
        <f t="shared" si="143"/>
        <v>425000</v>
      </c>
      <c r="N202" s="53">
        <f t="shared" si="143"/>
        <v>0</v>
      </c>
      <c r="O202" s="53">
        <f t="shared" si="143"/>
        <v>425000</v>
      </c>
      <c r="P202" s="53">
        <f t="shared" si="143"/>
        <v>0</v>
      </c>
      <c r="Q202" s="53">
        <f t="shared" si="143"/>
        <v>425000</v>
      </c>
      <c r="R202" s="53">
        <f t="shared" si="143"/>
        <v>0</v>
      </c>
      <c r="S202" s="53">
        <f t="shared" si="143"/>
        <v>425000</v>
      </c>
      <c r="T202" s="53">
        <f t="shared" si="143"/>
        <v>0</v>
      </c>
      <c r="U202" s="53">
        <f t="shared" si="143"/>
        <v>425000</v>
      </c>
      <c r="V202" s="53">
        <f t="shared" si="143"/>
        <v>0</v>
      </c>
      <c r="W202" s="53">
        <f t="shared" si="143"/>
        <v>425000</v>
      </c>
      <c r="X202" s="53">
        <f t="shared" si="143"/>
        <v>0</v>
      </c>
      <c r="Y202" s="53">
        <f t="shared" si="143"/>
        <v>425000</v>
      </c>
      <c r="Z202" s="53">
        <f t="shared" si="143"/>
        <v>0</v>
      </c>
      <c r="AA202" s="53">
        <f t="shared" si="98"/>
        <v>425000</v>
      </c>
      <c r="AB202" s="53">
        <f t="shared" si="143"/>
        <v>0</v>
      </c>
      <c r="AC202" s="53">
        <f t="shared" si="99"/>
        <v>425000</v>
      </c>
      <c r="AD202" s="53">
        <f t="shared" si="143"/>
        <v>0</v>
      </c>
      <c r="AE202" s="53">
        <f t="shared" si="100"/>
        <v>425000</v>
      </c>
      <c r="AF202" s="53">
        <f t="shared" si="143"/>
        <v>0</v>
      </c>
      <c r="AG202" s="53">
        <f t="shared" si="130"/>
        <v>425000</v>
      </c>
      <c r="AH202" s="53">
        <f t="shared" si="143"/>
        <v>0</v>
      </c>
      <c r="AI202" s="53">
        <f t="shared" si="132"/>
        <v>425000</v>
      </c>
      <c r="AJ202" s="53">
        <f t="shared" si="143"/>
        <v>0</v>
      </c>
      <c r="AK202" s="53">
        <f t="shared" si="131"/>
        <v>425000</v>
      </c>
      <c r="AL202" s="75"/>
      <c r="AM202" s="75"/>
    </row>
    <row r="203" spans="1:39" s="15" customFormat="1" ht="48">
      <c r="A203" s="41"/>
      <c r="B203" s="60"/>
      <c r="C203" s="59">
        <v>8070</v>
      </c>
      <c r="D203" s="27" t="s">
        <v>249</v>
      </c>
      <c r="E203" s="53">
        <v>425000</v>
      </c>
      <c r="F203" s="53"/>
      <c r="G203" s="53">
        <f>SUM(E203:F203)</f>
        <v>425000</v>
      </c>
      <c r="H203" s="53"/>
      <c r="I203" s="53">
        <f>SUM(G203:H203)</f>
        <v>425000</v>
      </c>
      <c r="J203" s="53"/>
      <c r="K203" s="53">
        <f>SUM(I203:J203)</f>
        <v>425000</v>
      </c>
      <c r="L203" s="53"/>
      <c r="M203" s="53">
        <f>SUM(K203:L203)</f>
        <v>425000</v>
      </c>
      <c r="N203" s="53"/>
      <c r="O203" s="53">
        <f>SUM(M203:N203)</f>
        <v>425000</v>
      </c>
      <c r="P203" s="53"/>
      <c r="Q203" s="53">
        <f>SUM(O203:P203)</f>
        <v>425000</v>
      </c>
      <c r="R203" s="53"/>
      <c r="S203" s="53">
        <f>SUM(Q203:R203)</f>
        <v>425000</v>
      </c>
      <c r="T203" s="53"/>
      <c r="U203" s="53">
        <f>SUM(S203:T203)</f>
        <v>425000</v>
      </c>
      <c r="V203" s="53"/>
      <c r="W203" s="53">
        <f>SUM(U203:V203)</f>
        <v>425000</v>
      </c>
      <c r="X203" s="53"/>
      <c r="Y203" s="53">
        <f>SUM(W203:X203)</f>
        <v>425000</v>
      </c>
      <c r="Z203" s="53"/>
      <c r="AA203" s="53">
        <f t="shared" si="98"/>
        <v>425000</v>
      </c>
      <c r="AB203" s="53"/>
      <c r="AC203" s="53">
        <f t="shared" si="99"/>
        <v>425000</v>
      </c>
      <c r="AD203" s="53"/>
      <c r="AE203" s="53">
        <f t="shared" si="100"/>
        <v>425000</v>
      </c>
      <c r="AF203" s="53"/>
      <c r="AG203" s="53">
        <f t="shared" si="130"/>
        <v>425000</v>
      </c>
      <c r="AH203" s="53"/>
      <c r="AI203" s="53">
        <f t="shared" si="132"/>
        <v>425000</v>
      </c>
      <c r="AJ203" s="53"/>
      <c r="AK203" s="53">
        <f t="shared" si="131"/>
        <v>425000</v>
      </c>
      <c r="AL203" s="75"/>
      <c r="AM203" s="75"/>
    </row>
    <row r="204" spans="1:39" s="3" customFormat="1" ht="24.75" customHeight="1">
      <c r="A204" s="22" t="s">
        <v>39</v>
      </c>
      <c r="B204" s="23"/>
      <c r="C204" s="24"/>
      <c r="D204" s="25" t="s">
        <v>40</v>
      </c>
      <c r="E204" s="26">
        <f aca="true" t="shared" si="144" ref="E204:AJ204">SUM(E205)</f>
        <v>641570</v>
      </c>
      <c r="F204" s="26">
        <f t="shared" si="144"/>
        <v>888333</v>
      </c>
      <c r="G204" s="26">
        <f t="shared" si="144"/>
        <v>1529903</v>
      </c>
      <c r="H204" s="26">
        <f t="shared" si="144"/>
        <v>-125802</v>
      </c>
      <c r="I204" s="26">
        <f t="shared" si="144"/>
        <v>1404101</v>
      </c>
      <c r="J204" s="26">
        <f t="shared" si="144"/>
        <v>-215000</v>
      </c>
      <c r="K204" s="26">
        <f t="shared" si="144"/>
        <v>1189101</v>
      </c>
      <c r="L204" s="26">
        <f t="shared" si="144"/>
        <v>0</v>
      </c>
      <c r="M204" s="26">
        <f t="shared" si="144"/>
        <v>1189101</v>
      </c>
      <c r="N204" s="26">
        <f t="shared" si="144"/>
        <v>-4519</v>
      </c>
      <c r="O204" s="26">
        <f t="shared" si="144"/>
        <v>1184582</v>
      </c>
      <c r="P204" s="26">
        <f t="shared" si="144"/>
        <v>0</v>
      </c>
      <c r="Q204" s="26">
        <f t="shared" si="144"/>
        <v>1184582</v>
      </c>
      <c r="R204" s="26">
        <f t="shared" si="144"/>
        <v>0</v>
      </c>
      <c r="S204" s="26">
        <f t="shared" si="144"/>
        <v>1184582</v>
      </c>
      <c r="T204" s="26">
        <f t="shared" si="144"/>
        <v>-80000</v>
      </c>
      <c r="U204" s="26">
        <f t="shared" si="144"/>
        <v>1104582</v>
      </c>
      <c r="V204" s="26">
        <f t="shared" si="144"/>
        <v>0</v>
      </c>
      <c r="W204" s="26">
        <f t="shared" si="144"/>
        <v>1104582</v>
      </c>
      <c r="X204" s="26">
        <f t="shared" si="144"/>
        <v>-319000</v>
      </c>
      <c r="Y204" s="26">
        <f t="shared" si="144"/>
        <v>785582</v>
      </c>
      <c r="Z204" s="26">
        <f t="shared" si="144"/>
        <v>-633333</v>
      </c>
      <c r="AA204" s="26">
        <f t="shared" si="98"/>
        <v>152249</v>
      </c>
      <c r="AB204" s="26">
        <f t="shared" si="144"/>
        <v>0</v>
      </c>
      <c r="AC204" s="26">
        <f t="shared" si="99"/>
        <v>152249</v>
      </c>
      <c r="AD204" s="26">
        <f t="shared" si="144"/>
        <v>-20000</v>
      </c>
      <c r="AE204" s="26">
        <f t="shared" si="100"/>
        <v>132249</v>
      </c>
      <c r="AF204" s="26">
        <f t="shared" si="144"/>
        <v>0</v>
      </c>
      <c r="AG204" s="26">
        <f t="shared" si="130"/>
        <v>132249</v>
      </c>
      <c r="AH204" s="26">
        <f t="shared" si="144"/>
        <v>-40094</v>
      </c>
      <c r="AI204" s="26">
        <f t="shared" si="132"/>
        <v>92155</v>
      </c>
      <c r="AJ204" s="26">
        <f t="shared" si="144"/>
        <v>0</v>
      </c>
      <c r="AK204" s="26">
        <f t="shared" si="131"/>
        <v>92155</v>
      </c>
      <c r="AL204" s="92"/>
      <c r="AM204" s="92"/>
    </row>
    <row r="205" spans="1:39" s="15" customFormat="1" ht="21.75" customHeight="1">
      <c r="A205" s="41"/>
      <c r="B205" s="55" t="s">
        <v>99</v>
      </c>
      <c r="C205" s="59"/>
      <c r="D205" s="27" t="s">
        <v>100</v>
      </c>
      <c r="E205" s="53">
        <f aca="true" t="shared" si="145" ref="E205:Z205">SUM(E206:E207)</f>
        <v>641570</v>
      </c>
      <c r="F205" s="53">
        <f t="shared" si="145"/>
        <v>888333</v>
      </c>
      <c r="G205" s="53">
        <f t="shared" si="145"/>
        <v>1529903</v>
      </c>
      <c r="H205" s="53">
        <f t="shared" si="145"/>
        <v>-125802</v>
      </c>
      <c r="I205" s="53">
        <f t="shared" si="145"/>
        <v>1404101</v>
      </c>
      <c r="J205" s="53">
        <f t="shared" si="145"/>
        <v>-215000</v>
      </c>
      <c r="K205" s="53">
        <f t="shared" si="145"/>
        <v>1189101</v>
      </c>
      <c r="L205" s="53">
        <f t="shared" si="145"/>
        <v>0</v>
      </c>
      <c r="M205" s="53">
        <f t="shared" si="145"/>
        <v>1189101</v>
      </c>
      <c r="N205" s="53">
        <f t="shared" si="145"/>
        <v>-4519</v>
      </c>
      <c r="O205" s="53">
        <f t="shared" si="145"/>
        <v>1184582</v>
      </c>
      <c r="P205" s="53">
        <f t="shared" si="145"/>
        <v>0</v>
      </c>
      <c r="Q205" s="53">
        <f t="shared" si="145"/>
        <v>1184582</v>
      </c>
      <c r="R205" s="53">
        <f t="shared" si="145"/>
        <v>0</v>
      </c>
      <c r="S205" s="53">
        <f t="shared" si="145"/>
        <v>1184582</v>
      </c>
      <c r="T205" s="53">
        <f t="shared" si="145"/>
        <v>-80000</v>
      </c>
      <c r="U205" s="53">
        <f t="shared" si="145"/>
        <v>1104582</v>
      </c>
      <c r="V205" s="53">
        <f t="shared" si="145"/>
        <v>0</v>
      </c>
      <c r="W205" s="53">
        <f t="shared" si="145"/>
        <v>1104582</v>
      </c>
      <c r="X205" s="53">
        <f t="shared" si="145"/>
        <v>-319000</v>
      </c>
      <c r="Y205" s="53">
        <f t="shared" si="145"/>
        <v>785582</v>
      </c>
      <c r="Z205" s="53">
        <f t="shared" si="145"/>
        <v>-633333</v>
      </c>
      <c r="AA205" s="53">
        <f t="shared" si="98"/>
        <v>152249</v>
      </c>
      <c r="AB205" s="53">
        <f>SUM(AB206:AB207)</f>
        <v>0</v>
      </c>
      <c r="AC205" s="53">
        <f t="shared" si="99"/>
        <v>152249</v>
      </c>
      <c r="AD205" s="53">
        <f>SUM(AD206:AD207)</f>
        <v>-20000</v>
      </c>
      <c r="AE205" s="53">
        <f t="shared" si="100"/>
        <v>132249</v>
      </c>
      <c r="AF205" s="53">
        <f>SUM(AF206:AF207)</f>
        <v>0</v>
      </c>
      <c r="AG205" s="53">
        <f t="shared" si="130"/>
        <v>132249</v>
      </c>
      <c r="AH205" s="53">
        <f>SUM(AH206:AH207)</f>
        <v>-40094</v>
      </c>
      <c r="AI205" s="53">
        <f t="shared" si="132"/>
        <v>92155</v>
      </c>
      <c r="AJ205" s="53">
        <f>SUM(AJ206:AJ207)</f>
        <v>0</v>
      </c>
      <c r="AK205" s="53">
        <f t="shared" si="131"/>
        <v>92155</v>
      </c>
      <c r="AL205" s="75"/>
      <c r="AM205" s="75"/>
    </row>
    <row r="206" spans="1:39" s="15" customFormat="1" ht="21" customHeight="1">
      <c r="A206" s="41"/>
      <c r="B206" s="60"/>
      <c r="C206" s="59">
        <v>4810</v>
      </c>
      <c r="D206" s="27" t="s">
        <v>101</v>
      </c>
      <c r="E206" s="53">
        <f>400000+241570</f>
        <v>641570</v>
      </c>
      <c r="F206" s="53">
        <f>-100000+33333</f>
        <v>-66667</v>
      </c>
      <c r="G206" s="53">
        <f>SUM(E206:F206)</f>
        <v>574903</v>
      </c>
      <c r="H206" s="53">
        <f>-52000-48502-25300</f>
        <v>-125802</v>
      </c>
      <c r="I206" s="53">
        <f>SUM(G206:H206)</f>
        <v>449101</v>
      </c>
      <c r="J206" s="53"/>
      <c r="K206" s="53">
        <f>SUM(I206:J206)</f>
        <v>449101</v>
      </c>
      <c r="L206" s="53"/>
      <c r="M206" s="53">
        <f>SUM(K206:L206)</f>
        <v>449101</v>
      </c>
      <c r="N206" s="53">
        <v>-4519</v>
      </c>
      <c r="O206" s="53">
        <f>SUM(M206:N206)</f>
        <v>444582</v>
      </c>
      <c r="P206" s="53"/>
      <c r="Q206" s="53">
        <f>SUM(O206:P206)</f>
        <v>444582</v>
      </c>
      <c r="R206" s="53"/>
      <c r="S206" s="53">
        <f>SUM(Q206:R206)</f>
        <v>444582</v>
      </c>
      <c r="T206" s="53"/>
      <c r="U206" s="53">
        <f>SUM(S206:T206)</f>
        <v>444582</v>
      </c>
      <c r="V206" s="53"/>
      <c r="W206" s="53">
        <f>SUM(U206:V206)</f>
        <v>444582</v>
      </c>
      <c r="X206" s="53">
        <f>-220000-25000-34000</f>
        <v>-279000</v>
      </c>
      <c r="Y206" s="53">
        <f>SUM(W206:X206)</f>
        <v>165582</v>
      </c>
      <c r="Z206" s="53">
        <v>-33333</v>
      </c>
      <c r="AA206" s="53">
        <f t="shared" si="98"/>
        <v>132249</v>
      </c>
      <c r="AB206" s="53"/>
      <c r="AC206" s="53">
        <f t="shared" si="99"/>
        <v>132249</v>
      </c>
      <c r="AD206" s="53"/>
      <c r="AE206" s="53">
        <f t="shared" si="100"/>
        <v>132249</v>
      </c>
      <c r="AF206" s="53"/>
      <c r="AG206" s="53">
        <f t="shared" si="130"/>
        <v>132249</v>
      </c>
      <c r="AH206" s="53">
        <f>-30000-10094</f>
        <v>-40094</v>
      </c>
      <c r="AI206" s="53">
        <f t="shared" si="132"/>
        <v>92155</v>
      </c>
      <c r="AJ206" s="53"/>
      <c r="AK206" s="53">
        <f t="shared" si="131"/>
        <v>92155</v>
      </c>
      <c r="AL206" s="75"/>
      <c r="AM206" s="75"/>
    </row>
    <row r="207" spans="1:41" s="15" customFormat="1" ht="25.5" customHeight="1">
      <c r="A207" s="41"/>
      <c r="B207" s="60"/>
      <c r="C207" s="59">
        <v>6800</v>
      </c>
      <c r="D207" s="27" t="s">
        <v>253</v>
      </c>
      <c r="E207" s="53">
        <v>0</v>
      </c>
      <c r="F207" s="53">
        <f>100000+10000+80000+10000+20000+20000+500000+150000+65000</f>
        <v>955000</v>
      </c>
      <c r="G207" s="53">
        <f>SUM(E207:F207)</f>
        <v>955000</v>
      </c>
      <c r="H207" s="53"/>
      <c r="I207" s="53">
        <f>SUM(G207:H207)</f>
        <v>955000</v>
      </c>
      <c r="J207" s="53">
        <f>-150000-65000</f>
        <v>-215000</v>
      </c>
      <c r="K207" s="53">
        <f>SUM(I207:J207)</f>
        <v>740000</v>
      </c>
      <c r="L207" s="53"/>
      <c r="M207" s="53">
        <f>SUM(K207:L207)</f>
        <v>740000</v>
      </c>
      <c r="N207" s="53"/>
      <c r="O207" s="53">
        <f>SUM(M207:N207)</f>
        <v>740000</v>
      </c>
      <c r="P207" s="53"/>
      <c r="Q207" s="53">
        <f>SUM(O207:P207)</f>
        <v>740000</v>
      </c>
      <c r="R207" s="53"/>
      <c r="S207" s="53">
        <f>SUM(Q207:R207)</f>
        <v>740000</v>
      </c>
      <c r="T207" s="53">
        <v>-80000</v>
      </c>
      <c r="U207" s="53">
        <f>SUM(S207:T207)</f>
        <v>660000</v>
      </c>
      <c r="V207" s="53"/>
      <c r="W207" s="53">
        <f>SUM(U207:V207)</f>
        <v>660000</v>
      </c>
      <c r="X207" s="53">
        <f>-20000-20000</f>
        <v>-40000</v>
      </c>
      <c r="Y207" s="53">
        <f>SUM(W207:X207)</f>
        <v>620000</v>
      </c>
      <c r="Z207" s="53">
        <v>-600000</v>
      </c>
      <c r="AA207" s="53">
        <f t="shared" si="98"/>
        <v>20000</v>
      </c>
      <c r="AB207" s="53"/>
      <c r="AC207" s="53">
        <f t="shared" si="99"/>
        <v>20000</v>
      </c>
      <c r="AD207" s="53">
        <v>-20000</v>
      </c>
      <c r="AE207" s="53">
        <f t="shared" si="100"/>
        <v>0</v>
      </c>
      <c r="AF207" s="53"/>
      <c r="AG207" s="53">
        <f t="shared" si="130"/>
        <v>0</v>
      </c>
      <c r="AH207" s="53"/>
      <c r="AI207" s="53">
        <f t="shared" si="132"/>
        <v>0</v>
      </c>
      <c r="AJ207" s="53"/>
      <c r="AK207" s="53">
        <f t="shared" si="131"/>
        <v>0</v>
      </c>
      <c r="AL207" s="75"/>
      <c r="AM207" s="75"/>
      <c r="AN207" s="75"/>
      <c r="AO207" s="75"/>
    </row>
    <row r="208" spans="1:39" s="4" customFormat="1" ht="27.75" customHeight="1">
      <c r="A208" s="22" t="s">
        <v>102</v>
      </c>
      <c r="B208" s="23"/>
      <c r="C208" s="24"/>
      <c r="D208" s="25" t="s">
        <v>103</v>
      </c>
      <c r="E208" s="26">
        <f aca="true" t="shared" si="146" ref="E208:Z208">SUM(E209,E234,E248,E252,E277,E284,E288,E304)</f>
        <v>20953687</v>
      </c>
      <c r="F208" s="26">
        <f t="shared" si="146"/>
        <v>0</v>
      </c>
      <c r="G208" s="26">
        <f t="shared" si="146"/>
        <v>20953687</v>
      </c>
      <c r="H208" s="26">
        <f t="shared" si="146"/>
        <v>600</v>
      </c>
      <c r="I208" s="26">
        <f t="shared" si="146"/>
        <v>20954287</v>
      </c>
      <c r="J208" s="26">
        <f t="shared" si="146"/>
        <v>0</v>
      </c>
      <c r="K208" s="26">
        <f t="shared" si="146"/>
        <v>20954287</v>
      </c>
      <c r="L208" s="26">
        <f t="shared" si="146"/>
        <v>0</v>
      </c>
      <c r="M208" s="26">
        <f t="shared" si="146"/>
        <v>20954287</v>
      </c>
      <c r="N208" s="26">
        <f t="shared" si="146"/>
        <v>0</v>
      </c>
      <c r="O208" s="26">
        <f t="shared" si="146"/>
        <v>20954287</v>
      </c>
      <c r="P208" s="26">
        <f t="shared" si="146"/>
        <v>988148</v>
      </c>
      <c r="Q208" s="26">
        <f t="shared" si="146"/>
        <v>21942435</v>
      </c>
      <c r="R208" s="26">
        <f t="shared" si="146"/>
        <v>0</v>
      </c>
      <c r="S208" s="26">
        <f t="shared" si="146"/>
        <v>21942435</v>
      </c>
      <c r="T208" s="26">
        <f t="shared" si="146"/>
        <v>76734</v>
      </c>
      <c r="U208" s="26">
        <f t="shared" si="146"/>
        <v>22019169</v>
      </c>
      <c r="V208" s="26">
        <f t="shared" si="146"/>
        <v>65857</v>
      </c>
      <c r="W208" s="26">
        <f t="shared" si="146"/>
        <v>22085026</v>
      </c>
      <c r="X208" s="26">
        <f t="shared" si="146"/>
        <v>132201</v>
      </c>
      <c r="Y208" s="26">
        <f t="shared" si="146"/>
        <v>22217227</v>
      </c>
      <c r="Z208" s="26">
        <f t="shared" si="146"/>
        <v>0</v>
      </c>
      <c r="AA208" s="26">
        <f t="shared" si="98"/>
        <v>22217227</v>
      </c>
      <c r="AB208" s="26">
        <f>SUM(AB209,AB234,AB248,AB252,AB277,AB284,AB288,AB304)</f>
        <v>128501</v>
      </c>
      <c r="AC208" s="26">
        <f t="shared" si="99"/>
        <v>22345728</v>
      </c>
      <c r="AD208" s="26">
        <f>SUM(AD209,AD234,AD248,AD252,AD277,AD284,AD288,AD304)</f>
        <v>230252</v>
      </c>
      <c r="AE208" s="26">
        <f t="shared" si="100"/>
        <v>22575980</v>
      </c>
      <c r="AF208" s="26">
        <f>SUM(AF209,AF234,AF248,AF252,AF277,AF284,AF288,AF304)</f>
        <v>0</v>
      </c>
      <c r="AG208" s="26">
        <f t="shared" si="130"/>
        <v>22575980</v>
      </c>
      <c r="AH208" s="26">
        <f>SUM(AH209,AH234,AH248,AH252,AH277,AH284,AH288,AH304)</f>
        <v>42502</v>
      </c>
      <c r="AI208" s="26">
        <f t="shared" si="132"/>
        <v>22618482</v>
      </c>
      <c r="AJ208" s="26">
        <f>SUM(AJ209,AJ234,AJ248,AJ252,AJ277,AJ284,AJ288,AJ304)</f>
        <v>0</v>
      </c>
      <c r="AK208" s="26">
        <f t="shared" si="131"/>
        <v>22618482</v>
      </c>
      <c r="AL208" s="16"/>
      <c r="AM208" s="16"/>
    </row>
    <row r="209" spans="1:39" s="15" customFormat="1" ht="24.75" customHeight="1">
      <c r="A209" s="41"/>
      <c r="B209" s="55" t="s">
        <v>104</v>
      </c>
      <c r="C209" s="59"/>
      <c r="D209" s="27" t="s">
        <v>43</v>
      </c>
      <c r="E209" s="53">
        <f aca="true" t="shared" si="147" ref="E209:Z209">SUM(E210:E233)</f>
        <v>10383555</v>
      </c>
      <c r="F209" s="53">
        <f t="shared" si="147"/>
        <v>0</v>
      </c>
      <c r="G209" s="53">
        <f t="shared" si="147"/>
        <v>10383555</v>
      </c>
      <c r="H209" s="53">
        <f t="shared" si="147"/>
        <v>600</v>
      </c>
      <c r="I209" s="53">
        <f t="shared" si="147"/>
        <v>10384155</v>
      </c>
      <c r="J209" s="53">
        <f t="shared" si="147"/>
        <v>0</v>
      </c>
      <c r="K209" s="53">
        <f t="shared" si="147"/>
        <v>10384155</v>
      </c>
      <c r="L209" s="53">
        <f t="shared" si="147"/>
        <v>0</v>
      </c>
      <c r="M209" s="53">
        <f t="shared" si="147"/>
        <v>10384155</v>
      </c>
      <c r="N209" s="53">
        <f t="shared" si="147"/>
        <v>0</v>
      </c>
      <c r="O209" s="53">
        <f t="shared" si="147"/>
        <v>10384155</v>
      </c>
      <c r="P209" s="53">
        <f t="shared" si="147"/>
        <v>439256</v>
      </c>
      <c r="Q209" s="53">
        <f t="shared" si="147"/>
        <v>10823411</v>
      </c>
      <c r="R209" s="53">
        <f t="shared" si="147"/>
        <v>50000</v>
      </c>
      <c r="S209" s="53">
        <f t="shared" si="147"/>
        <v>10873411</v>
      </c>
      <c r="T209" s="53">
        <f t="shared" si="147"/>
        <v>75670</v>
      </c>
      <c r="U209" s="53">
        <f t="shared" si="147"/>
        <v>10949081</v>
      </c>
      <c r="V209" s="53">
        <f t="shared" si="147"/>
        <v>-300</v>
      </c>
      <c r="W209" s="53">
        <f t="shared" si="147"/>
        <v>10948781</v>
      </c>
      <c r="X209" s="53">
        <f t="shared" si="147"/>
        <v>72294</v>
      </c>
      <c r="Y209" s="53">
        <f t="shared" si="147"/>
        <v>11021075</v>
      </c>
      <c r="Z209" s="53">
        <f t="shared" si="147"/>
        <v>0</v>
      </c>
      <c r="AA209" s="53">
        <f t="shared" si="98"/>
        <v>11021075</v>
      </c>
      <c r="AB209" s="53">
        <f>SUM(AB210:AB233)</f>
        <v>0</v>
      </c>
      <c r="AC209" s="53">
        <f t="shared" si="99"/>
        <v>11021075</v>
      </c>
      <c r="AD209" s="53">
        <f>SUM(AD210:AD233)</f>
        <v>137616</v>
      </c>
      <c r="AE209" s="53">
        <f aca="true" t="shared" si="148" ref="AE209:AE272">SUM(AC209:AD209)</f>
        <v>11158691</v>
      </c>
      <c r="AF209" s="53">
        <f>SUM(AF210:AF233)</f>
        <v>0</v>
      </c>
      <c r="AG209" s="53">
        <f aca="true" t="shared" si="149" ref="AG209:AG240">SUM(AE209:AF209)</f>
        <v>11158691</v>
      </c>
      <c r="AH209" s="53">
        <f>SUM(AH210:AH233)</f>
        <v>19963</v>
      </c>
      <c r="AI209" s="53">
        <f t="shared" si="132"/>
        <v>11178654</v>
      </c>
      <c r="AJ209" s="53">
        <f>SUM(AJ210:AJ233)</f>
        <v>0</v>
      </c>
      <c r="AK209" s="53">
        <f t="shared" si="131"/>
        <v>11178654</v>
      </c>
      <c r="AL209" s="75"/>
      <c r="AM209" s="75"/>
    </row>
    <row r="210" spans="1:39" s="15" customFormat="1" ht="25.5" customHeight="1">
      <c r="A210" s="41"/>
      <c r="B210" s="55"/>
      <c r="C210" s="59">
        <v>2540</v>
      </c>
      <c r="D210" s="27" t="s">
        <v>156</v>
      </c>
      <c r="E210" s="53">
        <v>308280</v>
      </c>
      <c r="F210" s="53"/>
      <c r="G210" s="53">
        <f aca="true" t="shared" si="150" ref="G210:G229">SUM(E210:F210)</f>
        <v>308280</v>
      </c>
      <c r="H210" s="53"/>
      <c r="I210" s="53">
        <f aca="true" t="shared" si="151" ref="I210:I229">SUM(G210:H210)</f>
        <v>308280</v>
      </c>
      <c r="J210" s="53"/>
      <c r="K210" s="53">
        <f aca="true" t="shared" si="152" ref="K210:K229">SUM(I210:J210)</f>
        <v>308280</v>
      </c>
      <c r="L210" s="53"/>
      <c r="M210" s="53">
        <f aca="true" t="shared" si="153" ref="M210:M229">SUM(K210:L210)</f>
        <v>308280</v>
      </c>
      <c r="N210" s="53"/>
      <c r="O210" s="53">
        <f aca="true" t="shared" si="154" ref="O210:O229">SUM(M210:N210)</f>
        <v>308280</v>
      </c>
      <c r="P210" s="53"/>
      <c r="Q210" s="53">
        <f aca="true" t="shared" si="155" ref="Q210:Q233">SUM(O210:P210)</f>
        <v>308280</v>
      </c>
      <c r="R210" s="53"/>
      <c r="S210" s="53">
        <f aca="true" t="shared" si="156" ref="S210:S233">SUM(Q210:R210)</f>
        <v>308280</v>
      </c>
      <c r="T210" s="53"/>
      <c r="U210" s="53">
        <f aca="true" t="shared" si="157" ref="U210:U233">SUM(S210:T210)</f>
        <v>308280</v>
      </c>
      <c r="V210" s="53"/>
      <c r="W210" s="53">
        <f aca="true" t="shared" si="158" ref="W210:W233">SUM(U210:V210)</f>
        <v>308280</v>
      </c>
      <c r="X210" s="81">
        <v>31920</v>
      </c>
      <c r="Y210" s="53">
        <f aca="true" t="shared" si="159" ref="Y210:Y233">SUM(W210:X210)</f>
        <v>340200</v>
      </c>
      <c r="Z210" s="81"/>
      <c r="AA210" s="53">
        <f aca="true" t="shared" si="160" ref="AA210:AA273">SUM(Y210:Z210)</f>
        <v>340200</v>
      </c>
      <c r="AB210" s="81"/>
      <c r="AC210" s="53">
        <f aca="true" t="shared" si="161" ref="AC210:AC273">SUM(AA210:AB210)</f>
        <v>340200</v>
      </c>
      <c r="AD210" s="81">
        <v>10487</v>
      </c>
      <c r="AE210" s="53">
        <f t="shared" si="148"/>
        <v>350687</v>
      </c>
      <c r="AF210" s="81"/>
      <c r="AG210" s="53">
        <f t="shared" si="149"/>
        <v>350687</v>
      </c>
      <c r="AH210" s="81"/>
      <c r="AI210" s="53">
        <f t="shared" si="132"/>
        <v>350687</v>
      </c>
      <c r="AJ210" s="81"/>
      <c r="AK210" s="53">
        <f t="shared" si="131"/>
        <v>350687</v>
      </c>
      <c r="AL210" s="75"/>
      <c r="AM210" s="75"/>
    </row>
    <row r="211" spans="1:39" s="15" customFormat="1" ht="24">
      <c r="A211" s="41"/>
      <c r="B211" s="55"/>
      <c r="C211" s="41">
        <v>3020</v>
      </c>
      <c r="D211" s="27" t="s">
        <v>179</v>
      </c>
      <c r="E211" s="53">
        <v>175005</v>
      </c>
      <c r="F211" s="53"/>
      <c r="G211" s="53">
        <f t="shared" si="150"/>
        <v>175005</v>
      </c>
      <c r="H211" s="53"/>
      <c r="I211" s="53">
        <f t="shared" si="151"/>
        <v>175005</v>
      </c>
      <c r="J211" s="53"/>
      <c r="K211" s="53">
        <f t="shared" si="152"/>
        <v>175005</v>
      </c>
      <c r="L211" s="53"/>
      <c r="M211" s="53">
        <f t="shared" si="153"/>
        <v>175005</v>
      </c>
      <c r="N211" s="53"/>
      <c r="O211" s="53">
        <f t="shared" si="154"/>
        <v>175005</v>
      </c>
      <c r="P211" s="53"/>
      <c r="Q211" s="53">
        <f t="shared" si="155"/>
        <v>175005</v>
      </c>
      <c r="R211" s="53"/>
      <c r="S211" s="53">
        <f t="shared" si="156"/>
        <v>175005</v>
      </c>
      <c r="T211" s="53"/>
      <c r="U211" s="53">
        <f t="shared" si="157"/>
        <v>175005</v>
      </c>
      <c r="V211" s="53"/>
      <c r="W211" s="53">
        <f t="shared" si="158"/>
        <v>175005</v>
      </c>
      <c r="X211" s="53"/>
      <c r="Y211" s="53">
        <f t="shared" si="159"/>
        <v>175005</v>
      </c>
      <c r="Z211" s="53"/>
      <c r="AA211" s="53">
        <f t="shared" si="160"/>
        <v>175005</v>
      </c>
      <c r="AB211" s="53"/>
      <c r="AC211" s="53">
        <f t="shared" si="161"/>
        <v>175005</v>
      </c>
      <c r="AD211" s="53">
        <v>8268</v>
      </c>
      <c r="AE211" s="53">
        <f t="shared" si="148"/>
        <v>183273</v>
      </c>
      <c r="AF211" s="53"/>
      <c r="AG211" s="53">
        <f t="shared" si="149"/>
        <v>183273</v>
      </c>
      <c r="AH211" s="53">
        <v>-270</v>
      </c>
      <c r="AI211" s="53">
        <f t="shared" si="132"/>
        <v>183003</v>
      </c>
      <c r="AJ211" s="53"/>
      <c r="AK211" s="53">
        <f t="shared" si="131"/>
        <v>183003</v>
      </c>
      <c r="AL211" s="75"/>
      <c r="AM211" s="75"/>
    </row>
    <row r="212" spans="1:39" s="148" customFormat="1" ht="24" customHeight="1">
      <c r="A212" s="147"/>
      <c r="B212" s="149"/>
      <c r="C212" s="41">
        <v>4010</v>
      </c>
      <c r="D212" s="27" t="s">
        <v>74</v>
      </c>
      <c r="E212" s="53">
        <v>6165427</v>
      </c>
      <c r="F212" s="53"/>
      <c r="G212" s="53">
        <f t="shared" si="150"/>
        <v>6165427</v>
      </c>
      <c r="H212" s="53"/>
      <c r="I212" s="53">
        <f t="shared" si="151"/>
        <v>6165427</v>
      </c>
      <c r="J212" s="53"/>
      <c r="K212" s="53">
        <f t="shared" si="152"/>
        <v>6165427</v>
      </c>
      <c r="L212" s="53"/>
      <c r="M212" s="53">
        <f t="shared" si="153"/>
        <v>6165427</v>
      </c>
      <c r="N212" s="53"/>
      <c r="O212" s="53">
        <f t="shared" si="154"/>
        <v>6165427</v>
      </c>
      <c r="P212" s="53">
        <v>355394</v>
      </c>
      <c r="Q212" s="53">
        <f t="shared" si="155"/>
        <v>6520821</v>
      </c>
      <c r="R212" s="53"/>
      <c r="S212" s="53">
        <f t="shared" si="156"/>
        <v>6520821</v>
      </c>
      <c r="T212" s="53">
        <v>64133</v>
      </c>
      <c r="U212" s="53">
        <f t="shared" si="157"/>
        <v>6584954</v>
      </c>
      <c r="V212" s="53"/>
      <c r="W212" s="53">
        <f t="shared" si="158"/>
        <v>6584954</v>
      </c>
      <c r="X212" s="53">
        <v>-8800</v>
      </c>
      <c r="Y212" s="53">
        <f t="shared" si="159"/>
        <v>6576154</v>
      </c>
      <c r="Z212" s="53"/>
      <c r="AA212" s="53">
        <f t="shared" si="160"/>
        <v>6576154</v>
      </c>
      <c r="AB212" s="53"/>
      <c r="AC212" s="53">
        <f t="shared" si="161"/>
        <v>6576154</v>
      </c>
      <c r="AD212" s="53">
        <v>192126</v>
      </c>
      <c r="AE212" s="53">
        <f t="shared" si="148"/>
        <v>6768280</v>
      </c>
      <c r="AF212" s="53"/>
      <c r="AG212" s="53">
        <f t="shared" si="149"/>
        <v>6768280</v>
      </c>
      <c r="AH212" s="53">
        <f>9651+431</f>
        <v>10082</v>
      </c>
      <c r="AI212" s="53">
        <f t="shared" si="132"/>
        <v>6778362</v>
      </c>
      <c r="AJ212" s="53"/>
      <c r="AK212" s="53">
        <f t="shared" si="131"/>
        <v>6778362</v>
      </c>
      <c r="AL212" s="75"/>
      <c r="AM212" s="75"/>
    </row>
    <row r="213" spans="1:39" s="15" customFormat="1" ht="21" customHeight="1">
      <c r="A213" s="41"/>
      <c r="B213" s="55"/>
      <c r="C213" s="41">
        <v>4040</v>
      </c>
      <c r="D213" s="27" t="s">
        <v>75</v>
      </c>
      <c r="E213" s="53">
        <v>497862</v>
      </c>
      <c r="F213" s="53"/>
      <c r="G213" s="53">
        <f t="shared" si="150"/>
        <v>497862</v>
      </c>
      <c r="H213" s="53"/>
      <c r="I213" s="53">
        <f t="shared" si="151"/>
        <v>497862</v>
      </c>
      <c r="J213" s="53"/>
      <c r="K213" s="53">
        <f t="shared" si="152"/>
        <v>497862</v>
      </c>
      <c r="L213" s="53"/>
      <c r="M213" s="53">
        <f t="shared" si="153"/>
        <v>497862</v>
      </c>
      <c r="N213" s="53"/>
      <c r="O213" s="53">
        <f t="shared" si="154"/>
        <v>497862</v>
      </c>
      <c r="P213" s="53">
        <v>-17138</v>
      </c>
      <c r="Q213" s="53">
        <f t="shared" si="155"/>
        <v>480724</v>
      </c>
      <c r="R213" s="53"/>
      <c r="S213" s="53">
        <f t="shared" si="156"/>
        <v>480724</v>
      </c>
      <c r="T213" s="53"/>
      <c r="U213" s="53">
        <f t="shared" si="157"/>
        <v>480724</v>
      </c>
      <c r="V213" s="53"/>
      <c r="W213" s="53">
        <f t="shared" si="158"/>
        <v>480724</v>
      </c>
      <c r="X213" s="53"/>
      <c r="Y213" s="53">
        <f t="shared" si="159"/>
        <v>480724</v>
      </c>
      <c r="Z213" s="53"/>
      <c r="AA213" s="53">
        <f t="shared" si="160"/>
        <v>480724</v>
      </c>
      <c r="AB213" s="53"/>
      <c r="AC213" s="53">
        <f t="shared" si="161"/>
        <v>480724</v>
      </c>
      <c r="AD213" s="53"/>
      <c r="AE213" s="53">
        <f t="shared" si="148"/>
        <v>480724</v>
      </c>
      <c r="AF213" s="53"/>
      <c r="AG213" s="53">
        <f t="shared" si="149"/>
        <v>480724</v>
      </c>
      <c r="AH213" s="53">
        <v>356</v>
      </c>
      <c r="AI213" s="53">
        <f t="shared" si="132"/>
        <v>481080</v>
      </c>
      <c r="AJ213" s="53"/>
      <c r="AK213" s="53">
        <f t="shared" si="131"/>
        <v>481080</v>
      </c>
      <c r="AL213" s="75"/>
      <c r="AM213" s="75"/>
    </row>
    <row r="214" spans="1:39" s="148" customFormat="1" ht="21" customHeight="1">
      <c r="A214" s="147"/>
      <c r="B214" s="149"/>
      <c r="C214" s="41">
        <v>4110</v>
      </c>
      <c r="D214" s="27" t="s">
        <v>76</v>
      </c>
      <c r="E214" s="53">
        <v>1169785</v>
      </c>
      <c r="F214" s="53"/>
      <c r="G214" s="53">
        <f t="shared" si="150"/>
        <v>1169785</v>
      </c>
      <c r="H214" s="53"/>
      <c r="I214" s="53">
        <f t="shared" si="151"/>
        <v>1169785</v>
      </c>
      <c r="J214" s="53"/>
      <c r="K214" s="53">
        <f t="shared" si="152"/>
        <v>1169785</v>
      </c>
      <c r="L214" s="53"/>
      <c r="M214" s="53">
        <f t="shared" si="153"/>
        <v>1169785</v>
      </c>
      <c r="N214" s="53"/>
      <c r="O214" s="53">
        <f t="shared" si="154"/>
        <v>1169785</v>
      </c>
      <c r="P214" s="53"/>
      <c r="Q214" s="53">
        <f t="shared" si="155"/>
        <v>1169785</v>
      </c>
      <c r="R214" s="53"/>
      <c r="S214" s="53">
        <f t="shared" si="156"/>
        <v>1169785</v>
      </c>
      <c r="T214" s="53">
        <v>9951</v>
      </c>
      <c r="U214" s="53">
        <f t="shared" si="157"/>
        <v>1179736</v>
      </c>
      <c r="V214" s="53"/>
      <c r="W214" s="53">
        <f t="shared" si="158"/>
        <v>1179736</v>
      </c>
      <c r="X214" s="53">
        <v>-1360</v>
      </c>
      <c r="Y214" s="53">
        <f t="shared" si="159"/>
        <v>1178376</v>
      </c>
      <c r="Z214" s="53"/>
      <c r="AA214" s="53">
        <f t="shared" si="160"/>
        <v>1178376</v>
      </c>
      <c r="AB214" s="53"/>
      <c r="AC214" s="53">
        <f t="shared" si="161"/>
        <v>1178376</v>
      </c>
      <c r="AD214" s="53">
        <v>-65655</v>
      </c>
      <c r="AE214" s="53">
        <f t="shared" si="148"/>
        <v>1112721</v>
      </c>
      <c r="AF214" s="53"/>
      <c r="AG214" s="53">
        <f t="shared" si="149"/>
        <v>1112721</v>
      </c>
      <c r="AH214" s="53">
        <f>370+65</f>
        <v>435</v>
      </c>
      <c r="AI214" s="53">
        <f t="shared" si="132"/>
        <v>1113156</v>
      </c>
      <c r="AJ214" s="53"/>
      <c r="AK214" s="53">
        <f t="shared" si="131"/>
        <v>1113156</v>
      </c>
      <c r="AL214" s="75"/>
      <c r="AM214" s="75"/>
    </row>
    <row r="215" spans="1:39" s="148" customFormat="1" ht="21" customHeight="1">
      <c r="A215" s="147"/>
      <c r="B215" s="149"/>
      <c r="C215" s="41">
        <v>4120</v>
      </c>
      <c r="D215" s="27" t="s">
        <v>77</v>
      </c>
      <c r="E215" s="53">
        <v>164820</v>
      </c>
      <c r="F215" s="53"/>
      <c r="G215" s="53">
        <f t="shared" si="150"/>
        <v>164820</v>
      </c>
      <c r="H215" s="53"/>
      <c r="I215" s="53">
        <f t="shared" si="151"/>
        <v>164820</v>
      </c>
      <c r="J215" s="53"/>
      <c r="K215" s="53">
        <f t="shared" si="152"/>
        <v>164820</v>
      </c>
      <c r="L215" s="53"/>
      <c r="M215" s="53">
        <f t="shared" si="153"/>
        <v>164820</v>
      </c>
      <c r="N215" s="53"/>
      <c r="O215" s="53">
        <f t="shared" si="154"/>
        <v>164820</v>
      </c>
      <c r="P215" s="53"/>
      <c r="Q215" s="53">
        <f t="shared" si="155"/>
        <v>164820</v>
      </c>
      <c r="R215" s="53"/>
      <c r="S215" s="53">
        <f t="shared" si="156"/>
        <v>164820</v>
      </c>
      <c r="T215" s="53">
        <v>1586</v>
      </c>
      <c r="U215" s="53">
        <f t="shared" si="157"/>
        <v>166406</v>
      </c>
      <c r="V215" s="53"/>
      <c r="W215" s="53">
        <f t="shared" si="158"/>
        <v>166406</v>
      </c>
      <c r="X215" s="53">
        <v>-216</v>
      </c>
      <c r="Y215" s="53">
        <f t="shared" si="159"/>
        <v>166190</v>
      </c>
      <c r="Z215" s="53"/>
      <c r="AA215" s="53">
        <f t="shared" si="160"/>
        <v>166190</v>
      </c>
      <c r="AB215" s="53"/>
      <c r="AC215" s="53">
        <f t="shared" si="161"/>
        <v>166190</v>
      </c>
      <c r="AD215" s="53">
        <v>9586</v>
      </c>
      <c r="AE215" s="53">
        <f t="shared" si="148"/>
        <v>175776</v>
      </c>
      <c r="AF215" s="53"/>
      <c r="AG215" s="53">
        <f t="shared" si="149"/>
        <v>175776</v>
      </c>
      <c r="AH215" s="53">
        <f>60+19</f>
        <v>79</v>
      </c>
      <c r="AI215" s="53">
        <f t="shared" si="132"/>
        <v>175855</v>
      </c>
      <c r="AJ215" s="53"/>
      <c r="AK215" s="53">
        <f t="shared" si="131"/>
        <v>175855</v>
      </c>
      <c r="AL215" s="75"/>
      <c r="AM215" s="75"/>
    </row>
    <row r="216" spans="1:39" s="15" customFormat="1" ht="21" customHeight="1">
      <c r="A216" s="41"/>
      <c r="B216" s="55"/>
      <c r="C216" s="41">
        <v>4170</v>
      </c>
      <c r="D216" s="27" t="s">
        <v>162</v>
      </c>
      <c r="E216" s="53">
        <v>39600</v>
      </c>
      <c r="F216" s="53"/>
      <c r="G216" s="53">
        <f t="shared" si="150"/>
        <v>39600</v>
      </c>
      <c r="H216" s="53"/>
      <c r="I216" s="53">
        <f t="shared" si="151"/>
        <v>39600</v>
      </c>
      <c r="J216" s="53"/>
      <c r="K216" s="53">
        <f t="shared" si="152"/>
        <v>39600</v>
      </c>
      <c r="L216" s="53"/>
      <c r="M216" s="53">
        <f t="shared" si="153"/>
        <v>39600</v>
      </c>
      <c r="N216" s="53"/>
      <c r="O216" s="53">
        <f t="shared" si="154"/>
        <v>39600</v>
      </c>
      <c r="P216" s="53"/>
      <c r="Q216" s="53">
        <f t="shared" si="155"/>
        <v>39600</v>
      </c>
      <c r="R216" s="53"/>
      <c r="S216" s="53">
        <f t="shared" si="156"/>
        <v>39600</v>
      </c>
      <c r="T216" s="53"/>
      <c r="U216" s="53">
        <f t="shared" si="157"/>
        <v>39600</v>
      </c>
      <c r="V216" s="53"/>
      <c r="W216" s="53">
        <f t="shared" si="158"/>
        <v>39600</v>
      </c>
      <c r="X216" s="53">
        <v>2000</v>
      </c>
      <c r="Y216" s="53">
        <f t="shared" si="159"/>
        <v>41600</v>
      </c>
      <c r="Z216" s="53"/>
      <c r="AA216" s="53">
        <f t="shared" si="160"/>
        <v>41600</v>
      </c>
      <c r="AB216" s="53"/>
      <c r="AC216" s="53">
        <f t="shared" si="161"/>
        <v>41600</v>
      </c>
      <c r="AD216" s="53">
        <v>-19400</v>
      </c>
      <c r="AE216" s="53">
        <f t="shared" si="148"/>
        <v>22200</v>
      </c>
      <c r="AF216" s="53"/>
      <c r="AG216" s="53">
        <f t="shared" si="149"/>
        <v>22200</v>
      </c>
      <c r="AH216" s="53">
        <v>2900</v>
      </c>
      <c r="AI216" s="53">
        <f t="shared" si="132"/>
        <v>25100</v>
      </c>
      <c r="AJ216" s="53"/>
      <c r="AK216" s="53">
        <f t="shared" si="131"/>
        <v>25100</v>
      </c>
      <c r="AL216" s="75"/>
      <c r="AM216" s="75"/>
    </row>
    <row r="217" spans="1:39" s="15" customFormat="1" ht="21" customHeight="1">
      <c r="A217" s="41"/>
      <c r="B217" s="55"/>
      <c r="C217" s="41">
        <v>4210</v>
      </c>
      <c r="D217" s="27" t="s">
        <v>82</v>
      </c>
      <c r="E217" s="53">
        <f>425250+6500</f>
        <v>431750</v>
      </c>
      <c r="F217" s="53"/>
      <c r="G217" s="53">
        <f t="shared" si="150"/>
        <v>431750</v>
      </c>
      <c r="H217" s="53">
        <f>300+300</f>
        <v>600</v>
      </c>
      <c r="I217" s="53">
        <f t="shared" si="151"/>
        <v>432350</v>
      </c>
      <c r="J217" s="53"/>
      <c r="K217" s="53">
        <f t="shared" si="152"/>
        <v>432350</v>
      </c>
      <c r="L217" s="53"/>
      <c r="M217" s="53">
        <f t="shared" si="153"/>
        <v>432350</v>
      </c>
      <c r="N217" s="53"/>
      <c r="O217" s="53">
        <f t="shared" si="154"/>
        <v>432350</v>
      </c>
      <c r="P217" s="53"/>
      <c r="Q217" s="53">
        <f t="shared" si="155"/>
        <v>432350</v>
      </c>
      <c r="R217" s="53"/>
      <c r="S217" s="53">
        <f t="shared" si="156"/>
        <v>432350</v>
      </c>
      <c r="T217" s="53"/>
      <c r="U217" s="53">
        <f t="shared" si="157"/>
        <v>432350</v>
      </c>
      <c r="V217" s="53">
        <v>5600</v>
      </c>
      <c r="W217" s="53">
        <f t="shared" si="158"/>
        <v>437950</v>
      </c>
      <c r="X217" s="53"/>
      <c r="Y217" s="53">
        <f t="shared" si="159"/>
        <v>437950</v>
      </c>
      <c r="Z217" s="53"/>
      <c r="AA217" s="53">
        <f t="shared" si="160"/>
        <v>437950</v>
      </c>
      <c r="AB217" s="53"/>
      <c r="AC217" s="53">
        <f t="shared" si="161"/>
        <v>437950</v>
      </c>
      <c r="AD217" s="53">
        <v>13476</v>
      </c>
      <c r="AE217" s="53">
        <f t="shared" si="148"/>
        <v>451426</v>
      </c>
      <c r="AF217" s="53"/>
      <c r="AG217" s="53">
        <f t="shared" si="149"/>
        <v>451426</v>
      </c>
      <c r="AH217" s="53">
        <v>5667</v>
      </c>
      <c r="AI217" s="53">
        <f t="shared" si="132"/>
        <v>457093</v>
      </c>
      <c r="AJ217" s="53"/>
      <c r="AK217" s="53">
        <f t="shared" si="131"/>
        <v>457093</v>
      </c>
      <c r="AL217" s="75"/>
      <c r="AM217" s="75"/>
    </row>
    <row r="218" spans="1:39" s="15" customFormat="1" ht="24">
      <c r="A218" s="41"/>
      <c r="B218" s="55"/>
      <c r="C218" s="59">
        <v>4230</v>
      </c>
      <c r="D218" s="27" t="s">
        <v>231</v>
      </c>
      <c r="E218" s="53">
        <v>1430</v>
      </c>
      <c r="F218" s="53"/>
      <c r="G218" s="53">
        <f t="shared" si="150"/>
        <v>1430</v>
      </c>
      <c r="H218" s="53"/>
      <c r="I218" s="53">
        <f t="shared" si="151"/>
        <v>1430</v>
      </c>
      <c r="J218" s="53"/>
      <c r="K218" s="53">
        <f t="shared" si="152"/>
        <v>1430</v>
      </c>
      <c r="L218" s="53"/>
      <c r="M218" s="53">
        <f t="shared" si="153"/>
        <v>1430</v>
      </c>
      <c r="N218" s="53"/>
      <c r="O218" s="53">
        <f t="shared" si="154"/>
        <v>1430</v>
      </c>
      <c r="P218" s="53"/>
      <c r="Q218" s="53">
        <f t="shared" si="155"/>
        <v>1430</v>
      </c>
      <c r="R218" s="53"/>
      <c r="S218" s="53">
        <f t="shared" si="156"/>
        <v>1430</v>
      </c>
      <c r="T218" s="53"/>
      <c r="U218" s="53">
        <f t="shared" si="157"/>
        <v>1430</v>
      </c>
      <c r="V218" s="53"/>
      <c r="W218" s="53">
        <f t="shared" si="158"/>
        <v>1430</v>
      </c>
      <c r="X218" s="53"/>
      <c r="Y218" s="53">
        <f t="shared" si="159"/>
        <v>1430</v>
      </c>
      <c r="Z218" s="53"/>
      <c r="AA218" s="53">
        <f t="shared" si="160"/>
        <v>1430</v>
      </c>
      <c r="AB218" s="53"/>
      <c r="AC218" s="53">
        <f t="shared" si="161"/>
        <v>1430</v>
      </c>
      <c r="AD218" s="53">
        <v>-138</v>
      </c>
      <c r="AE218" s="53">
        <f t="shared" si="148"/>
        <v>1292</v>
      </c>
      <c r="AF218" s="53"/>
      <c r="AG218" s="53">
        <f t="shared" si="149"/>
        <v>1292</v>
      </c>
      <c r="AH218" s="53">
        <v>138</v>
      </c>
      <c r="AI218" s="53">
        <f t="shared" si="132"/>
        <v>1430</v>
      </c>
      <c r="AJ218" s="53"/>
      <c r="AK218" s="53">
        <f aca="true" t="shared" si="162" ref="AK218:AK249">SUM(AI218:AJ218)</f>
        <v>1430</v>
      </c>
      <c r="AL218" s="75"/>
      <c r="AM218" s="75"/>
    </row>
    <row r="219" spans="1:39" s="15" customFormat="1" ht="24">
      <c r="A219" s="41"/>
      <c r="B219" s="55"/>
      <c r="C219" s="59">
        <v>4240</v>
      </c>
      <c r="D219" s="27" t="s">
        <v>116</v>
      </c>
      <c r="E219" s="53">
        <v>32950</v>
      </c>
      <c r="F219" s="53"/>
      <c r="G219" s="53">
        <f t="shared" si="150"/>
        <v>32950</v>
      </c>
      <c r="H219" s="53"/>
      <c r="I219" s="53">
        <f t="shared" si="151"/>
        <v>32950</v>
      </c>
      <c r="J219" s="53"/>
      <c r="K219" s="53">
        <f t="shared" si="152"/>
        <v>32950</v>
      </c>
      <c r="L219" s="53"/>
      <c r="M219" s="53">
        <f t="shared" si="153"/>
        <v>32950</v>
      </c>
      <c r="N219" s="53"/>
      <c r="O219" s="53">
        <f t="shared" si="154"/>
        <v>32950</v>
      </c>
      <c r="P219" s="53"/>
      <c r="Q219" s="53">
        <f t="shared" si="155"/>
        <v>32950</v>
      </c>
      <c r="R219" s="53"/>
      <c r="S219" s="53">
        <f t="shared" si="156"/>
        <v>32950</v>
      </c>
      <c r="T219" s="53"/>
      <c r="U219" s="53">
        <f t="shared" si="157"/>
        <v>32950</v>
      </c>
      <c r="V219" s="53">
        <v>600</v>
      </c>
      <c r="W219" s="53">
        <f t="shared" si="158"/>
        <v>33550</v>
      </c>
      <c r="X219" s="53"/>
      <c r="Y219" s="53">
        <f t="shared" si="159"/>
        <v>33550</v>
      </c>
      <c r="Z219" s="53"/>
      <c r="AA219" s="53">
        <f t="shared" si="160"/>
        <v>33550</v>
      </c>
      <c r="AB219" s="53"/>
      <c r="AC219" s="53">
        <f t="shared" si="161"/>
        <v>33550</v>
      </c>
      <c r="AD219" s="53">
        <v>5300</v>
      </c>
      <c r="AE219" s="53">
        <f t="shared" si="148"/>
        <v>38850</v>
      </c>
      <c r="AF219" s="53"/>
      <c r="AG219" s="53">
        <f t="shared" si="149"/>
        <v>38850</v>
      </c>
      <c r="AH219" s="53"/>
      <c r="AI219" s="53">
        <f t="shared" si="132"/>
        <v>38850</v>
      </c>
      <c r="AJ219" s="53"/>
      <c r="AK219" s="53">
        <f t="shared" si="162"/>
        <v>38850</v>
      </c>
      <c r="AL219" s="75"/>
      <c r="AM219" s="75"/>
    </row>
    <row r="220" spans="1:39" s="15" customFormat="1" ht="21" customHeight="1">
      <c r="A220" s="41"/>
      <c r="B220" s="55"/>
      <c r="C220" s="41">
        <v>4260</v>
      </c>
      <c r="D220" s="27" t="s">
        <v>85</v>
      </c>
      <c r="E220" s="53">
        <v>481080</v>
      </c>
      <c r="F220" s="53"/>
      <c r="G220" s="53">
        <f t="shared" si="150"/>
        <v>481080</v>
      </c>
      <c r="H220" s="53"/>
      <c r="I220" s="53">
        <f t="shared" si="151"/>
        <v>481080</v>
      </c>
      <c r="J220" s="53"/>
      <c r="K220" s="53">
        <f t="shared" si="152"/>
        <v>481080</v>
      </c>
      <c r="L220" s="53"/>
      <c r="M220" s="53">
        <f t="shared" si="153"/>
        <v>481080</v>
      </c>
      <c r="N220" s="53"/>
      <c r="O220" s="53">
        <f t="shared" si="154"/>
        <v>481080</v>
      </c>
      <c r="P220" s="53"/>
      <c r="Q220" s="53">
        <f t="shared" si="155"/>
        <v>481080</v>
      </c>
      <c r="R220" s="53"/>
      <c r="S220" s="53">
        <f t="shared" si="156"/>
        <v>481080</v>
      </c>
      <c r="T220" s="53"/>
      <c r="U220" s="53">
        <f t="shared" si="157"/>
        <v>481080</v>
      </c>
      <c r="V220" s="53"/>
      <c r="W220" s="53">
        <f t="shared" si="158"/>
        <v>481080</v>
      </c>
      <c r="X220" s="53">
        <v>20500</v>
      </c>
      <c r="Y220" s="53">
        <f t="shared" si="159"/>
        <v>501580</v>
      </c>
      <c r="Z220" s="53"/>
      <c r="AA220" s="53">
        <f t="shared" si="160"/>
        <v>501580</v>
      </c>
      <c r="AB220" s="53"/>
      <c r="AC220" s="53">
        <f t="shared" si="161"/>
        <v>501580</v>
      </c>
      <c r="AD220" s="53">
        <v>-2057</v>
      </c>
      <c r="AE220" s="53">
        <f t="shared" si="148"/>
        <v>499523</v>
      </c>
      <c r="AF220" s="53"/>
      <c r="AG220" s="53">
        <f t="shared" si="149"/>
        <v>499523</v>
      </c>
      <c r="AH220" s="53">
        <v>-4005</v>
      </c>
      <c r="AI220" s="53">
        <f aca="true" t="shared" si="163" ref="AI220:AI252">SUM(AG220:AH220)</f>
        <v>495518</v>
      </c>
      <c r="AJ220" s="53"/>
      <c r="AK220" s="53">
        <f t="shared" si="162"/>
        <v>495518</v>
      </c>
      <c r="AL220" s="75"/>
      <c r="AM220" s="75"/>
    </row>
    <row r="221" spans="1:39" s="15" customFormat="1" ht="21" customHeight="1">
      <c r="A221" s="41"/>
      <c r="B221" s="55"/>
      <c r="C221" s="41">
        <v>4270</v>
      </c>
      <c r="D221" s="27" t="s">
        <v>68</v>
      </c>
      <c r="E221" s="53">
        <f>110200+150000</f>
        <v>260200</v>
      </c>
      <c r="F221" s="53"/>
      <c r="G221" s="53">
        <f t="shared" si="150"/>
        <v>260200</v>
      </c>
      <c r="H221" s="53"/>
      <c r="I221" s="53">
        <f t="shared" si="151"/>
        <v>260200</v>
      </c>
      <c r="J221" s="53"/>
      <c r="K221" s="53">
        <f t="shared" si="152"/>
        <v>260200</v>
      </c>
      <c r="L221" s="53"/>
      <c r="M221" s="53">
        <f t="shared" si="153"/>
        <v>260200</v>
      </c>
      <c r="N221" s="53"/>
      <c r="O221" s="53">
        <f t="shared" si="154"/>
        <v>260200</v>
      </c>
      <c r="P221" s="53">
        <v>100000</v>
      </c>
      <c r="Q221" s="53">
        <f t="shared" si="155"/>
        <v>360200</v>
      </c>
      <c r="R221" s="53">
        <v>50000</v>
      </c>
      <c r="S221" s="53">
        <f t="shared" si="156"/>
        <v>410200</v>
      </c>
      <c r="T221" s="53"/>
      <c r="U221" s="53">
        <f t="shared" si="157"/>
        <v>410200</v>
      </c>
      <c r="V221" s="53">
        <v>-6500</v>
      </c>
      <c r="W221" s="53">
        <f t="shared" si="158"/>
        <v>403700</v>
      </c>
      <c r="X221" s="53">
        <f>20250+8000</f>
        <v>28250</v>
      </c>
      <c r="Y221" s="53">
        <f t="shared" si="159"/>
        <v>431950</v>
      </c>
      <c r="Z221" s="53"/>
      <c r="AA221" s="53">
        <f t="shared" si="160"/>
        <v>431950</v>
      </c>
      <c r="AB221" s="53"/>
      <c r="AC221" s="53">
        <f t="shared" si="161"/>
        <v>431950</v>
      </c>
      <c r="AD221" s="53">
        <v>-6860</v>
      </c>
      <c r="AE221" s="53">
        <f t="shared" si="148"/>
        <v>425090</v>
      </c>
      <c r="AF221" s="53"/>
      <c r="AG221" s="53">
        <f t="shared" si="149"/>
        <v>425090</v>
      </c>
      <c r="AH221" s="53">
        <v>-1622</v>
      </c>
      <c r="AI221" s="53">
        <f t="shared" si="163"/>
        <v>423468</v>
      </c>
      <c r="AJ221" s="53"/>
      <c r="AK221" s="53">
        <f t="shared" si="162"/>
        <v>423468</v>
      </c>
      <c r="AL221" s="75"/>
      <c r="AM221" s="75"/>
    </row>
    <row r="222" spans="1:39" s="15" customFormat="1" ht="21" customHeight="1">
      <c r="A222" s="41"/>
      <c r="B222" s="55"/>
      <c r="C222" s="41">
        <v>4280</v>
      </c>
      <c r="D222" s="27" t="s">
        <v>166</v>
      </c>
      <c r="E222" s="53">
        <v>20740</v>
      </c>
      <c r="F222" s="53"/>
      <c r="G222" s="53">
        <f t="shared" si="150"/>
        <v>20740</v>
      </c>
      <c r="H222" s="53"/>
      <c r="I222" s="53">
        <f t="shared" si="151"/>
        <v>20740</v>
      </c>
      <c r="J222" s="53"/>
      <c r="K222" s="53">
        <f t="shared" si="152"/>
        <v>20740</v>
      </c>
      <c r="L222" s="53"/>
      <c r="M222" s="53">
        <f t="shared" si="153"/>
        <v>20740</v>
      </c>
      <c r="N222" s="53"/>
      <c r="O222" s="53">
        <f t="shared" si="154"/>
        <v>20740</v>
      </c>
      <c r="P222" s="53"/>
      <c r="Q222" s="53">
        <f t="shared" si="155"/>
        <v>20740</v>
      </c>
      <c r="R222" s="53"/>
      <c r="S222" s="53">
        <f t="shared" si="156"/>
        <v>20740</v>
      </c>
      <c r="T222" s="53"/>
      <c r="U222" s="53">
        <f t="shared" si="157"/>
        <v>20740</v>
      </c>
      <c r="V222" s="53"/>
      <c r="W222" s="53">
        <f t="shared" si="158"/>
        <v>20740</v>
      </c>
      <c r="X222" s="53"/>
      <c r="Y222" s="53">
        <f t="shared" si="159"/>
        <v>20740</v>
      </c>
      <c r="Z222" s="53"/>
      <c r="AA222" s="53">
        <f t="shared" si="160"/>
        <v>20740</v>
      </c>
      <c r="AB222" s="53"/>
      <c r="AC222" s="53">
        <f t="shared" si="161"/>
        <v>20740</v>
      </c>
      <c r="AD222" s="53">
        <v>-693</v>
      </c>
      <c r="AE222" s="53">
        <f t="shared" si="148"/>
        <v>20047</v>
      </c>
      <c r="AF222" s="53"/>
      <c r="AG222" s="53">
        <f t="shared" si="149"/>
        <v>20047</v>
      </c>
      <c r="AH222" s="53">
        <v>-1185</v>
      </c>
      <c r="AI222" s="53">
        <f t="shared" si="163"/>
        <v>18862</v>
      </c>
      <c r="AJ222" s="53"/>
      <c r="AK222" s="53">
        <f t="shared" si="162"/>
        <v>18862</v>
      </c>
      <c r="AL222" s="75"/>
      <c r="AM222" s="75"/>
    </row>
    <row r="223" spans="1:39" s="15" customFormat="1" ht="21" customHeight="1">
      <c r="A223" s="41"/>
      <c r="B223" s="55"/>
      <c r="C223" s="41">
        <v>4300</v>
      </c>
      <c r="D223" s="27" t="s">
        <v>69</v>
      </c>
      <c r="E223" s="53">
        <v>113800</v>
      </c>
      <c r="F223" s="53"/>
      <c r="G223" s="53">
        <f t="shared" si="150"/>
        <v>113800</v>
      </c>
      <c r="H223" s="53"/>
      <c r="I223" s="53">
        <f t="shared" si="151"/>
        <v>113800</v>
      </c>
      <c r="J223" s="53"/>
      <c r="K223" s="53">
        <f t="shared" si="152"/>
        <v>113800</v>
      </c>
      <c r="L223" s="53"/>
      <c r="M223" s="53">
        <f t="shared" si="153"/>
        <v>113800</v>
      </c>
      <c r="N223" s="53"/>
      <c r="O223" s="53">
        <f t="shared" si="154"/>
        <v>113800</v>
      </c>
      <c r="P223" s="53"/>
      <c r="Q223" s="53">
        <f t="shared" si="155"/>
        <v>113800</v>
      </c>
      <c r="R223" s="53"/>
      <c r="S223" s="53">
        <f t="shared" si="156"/>
        <v>113800</v>
      </c>
      <c r="T223" s="53"/>
      <c r="U223" s="53">
        <f t="shared" si="157"/>
        <v>113800</v>
      </c>
      <c r="V223" s="53"/>
      <c r="W223" s="53">
        <f t="shared" si="158"/>
        <v>113800</v>
      </c>
      <c r="X223" s="53"/>
      <c r="Y223" s="53">
        <f t="shared" si="159"/>
        <v>113800</v>
      </c>
      <c r="Z223" s="53"/>
      <c r="AA223" s="53">
        <f t="shared" si="160"/>
        <v>113800</v>
      </c>
      <c r="AB223" s="53"/>
      <c r="AC223" s="53">
        <f t="shared" si="161"/>
        <v>113800</v>
      </c>
      <c r="AD223" s="53">
        <v>11929</v>
      </c>
      <c r="AE223" s="53">
        <f t="shared" si="148"/>
        <v>125729</v>
      </c>
      <c r="AF223" s="53"/>
      <c r="AG223" s="53">
        <f t="shared" si="149"/>
        <v>125729</v>
      </c>
      <c r="AH223" s="53">
        <v>1892</v>
      </c>
      <c r="AI223" s="53">
        <f t="shared" si="163"/>
        <v>127621</v>
      </c>
      <c r="AJ223" s="53"/>
      <c r="AK223" s="53">
        <f t="shared" si="162"/>
        <v>127621</v>
      </c>
      <c r="AL223" s="75"/>
      <c r="AM223" s="75"/>
    </row>
    <row r="224" spans="1:39" s="15" customFormat="1" ht="21" customHeight="1">
      <c r="A224" s="41"/>
      <c r="B224" s="55"/>
      <c r="C224" s="41">
        <v>4350</v>
      </c>
      <c r="D224" s="27" t="s">
        <v>175</v>
      </c>
      <c r="E224" s="53">
        <v>8650</v>
      </c>
      <c r="F224" s="53"/>
      <c r="G224" s="53">
        <f t="shared" si="150"/>
        <v>8650</v>
      </c>
      <c r="H224" s="53"/>
      <c r="I224" s="53">
        <f t="shared" si="151"/>
        <v>8650</v>
      </c>
      <c r="J224" s="53"/>
      <c r="K224" s="53">
        <f t="shared" si="152"/>
        <v>8650</v>
      </c>
      <c r="L224" s="53"/>
      <c r="M224" s="53">
        <f t="shared" si="153"/>
        <v>8650</v>
      </c>
      <c r="N224" s="53"/>
      <c r="O224" s="53">
        <f t="shared" si="154"/>
        <v>8650</v>
      </c>
      <c r="P224" s="53"/>
      <c r="Q224" s="53">
        <f t="shared" si="155"/>
        <v>8650</v>
      </c>
      <c r="R224" s="53"/>
      <c r="S224" s="53">
        <f t="shared" si="156"/>
        <v>8650</v>
      </c>
      <c r="T224" s="53"/>
      <c r="U224" s="53">
        <f t="shared" si="157"/>
        <v>8650</v>
      </c>
      <c r="V224" s="53"/>
      <c r="W224" s="53">
        <f t="shared" si="158"/>
        <v>8650</v>
      </c>
      <c r="X224" s="53">
        <v>-1000</v>
      </c>
      <c r="Y224" s="53">
        <f t="shared" si="159"/>
        <v>7650</v>
      </c>
      <c r="Z224" s="53"/>
      <c r="AA224" s="53">
        <f t="shared" si="160"/>
        <v>7650</v>
      </c>
      <c r="AB224" s="53"/>
      <c r="AC224" s="53">
        <f t="shared" si="161"/>
        <v>7650</v>
      </c>
      <c r="AD224" s="53">
        <v>-4103</v>
      </c>
      <c r="AE224" s="53">
        <f t="shared" si="148"/>
        <v>3547</v>
      </c>
      <c r="AF224" s="53"/>
      <c r="AG224" s="53">
        <f t="shared" si="149"/>
        <v>3547</v>
      </c>
      <c r="AH224" s="53"/>
      <c r="AI224" s="53">
        <f t="shared" si="163"/>
        <v>3547</v>
      </c>
      <c r="AJ224" s="53"/>
      <c r="AK224" s="53">
        <f t="shared" si="162"/>
        <v>3547</v>
      </c>
      <c r="AL224" s="75"/>
      <c r="AM224" s="75"/>
    </row>
    <row r="225" spans="1:39" s="15" customFormat="1" ht="24">
      <c r="A225" s="41"/>
      <c r="B225" s="55"/>
      <c r="C225" s="41">
        <v>4370</v>
      </c>
      <c r="D225" s="9" t="s">
        <v>188</v>
      </c>
      <c r="E225" s="53">
        <v>31570</v>
      </c>
      <c r="F225" s="53"/>
      <c r="G225" s="53">
        <f t="shared" si="150"/>
        <v>31570</v>
      </c>
      <c r="H225" s="53"/>
      <c r="I225" s="53">
        <f t="shared" si="151"/>
        <v>31570</v>
      </c>
      <c r="J225" s="53"/>
      <c r="K225" s="53">
        <f t="shared" si="152"/>
        <v>31570</v>
      </c>
      <c r="L225" s="53"/>
      <c r="M225" s="53">
        <f t="shared" si="153"/>
        <v>31570</v>
      </c>
      <c r="N225" s="53"/>
      <c r="O225" s="53">
        <f t="shared" si="154"/>
        <v>31570</v>
      </c>
      <c r="P225" s="53">
        <v>1000</v>
      </c>
      <c r="Q225" s="53">
        <f t="shared" si="155"/>
        <v>32570</v>
      </c>
      <c r="R225" s="53"/>
      <c r="S225" s="53">
        <f t="shared" si="156"/>
        <v>32570</v>
      </c>
      <c r="T225" s="53"/>
      <c r="U225" s="53">
        <f t="shared" si="157"/>
        <v>32570</v>
      </c>
      <c r="V225" s="53">
        <v>-900</v>
      </c>
      <c r="W225" s="53">
        <f t="shared" si="158"/>
        <v>31670</v>
      </c>
      <c r="X225" s="53"/>
      <c r="Y225" s="53">
        <f t="shared" si="159"/>
        <v>31670</v>
      </c>
      <c r="Z225" s="53"/>
      <c r="AA225" s="53">
        <f t="shared" si="160"/>
        <v>31670</v>
      </c>
      <c r="AB225" s="53"/>
      <c r="AC225" s="53">
        <f t="shared" si="161"/>
        <v>31670</v>
      </c>
      <c r="AD225" s="53">
        <v>-11755</v>
      </c>
      <c r="AE225" s="53">
        <f t="shared" si="148"/>
        <v>19915</v>
      </c>
      <c r="AF225" s="53"/>
      <c r="AG225" s="53">
        <f t="shared" si="149"/>
        <v>19915</v>
      </c>
      <c r="AH225" s="53"/>
      <c r="AI225" s="53">
        <f t="shared" si="163"/>
        <v>19915</v>
      </c>
      <c r="AJ225" s="53"/>
      <c r="AK225" s="53">
        <f t="shared" si="162"/>
        <v>19915</v>
      </c>
      <c r="AL225" s="75"/>
      <c r="AM225" s="75"/>
    </row>
    <row r="226" spans="1:39" s="15" customFormat="1" ht="24">
      <c r="A226" s="41"/>
      <c r="B226" s="55"/>
      <c r="C226" s="41">
        <v>4390</v>
      </c>
      <c r="D226" s="27" t="s">
        <v>271</v>
      </c>
      <c r="E226" s="53">
        <v>5100</v>
      </c>
      <c r="F226" s="53"/>
      <c r="G226" s="53">
        <f t="shared" si="150"/>
        <v>5100</v>
      </c>
      <c r="H226" s="53"/>
      <c r="I226" s="53">
        <f t="shared" si="151"/>
        <v>5100</v>
      </c>
      <c r="J226" s="53"/>
      <c r="K226" s="53">
        <f t="shared" si="152"/>
        <v>5100</v>
      </c>
      <c r="L226" s="53"/>
      <c r="M226" s="53">
        <f t="shared" si="153"/>
        <v>5100</v>
      </c>
      <c r="N226" s="53"/>
      <c r="O226" s="53">
        <f t="shared" si="154"/>
        <v>5100</v>
      </c>
      <c r="P226" s="53"/>
      <c r="Q226" s="53">
        <f t="shared" si="155"/>
        <v>5100</v>
      </c>
      <c r="R226" s="53"/>
      <c r="S226" s="53">
        <f t="shared" si="156"/>
        <v>5100</v>
      </c>
      <c r="T226" s="53"/>
      <c r="U226" s="53">
        <f t="shared" si="157"/>
        <v>5100</v>
      </c>
      <c r="V226" s="53"/>
      <c r="W226" s="53">
        <f t="shared" si="158"/>
        <v>5100</v>
      </c>
      <c r="X226" s="53"/>
      <c r="Y226" s="53">
        <f t="shared" si="159"/>
        <v>5100</v>
      </c>
      <c r="Z226" s="53"/>
      <c r="AA226" s="53">
        <f t="shared" si="160"/>
        <v>5100</v>
      </c>
      <c r="AB226" s="53"/>
      <c r="AC226" s="53">
        <f t="shared" si="161"/>
        <v>5100</v>
      </c>
      <c r="AD226" s="53">
        <v>-900</v>
      </c>
      <c r="AE226" s="53">
        <f t="shared" si="148"/>
        <v>4200</v>
      </c>
      <c r="AF226" s="53"/>
      <c r="AG226" s="53">
        <f t="shared" si="149"/>
        <v>4200</v>
      </c>
      <c r="AH226" s="53">
        <v>-2900</v>
      </c>
      <c r="AI226" s="53">
        <f t="shared" si="163"/>
        <v>1300</v>
      </c>
      <c r="AJ226" s="53"/>
      <c r="AK226" s="53">
        <f t="shared" si="162"/>
        <v>1300</v>
      </c>
      <c r="AL226" s="75"/>
      <c r="AM226" s="75"/>
    </row>
    <row r="227" spans="1:39" s="15" customFormat="1" ht="21" customHeight="1">
      <c r="A227" s="41"/>
      <c r="B227" s="55"/>
      <c r="C227" s="41">
        <v>4410</v>
      </c>
      <c r="D227" s="27" t="s">
        <v>80</v>
      </c>
      <c r="E227" s="53">
        <v>15900</v>
      </c>
      <c r="F227" s="53"/>
      <c r="G227" s="53">
        <f t="shared" si="150"/>
        <v>15900</v>
      </c>
      <c r="H227" s="53"/>
      <c r="I227" s="53">
        <f t="shared" si="151"/>
        <v>15900</v>
      </c>
      <c r="J227" s="53"/>
      <c r="K227" s="53">
        <f t="shared" si="152"/>
        <v>15900</v>
      </c>
      <c r="L227" s="53"/>
      <c r="M227" s="53">
        <f t="shared" si="153"/>
        <v>15900</v>
      </c>
      <c r="N227" s="53"/>
      <c r="O227" s="53">
        <f t="shared" si="154"/>
        <v>15900</v>
      </c>
      <c r="P227" s="53"/>
      <c r="Q227" s="53">
        <f t="shared" si="155"/>
        <v>15900</v>
      </c>
      <c r="R227" s="53"/>
      <c r="S227" s="53">
        <f t="shared" si="156"/>
        <v>15900</v>
      </c>
      <c r="T227" s="53"/>
      <c r="U227" s="53">
        <f t="shared" si="157"/>
        <v>15900</v>
      </c>
      <c r="V227" s="53">
        <v>900</v>
      </c>
      <c r="W227" s="53">
        <f t="shared" si="158"/>
        <v>16800</v>
      </c>
      <c r="X227" s="53">
        <v>1000</v>
      </c>
      <c r="Y227" s="53">
        <f t="shared" si="159"/>
        <v>17800</v>
      </c>
      <c r="Z227" s="53"/>
      <c r="AA227" s="53">
        <f t="shared" si="160"/>
        <v>17800</v>
      </c>
      <c r="AB227" s="53"/>
      <c r="AC227" s="53">
        <f t="shared" si="161"/>
        <v>17800</v>
      </c>
      <c r="AD227" s="53">
        <v>2300</v>
      </c>
      <c r="AE227" s="53">
        <f t="shared" si="148"/>
        <v>20100</v>
      </c>
      <c r="AF227" s="53"/>
      <c r="AG227" s="53">
        <f t="shared" si="149"/>
        <v>20100</v>
      </c>
      <c r="AH227" s="53"/>
      <c r="AI227" s="53">
        <f t="shared" si="163"/>
        <v>20100</v>
      </c>
      <c r="AJ227" s="53"/>
      <c r="AK227" s="53">
        <f t="shared" si="162"/>
        <v>20100</v>
      </c>
      <c r="AL227" s="75"/>
      <c r="AM227" s="75"/>
    </row>
    <row r="228" spans="1:39" s="15" customFormat="1" ht="21" customHeight="1">
      <c r="A228" s="41"/>
      <c r="B228" s="55"/>
      <c r="C228" s="43">
        <v>4430</v>
      </c>
      <c r="D228" s="27" t="s">
        <v>84</v>
      </c>
      <c r="E228" s="53">
        <v>8335</v>
      </c>
      <c r="F228" s="53"/>
      <c r="G228" s="53">
        <f t="shared" si="150"/>
        <v>8335</v>
      </c>
      <c r="H228" s="53"/>
      <c r="I228" s="53">
        <f t="shared" si="151"/>
        <v>8335</v>
      </c>
      <c r="J228" s="53"/>
      <c r="K228" s="53">
        <f t="shared" si="152"/>
        <v>8335</v>
      </c>
      <c r="L228" s="53"/>
      <c r="M228" s="53">
        <f t="shared" si="153"/>
        <v>8335</v>
      </c>
      <c r="N228" s="53"/>
      <c r="O228" s="53">
        <f t="shared" si="154"/>
        <v>8335</v>
      </c>
      <c r="P228" s="53">
        <v>-200</v>
      </c>
      <c r="Q228" s="53">
        <f t="shared" si="155"/>
        <v>8135</v>
      </c>
      <c r="R228" s="53"/>
      <c r="S228" s="53">
        <f t="shared" si="156"/>
        <v>8135</v>
      </c>
      <c r="T228" s="53"/>
      <c r="U228" s="53">
        <f t="shared" si="157"/>
        <v>8135</v>
      </c>
      <c r="V228" s="53"/>
      <c r="W228" s="53">
        <f t="shared" si="158"/>
        <v>8135</v>
      </c>
      <c r="X228" s="53"/>
      <c r="Y228" s="53">
        <f t="shared" si="159"/>
        <v>8135</v>
      </c>
      <c r="Z228" s="53"/>
      <c r="AA228" s="53">
        <f t="shared" si="160"/>
        <v>8135</v>
      </c>
      <c r="AB228" s="53"/>
      <c r="AC228" s="53">
        <f t="shared" si="161"/>
        <v>8135</v>
      </c>
      <c r="AD228" s="53">
        <v>-2246</v>
      </c>
      <c r="AE228" s="53">
        <f t="shared" si="148"/>
        <v>5889</v>
      </c>
      <c r="AF228" s="53"/>
      <c r="AG228" s="53">
        <f t="shared" si="149"/>
        <v>5889</v>
      </c>
      <c r="AH228" s="53"/>
      <c r="AI228" s="53">
        <f t="shared" si="163"/>
        <v>5889</v>
      </c>
      <c r="AJ228" s="53"/>
      <c r="AK228" s="53">
        <f t="shared" si="162"/>
        <v>5889</v>
      </c>
      <c r="AL228" s="75"/>
      <c r="AM228" s="75"/>
    </row>
    <row r="229" spans="1:39" s="15" customFormat="1" ht="24">
      <c r="A229" s="41"/>
      <c r="B229" s="55"/>
      <c r="C229" s="43">
        <v>4440</v>
      </c>
      <c r="D229" s="27" t="s">
        <v>78</v>
      </c>
      <c r="E229" s="53">
        <v>394936</v>
      </c>
      <c r="F229" s="53"/>
      <c r="G229" s="53">
        <f t="shared" si="150"/>
        <v>394936</v>
      </c>
      <c r="H229" s="53"/>
      <c r="I229" s="53">
        <f t="shared" si="151"/>
        <v>394936</v>
      </c>
      <c r="J229" s="53"/>
      <c r="K229" s="53">
        <f t="shared" si="152"/>
        <v>394936</v>
      </c>
      <c r="L229" s="53"/>
      <c r="M229" s="53">
        <f t="shared" si="153"/>
        <v>394936</v>
      </c>
      <c r="N229" s="53"/>
      <c r="O229" s="53">
        <f t="shared" si="154"/>
        <v>394936</v>
      </c>
      <c r="P229" s="53"/>
      <c r="Q229" s="53">
        <f t="shared" si="155"/>
        <v>394936</v>
      </c>
      <c r="R229" s="53"/>
      <c r="S229" s="53">
        <f t="shared" si="156"/>
        <v>394936</v>
      </c>
      <c r="T229" s="53"/>
      <c r="U229" s="53">
        <f t="shared" si="157"/>
        <v>394936</v>
      </c>
      <c r="V229" s="53"/>
      <c r="W229" s="53">
        <f t="shared" si="158"/>
        <v>394936</v>
      </c>
      <c r="X229" s="53"/>
      <c r="Y229" s="53">
        <f t="shared" si="159"/>
        <v>394936</v>
      </c>
      <c r="Z229" s="53"/>
      <c r="AA229" s="53">
        <f t="shared" si="160"/>
        <v>394936</v>
      </c>
      <c r="AB229" s="53"/>
      <c r="AC229" s="53">
        <f t="shared" si="161"/>
        <v>394936</v>
      </c>
      <c r="AD229" s="53"/>
      <c r="AE229" s="53">
        <f t="shared" si="148"/>
        <v>394936</v>
      </c>
      <c r="AF229" s="53"/>
      <c r="AG229" s="53">
        <f t="shared" si="149"/>
        <v>394936</v>
      </c>
      <c r="AH229" s="53">
        <v>9011</v>
      </c>
      <c r="AI229" s="53">
        <f t="shared" si="163"/>
        <v>403947</v>
      </c>
      <c r="AJ229" s="53"/>
      <c r="AK229" s="53">
        <f t="shared" si="162"/>
        <v>403947</v>
      </c>
      <c r="AL229" s="75"/>
      <c r="AM229" s="75"/>
    </row>
    <row r="230" spans="1:39" s="15" customFormat="1" ht="22.5" customHeight="1">
      <c r="A230" s="41"/>
      <c r="B230" s="55"/>
      <c r="C230" s="43">
        <v>4510</v>
      </c>
      <c r="D230" s="27" t="s">
        <v>140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>
        <v>0</v>
      </c>
      <c r="P230" s="53">
        <v>200</v>
      </c>
      <c r="Q230" s="53">
        <f t="shared" si="155"/>
        <v>200</v>
      </c>
      <c r="R230" s="53"/>
      <c r="S230" s="53">
        <f t="shared" si="156"/>
        <v>200</v>
      </c>
      <c r="T230" s="53"/>
      <c r="U230" s="53">
        <f t="shared" si="157"/>
        <v>200</v>
      </c>
      <c r="V230" s="53"/>
      <c r="W230" s="53">
        <f t="shared" si="158"/>
        <v>200</v>
      </c>
      <c r="X230" s="53"/>
      <c r="Y230" s="53">
        <f t="shared" si="159"/>
        <v>200</v>
      </c>
      <c r="Z230" s="53"/>
      <c r="AA230" s="53">
        <f t="shared" si="160"/>
        <v>200</v>
      </c>
      <c r="AB230" s="53"/>
      <c r="AC230" s="53">
        <f t="shared" si="161"/>
        <v>200</v>
      </c>
      <c r="AD230" s="53">
        <v>-150</v>
      </c>
      <c r="AE230" s="53">
        <f t="shared" si="148"/>
        <v>50</v>
      </c>
      <c r="AF230" s="53"/>
      <c r="AG230" s="53">
        <f t="shared" si="149"/>
        <v>50</v>
      </c>
      <c r="AH230" s="53"/>
      <c r="AI230" s="53">
        <f t="shared" si="163"/>
        <v>50</v>
      </c>
      <c r="AJ230" s="53"/>
      <c r="AK230" s="53">
        <f t="shared" si="162"/>
        <v>50</v>
      </c>
      <c r="AL230" s="75"/>
      <c r="AM230" s="75"/>
    </row>
    <row r="231" spans="1:39" s="15" customFormat="1" ht="24">
      <c r="A231" s="41"/>
      <c r="B231" s="55"/>
      <c r="C231" s="43">
        <v>4700</v>
      </c>
      <c r="D231" s="27" t="s">
        <v>233</v>
      </c>
      <c r="E231" s="53">
        <v>7350</v>
      </c>
      <c r="F231" s="53"/>
      <c r="G231" s="53">
        <f>SUM(E231:F231)</f>
        <v>7350</v>
      </c>
      <c r="H231" s="53"/>
      <c r="I231" s="53">
        <f>SUM(G231:H231)</f>
        <v>7350</v>
      </c>
      <c r="J231" s="53"/>
      <c r="K231" s="53">
        <f>SUM(I231:J231)</f>
        <v>7350</v>
      </c>
      <c r="L231" s="53"/>
      <c r="M231" s="53">
        <f>SUM(K231:L231)</f>
        <v>7350</v>
      </c>
      <c r="N231" s="53"/>
      <c r="O231" s="53">
        <f>SUM(M231:N231)</f>
        <v>7350</v>
      </c>
      <c r="P231" s="53"/>
      <c r="Q231" s="53">
        <f t="shared" si="155"/>
        <v>7350</v>
      </c>
      <c r="R231" s="53"/>
      <c r="S231" s="53">
        <f t="shared" si="156"/>
        <v>7350</v>
      </c>
      <c r="T231" s="53"/>
      <c r="U231" s="53">
        <f t="shared" si="157"/>
        <v>7350</v>
      </c>
      <c r="V231" s="53"/>
      <c r="W231" s="53">
        <f t="shared" si="158"/>
        <v>7350</v>
      </c>
      <c r="X231" s="53"/>
      <c r="Y231" s="53">
        <f t="shared" si="159"/>
        <v>7350</v>
      </c>
      <c r="Z231" s="53"/>
      <c r="AA231" s="53">
        <f t="shared" si="160"/>
        <v>7350</v>
      </c>
      <c r="AB231" s="53"/>
      <c r="AC231" s="53">
        <f t="shared" si="161"/>
        <v>7350</v>
      </c>
      <c r="AD231" s="53">
        <v>-3750</v>
      </c>
      <c r="AE231" s="53">
        <f t="shared" si="148"/>
        <v>3600</v>
      </c>
      <c r="AF231" s="53"/>
      <c r="AG231" s="53">
        <f t="shared" si="149"/>
        <v>3600</v>
      </c>
      <c r="AH231" s="53">
        <v>-615</v>
      </c>
      <c r="AI231" s="53">
        <f t="shared" si="163"/>
        <v>2985</v>
      </c>
      <c r="AJ231" s="53"/>
      <c r="AK231" s="53">
        <f t="shared" si="162"/>
        <v>2985</v>
      </c>
      <c r="AL231" s="75"/>
      <c r="AM231" s="75"/>
    </row>
    <row r="232" spans="1:39" s="15" customFormat="1" ht="24">
      <c r="A232" s="41"/>
      <c r="B232" s="55"/>
      <c r="C232" s="43">
        <v>4740</v>
      </c>
      <c r="D232" s="9" t="s">
        <v>189</v>
      </c>
      <c r="E232" s="53">
        <v>5450</v>
      </c>
      <c r="F232" s="53"/>
      <c r="G232" s="53">
        <f>SUM(E232:F232)</f>
        <v>5450</v>
      </c>
      <c r="H232" s="53"/>
      <c r="I232" s="53">
        <f>SUM(G232:H232)</f>
        <v>5450</v>
      </c>
      <c r="J232" s="53"/>
      <c r="K232" s="53">
        <f>SUM(I232:J232)</f>
        <v>5450</v>
      </c>
      <c r="L232" s="53"/>
      <c r="M232" s="53">
        <f>SUM(K232:L232)</f>
        <v>5450</v>
      </c>
      <c r="N232" s="53"/>
      <c r="O232" s="53">
        <f>SUM(M232:N232)</f>
        <v>5450</v>
      </c>
      <c r="P232" s="53"/>
      <c r="Q232" s="53">
        <f t="shared" si="155"/>
        <v>5450</v>
      </c>
      <c r="R232" s="53"/>
      <c r="S232" s="53">
        <f t="shared" si="156"/>
        <v>5450</v>
      </c>
      <c r="T232" s="53"/>
      <c r="U232" s="53">
        <f t="shared" si="157"/>
        <v>5450</v>
      </c>
      <c r="V232" s="53"/>
      <c r="W232" s="53">
        <f t="shared" si="158"/>
        <v>5450</v>
      </c>
      <c r="X232" s="53"/>
      <c r="Y232" s="53">
        <f t="shared" si="159"/>
        <v>5450</v>
      </c>
      <c r="Z232" s="53"/>
      <c r="AA232" s="53">
        <f t="shared" si="160"/>
        <v>5450</v>
      </c>
      <c r="AB232" s="53"/>
      <c r="AC232" s="53">
        <f t="shared" si="161"/>
        <v>5450</v>
      </c>
      <c r="AD232" s="53"/>
      <c r="AE232" s="53">
        <f t="shared" si="148"/>
        <v>5450</v>
      </c>
      <c r="AF232" s="53"/>
      <c r="AG232" s="53">
        <f t="shared" si="149"/>
        <v>5450</v>
      </c>
      <c r="AH232" s="53"/>
      <c r="AI232" s="53">
        <f t="shared" si="163"/>
        <v>5450</v>
      </c>
      <c r="AJ232" s="53"/>
      <c r="AK232" s="53">
        <f t="shared" si="162"/>
        <v>5450</v>
      </c>
      <c r="AL232" s="75"/>
      <c r="AM232" s="75"/>
    </row>
    <row r="233" spans="1:39" s="15" customFormat="1" ht="24">
      <c r="A233" s="41"/>
      <c r="B233" s="55"/>
      <c r="C233" s="43">
        <v>4750</v>
      </c>
      <c r="D233" s="9" t="s">
        <v>270</v>
      </c>
      <c r="E233" s="53">
        <v>43535</v>
      </c>
      <c r="F233" s="53"/>
      <c r="G233" s="53">
        <f>SUM(E233:F233)</f>
        <v>43535</v>
      </c>
      <c r="H233" s="53"/>
      <c r="I233" s="53">
        <f>SUM(G233:H233)</f>
        <v>43535</v>
      </c>
      <c r="J233" s="53"/>
      <c r="K233" s="53">
        <f>SUM(I233:J233)</f>
        <v>43535</v>
      </c>
      <c r="L233" s="53"/>
      <c r="M233" s="53">
        <f>SUM(K233:L233)</f>
        <v>43535</v>
      </c>
      <c r="N233" s="53"/>
      <c r="O233" s="53">
        <f>SUM(M233:N233)</f>
        <v>43535</v>
      </c>
      <c r="P233" s="53"/>
      <c r="Q233" s="53">
        <f t="shared" si="155"/>
        <v>43535</v>
      </c>
      <c r="R233" s="53"/>
      <c r="S233" s="53">
        <f t="shared" si="156"/>
        <v>43535</v>
      </c>
      <c r="T233" s="53"/>
      <c r="U233" s="53">
        <f t="shared" si="157"/>
        <v>43535</v>
      </c>
      <c r="V233" s="53"/>
      <c r="W233" s="53">
        <f t="shared" si="158"/>
        <v>43535</v>
      </c>
      <c r="X233" s="53"/>
      <c r="Y233" s="53">
        <f t="shared" si="159"/>
        <v>43535</v>
      </c>
      <c r="Z233" s="53"/>
      <c r="AA233" s="53">
        <f t="shared" si="160"/>
        <v>43535</v>
      </c>
      <c r="AB233" s="53"/>
      <c r="AC233" s="53">
        <f t="shared" si="161"/>
        <v>43535</v>
      </c>
      <c r="AD233" s="53">
        <v>1851</v>
      </c>
      <c r="AE233" s="53">
        <f t="shared" si="148"/>
        <v>45386</v>
      </c>
      <c r="AF233" s="53"/>
      <c r="AG233" s="53">
        <f t="shared" si="149"/>
        <v>45386</v>
      </c>
      <c r="AH233" s="53"/>
      <c r="AI233" s="53">
        <f t="shared" si="163"/>
        <v>45386</v>
      </c>
      <c r="AJ233" s="53"/>
      <c r="AK233" s="53">
        <f t="shared" si="162"/>
        <v>45386</v>
      </c>
      <c r="AL233" s="75"/>
      <c r="AM233" s="75"/>
    </row>
    <row r="234" spans="1:39" s="15" customFormat="1" ht="24" customHeight="1">
      <c r="A234" s="41"/>
      <c r="B234" s="55">
        <v>80103</v>
      </c>
      <c r="C234" s="43"/>
      <c r="D234" s="27" t="s">
        <v>172</v>
      </c>
      <c r="E234" s="53">
        <f aca="true" t="shared" si="164" ref="E234:Z234">SUM(E235:E247)</f>
        <v>425593</v>
      </c>
      <c r="F234" s="53">
        <f t="shared" si="164"/>
        <v>0</v>
      </c>
      <c r="G234" s="53">
        <f t="shared" si="164"/>
        <v>425593</v>
      </c>
      <c r="H234" s="53">
        <f t="shared" si="164"/>
        <v>0</v>
      </c>
      <c r="I234" s="53">
        <f t="shared" si="164"/>
        <v>425593</v>
      </c>
      <c r="J234" s="53">
        <f t="shared" si="164"/>
        <v>0</v>
      </c>
      <c r="K234" s="53">
        <f t="shared" si="164"/>
        <v>425593</v>
      </c>
      <c r="L234" s="53">
        <f t="shared" si="164"/>
        <v>0</v>
      </c>
      <c r="M234" s="53">
        <f t="shared" si="164"/>
        <v>425593</v>
      </c>
      <c r="N234" s="53">
        <f t="shared" si="164"/>
        <v>0</v>
      </c>
      <c r="O234" s="53">
        <f t="shared" si="164"/>
        <v>425593</v>
      </c>
      <c r="P234" s="53">
        <f t="shared" si="164"/>
        <v>19685</v>
      </c>
      <c r="Q234" s="53">
        <f t="shared" si="164"/>
        <v>445278</v>
      </c>
      <c r="R234" s="53">
        <f t="shared" si="164"/>
        <v>0</v>
      </c>
      <c r="S234" s="53">
        <f t="shared" si="164"/>
        <v>445278</v>
      </c>
      <c r="T234" s="53">
        <f t="shared" si="164"/>
        <v>0</v>
      </c>
      <c r="U234" s="53">
        <f t="shared" si="164"/>
        <v>445278</v>
      </c>
      <c r="V234" s="53">
        <f t="shared" si="164"/>
        <v>300</v>
      </c>
      <c r="W234" s="53">
        <f t="shared" si="164"/>
        <v>445578</v>
      </c>
      <c r="X234" s="53">
        <f t="shared" si="164"/>
        <v>20376</v>
      </c>
      <c r="Y234" s="53">
        <f t="shared" si="164"/>
        <v>465954</v>
      </c>
      <c r="Z234" s="53">
        <f t="shared" si="164"/>
        <v>0</v>
      </c>
      <c r="AA234" s="53">
        <f t="shared" si="160"/>
        <v>465954</v>
      </c>
      <c r="AB234" s="53">
        <f>SUM(AB235:AB247)</f>
        <v>0</v>
      </c>
      <c r="AC234" s="53">
        <f t="shared" si="161"/>
        <v>465954</v>
      </c>
      <c r="AD234" s="53">
        <f>SUM(AD235:AD247)</f>
        <v>-4318</v>
      </c>
      <c r="AE234" s="53">
        <f t="shared" si="148"/>
        <v>461636</v>
      </c>
      <c r="AF234" s="53">
        <f>SUM(AF235:AF247)</f>
        <v>0</v>
      </c>
      <c r="AG234" s="53">
        <f t="shared" si="149"/>
        <v>461636</v>
      </c>
      <c r="AH234" s="53">
        <f>SUM(AH235:AH247)</f>
        <v>1911</v>
      </c>
      <c r="AI234" s="53">
        <f t="shared" si="163"/>
        <v>463547</v>
      </c>
      <c r="AJ234" s="53">
        <f>SUM(AJ235:AJ247)</f>
        <v>0</v>
      </c>
      <c r="AK234" s="53">
        <f t="shared" si="162"/>
        <v>463547</v>
      </c>
      <c r="AL234" s="75"/>
      <c r="AM234" s="75"/>
    </row>
    <row r="235" spans="1:39" s="15" customFormat="1" ht="25.5" customHeight="1">
      <c r="A235" s="41"/>
      <c r="B235" s="55"/>
      <c r="C235" s="59">
        <v>2540</v>
      </c>
      <c r="D235" s="27" t="s">
        <v>156</v>
      </c>
      <c r="E235" s="53">
        <v>69354</v>
      </c>
      <c r="F235" s="53"/>
      <c r="G235" s="53">
        <f aca="true" t="shared" si="165" ref="G235:G247">SUM(E235:F235)</f>
        <v>69354</v>
      </c>
      <c r="H235" s="53"/>
      <c r="I235" s="53">
        <f aca="true" t="shared" si="166" ref="I235:I247">SUM(G235:H235)</f>
        <v>69354</v>
      </c>
      <c r="J235" s="53"/>
      <c r="K235" s="53">
        <f aca="true" t="shared" si="167" ref="K235:K247">SUM(I235:J235)</f>
        <v>69354</v>
      </c>
      <c r="L235" s="53"/>
      <c r="M235" s="53">
        <f aca="true" t="shared" si="168" ref="M235:M247">SUM(K235:L235)</f>
        <v>69354</v>
      </c>
      <c r="N235" s="53"/>
      <c r="O235" s="53">
        <f aca="true" t="shared" si="169" ref="O235:O247">SUM(M235:N235)</f>
        <v>69354</v>
      </c>
      <c r="P235" s="53"/>
      <c r="Q235" s="53">
        <f aca="true" t="shared" si="170" ref="Q235:Q247">SUM(O235:P235)</f>
        <v>69354</v>
      </c>
      <c r="R235" s="53"/>
      <c r="S235" s="53">
        <f aca="true" t="shared" si="171" ref="S235:S247">SUM(Q235:R235)</f>
        <v>69354</v>
      </c>
      <c r="T235" s="53"/>
      <c r="U235" s="53">
        <f aca="true" t="shared" si="172" ref="U235:U247">SUM(S235:T235)</f>
        <v>69354</v>
      </c>
      <c r="V235" s="53"/>
      <c r="W235" s="53">
        <f aca="true" t="shared" si="173" ref="W235:W247">SUM(U235:V235)</f>
        <v>69354</v>
      </c>
      <c r="X235" s="53"/>
      <c r="Y235" s="53">
        <f aca="true" t="shared" si="174" ref="Y235:Y247">SUM(W235:X235)</f>
        <v>69354</v>
      </c>
      <c r="Z235" s="53"/>
      <c r="AA235" s="53">
        <f t="shared" si="160"/>
        <v>69354</v>
      </c>
      <c r="AB235" s="53"/>
      <c r="AC235" s="53">
        <f t="shared" si="161"/>
        <v>69354</v>
      </c>
      <c r="AD235" s="53">
        <v>-7773</v>
      </c>
      <c r="AE235" s="53">
        <f t="shared" si="148"/>
        <v>61581</v>
      </c>
      <c r="AF235" s="53"/>
      <c r="AG235" s="53">
        <f t="shared" si="149"/>
        <v>61581</v>
      </c>
      <c r="AH235" s="53"/>
      <c r="AI235" s="53">
        <f t="shared" si="163"/>
        <v>61581</v>
      </c>
      <c r="AJ235" s="53"/>
      <c r="AK235" s="53">
        <f t="shared" si="162"/>
        <v>61581</v>
      </c>
      <c r="AL235" s="75"/>
      <c r="AM235" s="75"/>
    </row>
    <row r="236" spans="1:39" s="15" customFormat="1" ht="24">
      <c r="A236" s="41"/>
      <c r="B236" s="55"/>
      <c r="C236" s="59">
        <v>3020</v>
      </c>
      <c r="D236" s="27" t="s">
        <v>161</v>
      </c>
      <c r="E236" s="53">
        <v>20241</v>
      </c>
      <c r="F236" s="53"/>
      <c r="G236" s="53">
        <f t="shared" si="165"/>
        <v>20241</v>
      </c>
      <c r="H236" s="53"/>
      <c r="I236" s="53">
        <f t="shared" si="166"/>
        <v>20241</v>
      </c>
      <c r="J236" s="53"/>
      <c r="K236" s="53">
        <f t="shared" si="167"/>
        <v>20241</v>
      </c>
      <c r="L236" s="53"/>
      <c r="M236" s="53">
        <f t="shared" si="168"/>
        <v>20241</v>
      </c>
      <c r="N236" s="53"/>
      <c r="O236" s="53">
        <f t="shared" si="169"/>
        <v>20241</v>
      </c>
      <c r="P236" s="53"/>
      <c r="Q236" s="53">
        <f t="shared" si="170"/>
        <v>20241</v>
      </c>
      <c r="R236" s="53"/>
      <c r="S236" s="53">
        <f t="shared" si="171"/>
        <v>20241</v>
      </c>
      <c r="T236" s="53"/>
      <c r="U236" s="53">
        <f t="shared" si="172"/>
        <v>20241</v>
      </c>
      <c r="V236" s="53"/>
      <c r="W236" s="53">
        <f t="shared" si="173"/>
        <v>20241</v>
      </c>
      <c r="X236" s="53"/>
      <c r="Y236" s="53">
        <f t="shared" si="174"/>
        <v>20241</v>
      </c>
      <c r="Z236" s="53"/>
      <c r="AA236" s="53">
        <f t="shared" si="160"/>
        <v>20241</v>
      </c>
      <c r="AB236" s="53"/>
      <c r="AC236" s="53">
        <f t="shared" si="161"/>
        <v>20241</v>
      </c>
      <c r="AD236" s="53">
        <v>-32</v>
      </c>
      <c r="AE236" s="53">
        <f t="shared" si="148"/>
        <v>20209</v>
      </c>
      <c r="AF236" s="53"/>
      <c r="AG236" s="53">
        <f t="shared" si="149"/>
        <v>20209</v>
      </c>
      <c r="AH236" s="53"/>
      <c r="AI236" s="53">
        <f t="shared" si="163"/>
        <v>20209</v>
      </c>
      <c r="AJ236" s="53"/>
      <c r="AK236" s="53">
        <f t="shared" si="162"/>
        <v>20209</v>
      </c>
      <c r="AL236" s="75"/>
      <c r="AM236" s="75"/>
    </row>
    <row r="237" spans="1:39" s="15" customFormat="1" ht="23.25" customHeight="1">
      <c r="A237" s="41"/>
      <c r="B237" s="55"/>
      <c r="C237" s="59">
        <v>4010</v>
      </c>
      <c r="D237" s="27" t="s">
        <v>74</v>
      </c>
      <c r="E237" s="53">
        <v>220898</v>
      </c>
      <c r="F237" s="53"/>
      <c r="G237" s="53">
        <f t="shared" si="165"/>
        <v>220898</v>
      </c>
      <c r="H237" s="53"/>
      <c r="I237" s="53">
        <f t="shared" si="166"/>
        <v>220898</v>
      </c>
      <c r="J237" s="53"/>
      <c r="K237" s="53">
        <f t="shared" si="167"/>
        <v>220898</v>
      </c>
      <c r="L237" s="53"/>
      <c r="M237" s="53">
        <f t="shared" si="168"/>
        <v>220898</v>
      </c>
      <c r="N237" s="53"/>
      <c r="O237" s="53">
        <f t="shared" si="169"/>
        <v>220898</v>
      </c>
      <c r="P237" s="53">
        <v>19857</v>
      </c>
      <c r="Q237" s="53">
        <f t="shared" si="170"/>
        <v>240755</v>
      </c>
      <c r="R237" s="53"/>
      <c r="S237" s="53">
        <f t="shared" si="171"/>
        <v>240755</v>
      </c>
      <c r="T237" s="53"/>
      <c r="U237" s="53">
        <f t="shared" si="172"/>
        <v>240755</v>
      </c>
      <c r="V237" s="53"/>
      <c r="W237" s="53">
        <f t="shared" si="173"/>
        <v>240755</v>
      </c>
      <c r="X237" s="53">
        <v>8800</v>
      </c>
      <c r="Y237" s="53">
        <f t="shared" si="174"/>
        <v>249555</v>
      </c>
      <c r="Z237" s="53"/>
      <c r="AA237" s="53">
        <f t="shared" si="160"/>
        <v>249555</v>
      </c>
      <c r="AB237" s="53"/>
      <c r="AC237" s="53">
        <f t="shared" si="161"/>
        <v>249555</v>
      </c>
      <c r="AD237" s="53">
        <v>5726</v>
      </c>
      <c r="AE237" s="53">
        <f t="shared" si="148"/>
        <v>255281</v>
      </c>
      <c r="AF237" s="53"/>
      <c r="AG237" s="53">
        <f t="shared" si="149"/>
        <v>255281</v>
      </c>
      <c r="AH237" s="53"/>
      <c r="AI237" s="53">
        <f t="shared" si="163"/>
        <v>255281</v>
      </c>
      <c r="AJ237" s="53"/>
      <c r="AK237" s="53">
        <f t="shared" si="162"/>
        <v>255281</v>
      </c>
      <c r="AL237" s="75"/>
      <c r="AM237" s="75"/>
    </row>
    <row r="238" spans="1:39" s="15" customFormat="1" ht="21" customHeight="1">
      <c r="A238" s="41"/>
      <c r="B238" s="55"/>
      <c r="C238" s="59">
        <v>4040</v>
      </c>
      <c r="D238" s="27" t="s">
        <v>75</v>
      </c>
      <c r="E238" s="53">
        <v>15525</v>
      </c>
      <c r="F238" s="53"/>
      <c r="G238" s="53">
        <f t="shared" si="165"/>
        <v>15525</v>
      </c>
      <c r="H238" s="53"/>
      <c r="I238" s="53">
        <f t="shared" si="166"/>
        <v>15525</v>
      </c>
      <c r="J238" s="53"/>
      <c r="K238" s="53">
        <f t="shared" si="167"/>
        <v>15525</v>
      </c>
      <c r="L238" s="53"/>
      <c r="M238" s="53">
        <f t="shared" si="168"/>
        <v>15525</v>
      </c>
      <c r="N238" s="53"/>
      <c r="O238" s="53">
        <f t="shared" si="169"/>
        <v>15525</v>
      </c>
      <c r="P238" s="53">
        <v>-172</v>
      </c>
      <c r="Q238" s="53">
        <f t="shared" si="170"/>
        <v>15353</v>
      </c>
      <c r="R238" s="53"/>
      <c r="S238" s="53">
        <f t="shared" si="171"/>
        <v>15353</v>
      </c>
      <c r="T238" s="53"/>
      <c r="U238" s="53">
        <f t="shared" si="172"/>
        <v>15353</v>
      </c>
      <c r="V238" s="53"/>
      <c r="W238" s="53">
        <f t="shared" si="173"/>
        <v>15353</v>
      </c>
      <c r="X238" s="53"/>
      <c r="Y238" s="53">
        <f t="shared" si="174"/>
        <v>15353</v>
      </c>
      <c r="Z238" s="53"/>
      <c r="AA238" s="53">
        <f t="shared" si="160"/>
        <v>15353</v>
      </c>
      <c r="AB238" s="53"/>
      <c r="AC238" s="53">
        <f t="shared" si="161"/>
        <v>15353</v>
      </c>
      <c r="AD238" s="53"/>
      <c r="AE238" s="53">
        <f t="shared" si="148"/>
        <v>15353</v>
      </c>
      <c r="AF238" s="53"/>
      <c r="AG238" s="53">
        <f t="shared" si="149"/>
        <v>15353</v>
      </c>
      <c r="AH238" s="53"/>
      <c r="AI238" s="53">
        <f t="shared" si="163"/>
        <v>15353</v>
      </c>
      <c r="AJ238" s="53"/>
      <c r="AK238" s="53">
        <f t="shared" si="162"/>
        <v>15353</v>
      </c>
      <c r="AL238" s="75"/>
      <c r="AM238" s="75"/>
    </row>
    <row r="239" spans="1:39" s="15" customFormat="1" ht="21" customHeight="1">
      <c r="A239" s="41"/>
      <c r="B239" s="55"/>
      <c r="C239" s="59">
        <v>4110</v>
      </c>
      <c r="D239" s="27" t="s">
        <v>76</v>
      </c>
      <c r="E239" s="53">
        <v>46541</v>
      </c>
      <c r="F239" s="53"/>
      <c r="G239" s="53">
        <f t="shared" si="165"/>
        <v>46541</v>
      </c>
      <c r="H239" s="53"/>
      <c r="I239" s="53">
        <f t="shared" si="166"/>
        <v>46541</v>
      </c>
      <c r="J239" s="53"/>
      <c r="K239" s="53">
        <f t="shared" si="167"/>
        <v>46541</v>
      </c>
      <c r="L239" s="53"/>
      <c r="M239" s="53">
        <f t="shared" si="168"/>
        <v>46541</v>
      </c>
      <c r="N239" s="53"/>
      <c r="O239" s="53">
        <f t="shared" si="169"/>
        <v>46541</v>
      </c>
      <c r="P239" s="53"/>
      <c r="Q239" s="53">
        <f t="shared" si="170"/>
        <v>46541</v>
      </c>
      <c r="R239" s="53"/>
      <c r="S239" s="53">
        <f t="shared" si="171"/>
        <v>46541</v>
      </c>
      <c r="T239" s="53"/>
      <c r="U239" s="53">
        <f t="shared" si="172"/>
        <v>46541</v>
      </c>
      <c r="V239" s="53"/>
      <c r="W239" s="53">
        <f t="shared" si="173"/>
        <v>46541</v>
      </c>
      <c r="X239" s="53">
        <v>1360</v>
      </c>
      <c r="Y239" s="53">
        <f t="shared" si="174"/>
        <v>47901</v>
      </c>
      <c r="Z239" s="53"/>
      <c r="AA239" s="53">
        <f t="shared" si="160"/>
        <v>47901</v>
      </c>
      <c r="AB239" s="53"/>
      <c r="AC239" s="53">
        <f t="shared" si="161"/>
        <v>47901</v>
      </c>
      <c r="AD239" s="53">
        <v>-2199</v>
      </c>
      <c r="AE239" s="53">
        <f t="shared" si="148"/>
        <v>45702</v>
      </c>
      <c r="AF239" s="53"/>
      <c r="AG239" s="53">
        <f t="shared" si="149"/>
        <v>45702</v>
      </c>
      <c r="AH239" s="53"/>
      <c r="AI239" s="53">
        <f t="shared" si="163"/>
        <v>45702</v>
      </c>
      <c r="AJ239" s="53"/>
      <c r="AK239" s="53">
        <f t="shared" si="162"/>
        <v>45702</v>
      </c>
      <c r="AL239" s="75"/>
      <c r="AM239" s="75"/>
    </row>
    <row r="240" spans="1:39" s="15" customFormat="1" ht="21" customHeight="1">
      <c r="A240" s="41"/>
      <c r="B240" s="55"/>
      <c r="C240" s="59">
        <v>4120</v>
      </c>
      <c r="D240" s="27" t="s">
        <v>77</v>
      </c>
      <c r="E240" s="53">
        <v>6587</v>
      </c>
      <c r="F240" s="53"/>
      <c r="G240" s="53">
        <f t="shared" si="165"/>
        <v>6587</v>
      </c>
      <c r="H240" s="53"/>
      <c r="I240" s="53">
        <f t="shared" si="166"/>
        <v>6587</v>
      </c>
      <c r="J240" s="53"/>
      <c r="K240" s="53">
        <f t="shared" si="167"/>
        <v>6587</v>
      </c>
      <c r="L240" s="53"/>
      <c r="M240" s="53">
        <f t="shared" si="168"/>
        <v>6587</v>
      </c>
      <c r="N240" s="53"/>
      <c r="O240" s="53">
        <f t="shared" si="169"/>
        <v>6587</v>
      </c>
      <c r="P240" s="53"/>
      <c r="Q240" s="53">
        <f t="shared" si="170"/>
        <v>6587</v>
      </c>
      <c r="R240" s="53"/>
      <c r="S240" s="53">
        <f t="shared" si="171"/>
        <v>6587</v>
      </c>
      <c r="T240" s="53"/>
      <c r="U240" s="53">
        <f t="shared" si="172"/>
        <v>6587</v>
      </c>
      <c r="V240" s="53"/>
      <c r="W240" s="53">
        <f t="shared" si="173"/>
        <v>6587</v>
      </c>
      <c r="X240" s="53">
        <v>216</v>
      </c>
      <c r="Y240" s="53">
        <f t="shared" si="174"/>
        <v>6803</v>
      </c>
      <c r="Z240" s="53"/>
      <c r="AA240" s="53">
        <f t="shared" si="160"/>
        <v>6803</v>
      </c>
      <c r="AB240" s="53"/>
      <c r="AC240" s="53">
        <f t="shared" si="161"/>
        <v>6803</v>
      </c>
      <c r="AD240" s="53">
        <v>-59</v>
      </c>
      <c r="AE240" s="53">
        <f t="shared" si="148"/>
        <v>6744</v>
      </c>
      <c r="AF240" s="53"/>
      <c r="AG240" s="53">
        <f t="shared" si="149"/>
        <v>6744</v>
      </c>
      <c r="AH240" s="53"/>
      <c r="AI240" s="53">
        <f t="shared" si="163"/>
        <v>6744</v>
      </c>
      <c r="AJ240" s="53"/>
      <c r="AK240" s="53">
        <f t="shared" si="162"/>
        <v>6744</v>
      </c>
      <c r="AL240" s="75"/>
      <c r="AM240" s="75"/>
    </row>
    <row r="241" spans="1:39" s="15" customFormat="1" ht="21" customHeight="1">
      <c r="A241" s="41"/>
      <c r="B241" s="55"/>
      <c r="C241" s="59">
        <v>4210</v>
      </c>
      <c r="D241" s="27" t="s">
        <v>62</v>
      </c>
      <c r="E241" s="53">
        <f>18100+1900</f>
        <v>20000</v>
      </c>
      <c r="F241" s="53"/>
      <c r="G241" s="53">
        <f t="shared" si="165"/>
        <v>20000</v>
      </c>
      <c r="H241" s="53"/>
      <c r="I241" s="53">
        <f t="shared" si="166"/>
        <v>20000</v>
      </c>
      <c r="J241" s="53"/>
      <c r="K241" s="53">
        <f t="shared" si="167"/>
        <v>20000</v>
      </c>
      <c r="L241" s="53"/>
      <c r="M241" s="53">
        <f t="shared" si="168"/>
        <v>20000</v>
      </c>
      <c r="N241" s="53"/>
      <c r="O241" s="53">
        <f t="shared" si="169"/>
        <v>20000</v>
      </c>
      <c r="P241" s="53"/>
      <c r="Q241" s="53">
        <f t="shared" si="170"/>
        <v>20000</v>
      </c>
      <c r="R241" s="53"/>
      <c r="S241" s="53">
        <f t="shared" si="171"/>
        <v>20000</v>
      </c>
      <c r="T241" s="53"/>
      <c r="U241" s="53">
        <f t="shared" si="172"/>
        <v>20000</v>
      </c>
      <c r="V241" s="53"/>
      <c r="W241" s="53">
        <f t="shared" si="173"/>
        <v>20000</v>
      </c>
      <c r="X241" s="53">
        <f>-114+5800</f>
        <v>5686</v>
      </c>
      <c r="Y241" s="53">
        <f t="shared" si="174"/>
        <v>25686</v>
      </c>
      <c r="Z241" s="53"/>
      <c r="AA241" s="53">
        <f t="shared" si="160"/>
        <v>25686</v>
      </c>
      <c r="AB241" s="53"/>
      <c r="AC241" s="53">
        <f t="shared" si="161"/>
        <v>25686</v>
      </c>
      <c r="AD241" s="53">
        <v>-9959</v>
      </c>
      <c r="AE241" s="53">
        <f t="shared" si="148"/>
        <v>15727</v>
      </c>
      <c r="AF241" s="53"/>
      <c r="AG241" s="53">
        <f aca="true" t="shared" si="175" ref="AG241:AG272">SUM(AE241:AF241)</f>
        <v>15727</v>
      </c>
      <c r="AH241" s="53"/>
      <c r="AI241" s="53">
        <f t="shared" si="163"/>
        <v>15727</v>
      </c>
      <c r="AJ241" s="53"/>
      <c r="AK241" s="53">
        <f t="shared" si="162"/>
        <v>15727</v>
      </c>
      <c r="AL241" s="75"/>
      <c r="AM241" s="75"/>
    </row>
    <row r="242" spans="1:39" s="15" customFormat="1" ht="24">
      <c r="A242" s="41"/>
      <c r="B242" s="55"/>
      <c r="C242" s="59">
        <v>4240</v>
      </c>
      <c r="D242" s="27" t="s">
        <v>116</v>
      </c>
      <c r="E242" s="53">
        <v>3000</v>
      </c>
      <c r="F242" s="53"/>
      <c r="G242" s="53">
        <f t="shared" si="165"/>
        <v>3000</v>
      </c>
      <c r="H242" s="53"/>
      <c r="I242" s="53">
        <f t="shared" si="166"/>
        <v>3000</v>
      </c>
      <c r="J242" s="53"/>
      <c r="K242" s="53">
        <f t="shared" si="167"/>
        <v>3000</v>
      </c>
      <c r="L242" s="53"/>
      <c r="M242" s="53">
        <f t="shared" si="168"/>
        <v>3000</v>
      </c>
      <c r="N242" s="53"/>
      <c r="O242" s="53">
        <f t="shared" si="169"/>
        <v>3000</v>
      </c>
      <c r="P242" s="53"/>
      <c r="Q242" s="53">
        <f t="shared" si="170"/>
        <v>3000</v>
      </c>
      <c r="R242" s="53"/>
      <c r="S242" s="53">
        <f t="shared" si="171"/>
        <v>3000</v>
      </c>
      <c r="T242" s="53"/>
      <c r="U242" s="53">
        <f t="shared" si="172"/>
        <v>3000</v>
      </c>
      <c r="V242" s="53">
        <v>300</v>
      </c>
      <c r="W242" s="53">
        <f t="shared" si="173"/>
        <v>3300</v>
      </c>
      <c r="X242" s="53"/>
      <c r="Y242" s="53">
        <f t="shared" si="174"/>
        <v>3300</v>
      </c>
      <c r="Z242" s="53"/>
      <c r="AA242" s="53">
        <f t="shared" si="160"/>
        <v>3300</v>
      </c>
      <c r="AB242" s="53"/>
      <c r="AC242" s="53">
        <f t="shared" si="161"/>
        <v>3300</v>
      </c>
      <c r="AD242" s="53">
        <v>10019</v>
      </c>
      <c r="AE242" s="53">
        <f t="shared" si="148"/>
        <v>13319</v>
      </c>
      <c r="AF242" s="53"/>
      <c r="AG242" s="53">
        <f t="shared" si="175"/>
        <v>13319</v>
      </c>
      <c r="AH242" s="53"/>
      <c r="AI242" s="53">
        <f t="shared" si="163"/>
        <v>13319</v>
      </c>
      <c r="AJ242" s="53"/>
      <c r="AK242" s="53">
        <f t="shared" si="162"/>
        <v>13319</v>
      </c>
      <c r="AL242" s="75"/>
      <c r="AM242" s="75"/>
    </row>
    <row r="243" spans="1:39" s="15" customFormat="1" ht="21" customHeight="1">
      <c r="A243" s="41"/>
      <c r="B243" s="55"/>
      <c r="C243" s="59">
        <v>4260</v>
      </c>
      <c r="D243" s="27" t="s">
        <v>85</v>
      </c>
      <c r="E243" s="53">
        <v>450</v>
      </c>
      <c r="F243" s="53"/>
      <c r="G243" s="53">
        <f t="shared" si="165"/>
        <v>450</v>
      </c>
      <c r="H243" s="53"/>
      <c r="I243" s="53">
        <f t="shared" si="166"/>
        <v>450</v>
      </c>
      <c r="J243" s="53"/>
      <c r="K243" s="53">
        <f t="shared" si="167"/>
        <v>450</v>
      </c>
      <c r="L243" s="53"/>
      <c r="M243" s="53">
        <f t="shared" si="168"/>
        <v>450</v>
      </c>
      <c r="N243" s="53"/>
      <c r="O243" s="53">
        <f t="shared" si="169"/>
        <v>450</v>
      </c>
      <c r="P243" s="53"/>
      <c r="Q243" s="53">
        <f t="shared" si="170"/>
        <v>450</v>
      </c>
      <c r="R243" s="53"/>
      <c r="S243" s="53">
        <f t="shared" si="171"/>
        <v>450</v>
      </c>
      <c r="T243" s="53"/>
      <c r="U243" s="53">
        <f t="shared" si="172"/>
        <v>450</v>
      </c>
      <c r="V243" s="53"/>
      <c r="W243" s="53">
        <f t="shared" si="173"/>
        <v>450</v>
      </c>
      <c r="X243" s="53">
        <v>114</v>
      </c>
      <c r="Y243" s="53">
        <f t="shared" si="174"/>
        <v>564</v>
      </c>
      <c r="Z243" s="53"/>
      <c r="AA243" s="53">
        <f t="shared" si="160"/>
        <v>564</v>
      </c>
      <c r="AB243" s="53"/>
      <c r="AC243" s="53">
        <f t="shared" si="161"/>
        <v>564</v>
      </c>
      <c r="AD243" s="53">
        <v>-41</v>
      </c>
      <c r="AE243" s="53">
        <f t="shared" si="148"/>
        <v>523</v>
      </c>
      <c r="AF243" s="53"/>
      <c r="AG243" s="53">
        <f t="shared" si="175"/>
        <v>523</v>
      </c>
      <c r="AH243" s="53"/>
      <c r="AI243" s="53">
        <f t="shared" si="163"/>
        <v>523</v>
      </c>
      <c r="AJ243" s="53"/>
      <c r="AK243" s="53">
        <f t="shared" si="162"/>
        <v>523</v>
      </c>
      <c r="AL243" s="75"/>
      <c r="AM243" s="75"/>
    </row>
    <row r="244" spans="1:39" s="15" customFormat="1" ht="21" customHeight="1">
      <c r="A244" s="41"/>
      <c r="B244" s="55"/>
      <c r="C244" s="59">
        <v>4270</v>
      </c>
      <c r="D244" s="27" t="s">
        <v>68</v>
      </c>
      <c r="E244" s="53">
        <v>3000</v>
      </c>
      <c r="F244" s="53"/>
      <c r="G244" s="53">
        <f t="shared" si="165"/>
        <v>3000</v>
      </c>
      <c r="H244" s="53"/>
      <c r="I244" s="53">
        <f t="shared" si="166"/>
        <v>3000</v>
      </c>
      <c r="J244" s="53"/>
      <c r="K244" s="53">
        <f t="shared" si="167"/>
        <v>3000</v>
      </c>
      <c r="L244" s="53"/>
      <c r="M244" s="53">
        <f t="shared" si="168"/>
        <v>3000</v>
      </c>
      <c r="N244" s="53"/>
      <c r="O244" s="53">
        <f t="shared" si="169"/>
        <v>3000</v>
      </c>
      <c r="P244" s="53"/>
      <c r="Q244" s="53">
        <f t="shared" si="170"/>
        <v>3000</v>
      </c>
      <c r="R244" s="53"/>
      <c r="S244" s="53">
        <f t="shared" si="171"/>
        <v>3000</v>
      </c>
      <c r="T244" s="53"/>
      <c r="U244" s="53">
        <f t="shared" si="172"/>
        <v>3000</v>
      </c>
      <c r="V244" s="53"/>
      <c r="W244" s="53">
        <f t="shared" si="173"/>
        <v>3000</v>
      </c>
      <c r="X244" s="53">
        <v>4200</v>
      </c>
      <c r="Y244" s="53">
        <f t="shared" si="174"/>
        <v>7200</v>
      </c>
      <c r="Z244" s="53"/>
      <c r="AA244" s="53">
        <f t="shared" si="160"/>
        <v>7200</v>
      </c>
      <c r="AB244" s="53"/>
      <c r="AC244" s="53">
        <f t="shared" si="161"/>
        <v>7200</v>
      </c>
      <c r="AD244" s="53"/>
      <c r="AE244" s="53">
        <f t="shared" si="148"/>
        <v>7200</v>
      </c>
      <c r="AF244" s="53"/>
      <c r="AG244" s="53">
        <f t="shared" si="175"/>
        <v>7200</v>
      </c>
      <c r="AH244" s="53"/>
      <c r="AI244" s="53">
        <f t="shared" si="163"/>
        <v>7200</v>
      </c>
      <c r="AJ244" s="53"/>
      <c r="AK244" s="53">
        <f t="shared" si="162"/>
        <v>7200</v>
      </c>
      <c r="AL244" s="75"/>
      <c r="AM244" s="75"/>
    </row>
    <row r="245" spans="1:39" s="15" customFormat="1" ht="21" customHeight="1">
      <c r="A245" s="41"/>
      <c r="B245" s="55"/>
      <c r="C245" s="59">
        <v>4280</v>
      </c>
      <c r="D245" s="27" t="s">
        <v>166</v>
      </c>
      <c r="E245" s="53">
        <v>600</v>
      </c>
      <c r="F245" s="53"/>
      <c r="G245" s="53">
        <f t="shared" si="165"/>
        <v>600</v>
      </c>
      <c r="H245" s="53"/>
      <c r="I245" s="53">
        <f t="shared" si="166"/>
        <v>600</v>
      </c>
      <c r="J245" s="53"/>
      <c r="K245" s="53">
        <f t="shared" si="167"/>
        <v>600</v>
      </c>
      <c r="L245" s="53"/>
      <c r="M245" s="53">
        <f t="shared" si="168"/>
        <v>600</v>
      </c>
      <c r="N245" s="53"/>
      <c r="O245" s="53">
        <f t="shared" si="169"/>
        <v>600</v>
      </c>
      <c r="P245" s="53"/>
      <c r="Q245" s="53">
        <f t="shared" si="170"/>
        <v>600</v>
      </c>
      <c r="R245" s="53"/>
      <c r="S245" s="53">
        <f t="shared" si="171"/>
        <v>600</v>
      </c>
      <c r="T245" s="53"/>
      <c r="U245" s="53">
        <f t="shared" si="172"/>
        <v>600</v>
      </c>
      <c r="V245" s="53"/>
      <c r="W245" s="53">
        <f t="shared" si="173"/>
        <v>600</v>
      </c>
      <c r="X245" s="53"/>
      <c r="Y245" s="53">
        <f t="shared" si="174"/>
        <v>600</v>
      </c>
      <c r="Z245" s="53"/>
      <c r="AA245" s="53">
        <f t="shared" si="160"/>
        <v>600</v>
      </c>
      <c r="AB245" s="53"/>
      <c r="AC245" s="53">
        <f t="shared" si="161"/>
        <v>600</v>
      </c>
      <c r="AD245" s="53"/>
      <c r="AE245" s="53">
        <f t="shared" si="148"/>
        <v>600</v>
      </c>
      <c r="AF245" s="53"/>
      <c r="AG245" s="53">
        <f t="shared" si="175"/>
        <v>600</v>
      </c>
      <c r="AH245" s="53"/>
      <c r="AI245" s="53">
        <f t="shared" si="163"/>
        <v>600</v>
      </c>
      <c r="AJ245" s="53"/>
      <c r="AK245" s="53">
        <f t="shared" si="162"/>
        <v>600</v>
      </c>
      <c r="AL245" s="75"/>
      <c r="AM245" s="75"/>
    </row>
    <row r="246" spans="1:39" s="15" customFormat="1" ht="24">
      <c r="A246" s="41"/>
      <c r="B246" s="55"/>
      <c r="C246" s="59">
        <v>4440</v>
      </c>
      <c r="D246" s="27" t="s">
        <v>107</v>
      </c>
      <c r="E246" s="53">
        <v>19197</v>
      </c>
      <c r="F246" s="53"/>
      <c r="G246" s="53">
        <f t="shared" si="165"/>
        <v>19197</v>
      </c>
      <c r="H246" s="53"/>
      <c r="I246" s="53">
        <f t="shared" si="166"/>
        <v>19197</v>
      </c>
      <c r="J246" s="53"/>
      <c r="K246" s="53">
        <f t="shared" si="167"/>
        <v>19197</v>
      </c>
      <c r="L246" s="53"/>
      <c r="M246" s="53">
        <f t="shared" si="168"/>
        <v>19197</v>
      </c>
      <c r="N246" s="53"/>
      <c r="O246" s="53">
        <f t="shared" si="169"/>
        <v>19197</v>
      </c>
      <c r="P246" s="53"/>
      <c r="Q246" s="53">
        <f t="shared" si="170"/>
        <v>19197</v>
      </c>
      <c r="R246" s="53"/>
      <c r="S246" s="53">
        <f t="shared" si="171"/>
        <v>19197</v>
      </c>
      <c r="T246" s="53"/>
      <c r="U246" s="53">
        <f t="shared" si="172"/>
        <v>19197</v>
      </c>
      <c r="V246" s="53"/>
      <c r="W246" s="53">
        <f t="shared" si="173"/>
        <v>19197</v>
      </c>
      <c r="X246" s="53"/>
      <c r="Y246" s="53">
        <f t="shared" si="174"/>
        <v>19197</v>
      </c>
      <c r="Z246" s="53"/>
      <c r="AA246" s="53">
        <f t="shared" si="160"/>
        <v>19197</v>
      </c>
      <c r="AB246" s="53"/>
      <c r="AC246" s="53">
        <f t="shared" si="161"/>
        <v>19197</v>
      </c>
      <c r="AD246" s="53"/>
      <c r="AE246" s="53">
        <f t="shared" si="148"/>
        <v>19197</v>
      </c>
      <c r="AF246" s="53"/>
      <c r="AG246" s="53">
        <f t="shared" si="175"/>
        <v>19197</v>
      </c>
      <c r="AH246" s="53">
        <v>1911</v>
      </c>
      <c r="AI246" s="53">
        <f t="shared" si="163"/>
        <v>21108</v>
      </c>
      <c r="AJ246" s="53"/>
      <c r="AK246" s="53">
        <f t="shared" si="162"/>
        <v>21108</v>
      </c>
      <c r="AL246" s="75"/>
      <c r="AM246" s="75"/>
    </row>
    <row r="247" spans="1:39" s="15" customFormat="1" ht="24">
      <c r="A247" s="41"/>
      <c r="B247" s="55"/>
      <c r="C247" s="59">
        <v>4740</v>
      </c>
      <c r="D247" s="9" t="s">
        <v>189</v>
      </c>
      <c r="E247" s="53">
        <v>200</v>
      </c>
      <c r="F247" s="53"/>
      <c r="G247" s="53">
        <f t="shared" si="165"/>
        <v>200</v>
      </c>
      <c r="H247" s="53"/>
      <c r="I247" s="53">
        <f t="shared" si="166"/>
        <v>200</v>
      </c>
      <c r="J247" s="53"/>
      <c r="K247" s="53">
        <f t="shared" si="167"/>
        <v>200</v>
      </c>
      <c r="L247" s="53"/>
      <c r="M247" s="53">
        <f t="shared" si="168"/>
        <v>200</v>
      </c>
      <c r="N247" s="53"/>
      <c r="O247" s="53">
        <f t="shared" si="169"/>
        <v>200</v>
      </c>
      <c r="P247" s="53"/>
      <c r="Q247" s="53">
        <f t="shared" si="170"/>
        <v>200</v>
      </c>
      <c r="R247" s="53"/>
      <c r="S247" s="53">
        <f t="shared" si="171"/>
        <v>200</v>
      </c>
      <c r="T247" s="53"/>
      <c r="U247" s="53">
        <f t="shared" si="172"/>
        <v>200</v>
      </c>
      <c r="V247" s="53"/>
      <c r="W247" s="53">
        <f t="shared" si="173"/>
        <v>200</v>
      </c>
      <c r="X247" s="53"/>
      <c r="Y247" s="53">
        <f t="shared" si="174"/>
        <v>200</v>
      </c>
      <c r="Z247" s="53"/>
      <c r="AA247" s="53">
        <f t="shared" si="160"/>
        <v>200</v>
      </c>
      <c r="AB247" s="53"/>
      <c r="AC247" s="53">
        <f t="shared" si="161"/>
        <v>200</v>
      </c>
      <c r="AD247" s="53"/>
      <c r="AE247" s="53">
        <f t="shared" si="148"/>
        <v>200</v>
      </c>
      <c r="AF247" s="53"/>
      <c r="AG247" s="53">
        <f t="shared" si="175"/>
        <v>200</v>
      </c>
      <c r="AH247" s="53"/>
      <c r="AI247" s="53">
        <f t="shared" si="163"/>
        <v>200</v>
      </c>
      <c r="AJ247" s="53"/>
      <c r="AK247" s="53">
        <f t="shared" si="162"/>
        <v>200</v>
      </c>
      <c r="AL247" s="75"/>
      <c r="AM247" s="75"/>
    </row>
    <row r="248" spans="1:39" s="15" customFormat="1" ht="21.75" customHeight="1">
      <c r="A248" s="61"/>
      <c r="B248" s="55" t="s">
        <v>106</v>
      </c>
      <c r="C248" s="59"/>
      <c r="D248" s="27" t="s">
        <v>117</v>
      </c>
      <c r="E248" s="53">
        <f aca="true" t="shared" si="176" ref="E248:Z248">SUM(E249:E251)</f>
        <v>2932516</v>
      </c>
      <c r="F248" s="53">
        <f t="shared" si="176"/>
        <v>0</v>
      </c>
      <c r="G248" s="53">
        <f t="shared" si="176"/>
        <v>2932516</v>
      </c>
      <c r="H248" s="53">
        <f t="shared" si="176"/>
        <v>0</v>
      </c>
      <c r="I248" s="53">
        <f t="shared" si="176"/>
        <v>2932516</v>
      </c>
      <c r="J248" s="53">
        <f t="shared" si="176"/>
        <v>0</v>
      </c>
      <c r="K248" s="53">
        <f t="shared" si="176"/>
        <v>2932516</v>
      </c>
      <c r="L248" s="53">
        <f t="shared" si="176"/>
        <v>0</v>
      </c>
      <c r="M248" s="53">
        <f t="shared" si="176"/>
        <v>2932516</v>
      </c>
      <c r="N248" s="53">
        <f t="shared" si="176"/>
        <v>0</v>
      </c>
      <c r="O248" s="53">
        <f t="shared" si="176"/>
        <v>2932516</v>
      </c>
      <c r="P248" s="53">
        <f t="shared" si="176"/>
        <v>220700</v>
      </c>
      <c r="Q248" s="53">
        <f t="shared" si="176"/>
        <v>3153216</v>
      </c>
      <c r="R248" s="53">
        <f t="shared" si="176"/>
        <v>0</v>
      </c>
      <c r="S248" s="53">
        <f t="shared" si="176"/>
        <v>3153216</v>
      </c>
      <c r="T248" s="53">
        <f t="shared" si="176"/>
        <v>0</v>
      </c>
      <c r="U248" s="53">
        <f t="shared" si="176"/>
        <v>3153216</v>
      </c>
      <c r="V248" s="53">
        <f t="shared" si="176"/>
        <v>0</v>
      </c>
      <c r="W248" s="53">
        <f t="shared" si="176"/>
        <v>3153216</v>
      </c>
      <c r="X248" s="53">
        <f t="shared" si="176"/>
        <v>3562</v>
      </c>
      <c r="Y248" s="53">
        <f t="shared" si="176"/>
        <v>3156778</v>
      </c>
      <c r="Z248" s="53">
        <f t="shared" si="176"/>
        <v>0</v>
      </c>
      <c r="AA248" s="53">
        <f t="shared" si="160"/>
        <v>3156778</v>
      </c>
      <c r="AB248" s="53">
        <f>SUM(AB249:AB251)</f>
        <v>0</v>
      </c>
      <c r="AC248" s="53">
        <f t="shared" si="161"/>
        <v>3156778</v>
      </c>
      <c r="AD248" s="53">
        <f>SUM(AD249:AD251)</f>
        <v>5006</v>
      </c>
      <c r="AE248" s="53">
        <f t="shared" si="148"/>
        <v>3161784</v>
      </c>
      <c r="AF248" s="53">
        <f>SUM(AF249:AF251)</f>
        <v>0</v>
      </c>
      <c r="AG248" s="53">
        <f t="shared" si="175"/>
        <v>3161784</v>
      </c>
      <c r="AH248" s="53">
        <f>SUM(AH249:AH251)</f>
        <v>0</v>
      </c>
      <c r="AI248" s="53">
        <f t="shared" si="163"/>
        <v>3161784</v>
      </c>
      <c r="AJ248" s="53">
        <f>SUM(AJ249:AJ251)</f>
        <v>0</v>
      </c>
      <c r="AK248" s="53">
        <f t="shared" si="162"/>
        <v>3161784</v>
      </c>
      <c r="AL248" s="75"/>
      <c r="AM248" s="75"/>
    </row>
    <row r="249" spans="1:39" s="15" customFormat="1" ht="26.25" customHeight="1">
      <c r="A249" s="61"/>
      <c r="B249" s="55"/>
      <c r="C249" s="59">
        <v>2510</v>
      </c>
      <c r="D249" s="27" t="s">
        <v>118</v>
      </c>
      <c r="E249" s="53">
        <v>2832116</v>
      </c>
      <c r="F249" s="53"/>
      <c r="G249" s="53">
        <f>SUM(E249:F249)</f>
        <v>2832116</v>
      </c>
      <c r="H249" s="53"/>
      <c r="I249" s="53">
        <f>SUM(G249:H249)</f>
        <v>2832116</v>
      </c>
      <c r="J249" s="53"/>
      <c r="K249" s="53">
        <f>SUM(I249:J249)</f>
        <v>2832116</v>
      </c>
      <c r="L249" s="53"/>
      <c r="M249" s="53">
        <f>SUM(K249:L249)</f>
        <v>2832116</v>
      </c>
      <c r="N249" s="53"/>
      <c r="O249" s="53">
        <f>SUM(M249:N249)</f>
        <v>2832116</v>
      </c>
      <c r="P249" s="53">
        <v>220700</v>
      </c>
      <c r="Q249" s="53">
        <f>SUM(O249:P249)</f>
        <v>3052816</v>
      </c>
      <c r="R249" s="53"/>
      <c r="S249" s="53">
        <f>SUM(Q249:R249)</f>
        <v>3052816</v>
      </c>
      <c r="T249" s="53">
        <v>400</v>
      </c>
      <c r="U249" s="53">
        <f>SUM(S249:T249)</f>
        <v>3053216</v>
      </c>
      <c r="V249" s="53"/>
      <c r="W249" s="53">
        <f>SUM(U249:V249)</f>
        <v>3053216</v>
      </c>
      <c r="X249" s="53">
        <v>3562</v>
      </c>
      <c r="Y249" s="53">
        <f>SUM(W249:X249)</f>
        <v>3056778</v>
      </c>
      <c r="Z249" s="53"/>
      <c r="AA249" s="53">
        <f t="shared" si="160"/>
        <v>3056778</v>
      </c>
      <c r="AB249" s="53"/>
      <c r="AC249" s="53">
        <f t="shared" si="161"/>
        <v>3056778</v>
      </c>
      <c r="AD249" s="53">
        <v>5006</v>
      </c>
      <c r="AE249" s="53">
        <f t="shared" si="148"/>
        <v>3061784</v>
      </c>
      <c r="AF249" s="53"/>
      <c r="AG249" s="53">
        <f t="shared" si="175"/>
        <v>3061784</v>
      </c>
      <c r="AH249" s="53"/>
      <c r="AI249" s="53">
        <f t="shared" si="163"/>
        <v>3061784</v>
      </c>
      <c r="AJ249" s="53"/>
      <c r="AK249" s="53">
        <f t="shared" si="162"/>
        <v>3061784</v>
      </c>
      <c r="AL249" s="75"/>
      <c r="AM249" s="75"/>
    </row>
    <row r="250" spans="1:39" s="15" customFormat="1" ht="19.5" customHeight="1" hidden="1">
      <c r="A250" s="61"/>
      <c r="B250" s="55"/>
      <c r="C250" s="59">
        <v>4210</v>
      </c>
      <c r="D250" s="27" t="s">
        <v>62</v>
      </c>
      <c r="E250" s="53">
        <v>400</v>
      </c>
      <c r="F250" s="53"/>
      <c r="G250" s="53">
        <f>SUM(E250:F250)</f>
        <v>400</v>
      </c>
      <c r="H250" s="53"/>
      <c r="I250" s="53">
        <f>SUM(G250:H250)</f>
        <v>400</v>
      </c>
      <c r="J250" s="53"/>
      <c r="K250" s="53">
        <f>SUM(I250:J250)</f>
        <v>400</v>
      </c>
      <c r="L250" s="53"/>
      <c r="M250" s="53">
        <f>SUM(K250:L250)</f>
        <v>400</v>
      </c>
      <c r="N250" s="53"/>
      <c r="O250" s="53">
        <f>SUM(M250:N250)</f>
        <v>400</v>
      </c>
      <c r="P250" s="53"/>
      <c r="Q250" s="53">
        <f>SUM(O250:P250)</f>
        <v>400</v>
      </c>
      <c r="R250" s="53"/>
      <c r="S250" s="53">
        <f>SUM(Q250:R250)</f>
        <v>400</v>
      </c>
      <c r="T250" s="53">
        <v>-400</v>
      </c>
      <c r="U250" s="53">
        <f>SUM(S250:T250)</f>
        <v>0</v>
      </c>
      <c r="V250" s="53"/>
      <c r="W250" s="53">
        <f>SUM(U250:V250)</f>
        <v>0</v>
      </c>
      <c r="X250" s="53"/>
      <c r="Y250" s="53">
        <f>SUM(W250:X250)</f>
        <v>0</v>
      </c>
      <c r="Z250" s="53"/>
      <c r="AA250" s="53">
        <f t="shared" si="160"/>
        <v>0</v>
      </c>
      <c r="AB250" s="53"/>
      <c r="AC250" s="53">
        <f t="shared" si="161"/>
        <v>0</v>
      </c>
      <c r="AD250" s="53"/>
      <c r="AE250" s="53">
        <f t="shared" si="148"/>
        <v>0</v>
      </c>
      <c r="AF250" s="53"/>
      <c r="AG250" s="53">
        <f t="shared" si="175"/>
        <v>0</v>
      </c>
      <c r="AH250" s="53"/>
      <c r="AI250" s="53">
        <f t="shared" si="163"/>
        <v>0</v>
      </c>
      <c r="AJ250" s="53"/>
      <c r="AK250" s="53">
        <f aca="true" t="shared" si="177" ref="AK250:AK281">SUM(AI250:AJ250)</f>
        <v>0</v>
      </c>
      <c r="AL250" s="75"/>
      <c r="AM250" s="75"/>
    </row>
    <row r="251" spans="1:39" s="15" customFormat="1" ht="19.5" customHeight="1">
      <c r="A251" s="61"/>
      <c r="B251" s="55"/>
      <c r="C251" s="59">
        <v>4270</v>
      </c>
      <c r="D251" s="27" t="s">
        <v>68</v>
      </c>
      <c r="E251" s="53">
        <v>100000</v>
      </c>
      <c r="F251" s="53"/>
      <c r="G251" s="53">
        <f>SUM(E251:F251)</f>
        <v>100000</v>
      </c>
      <c r="H251" s="53"/>
      <c r="I251" s="53">
        <f>SUM(G251:H251)</f>
        <v>100000</v>
      </c>
      <c r="J251" s="53"/>
      <c r="K251" s="53">
        <f>SUM(I251:J251)</f>
        <v>100000</v>
      </c>
      <c r="L251" s="53"/>
      <c r="M251" s="53">
        <f>SUM(K251:L251)</f>
        <v>100000</v>
      </c>
      <c r="N251" s="53"/>
      <c r="O251" s="53">
        <f>SUM(M251:N251)</f>
        <v>100000</v>
      </c>
      <c r="P251" s="53"/>
      <c r="Q251" s="53">
        <f>SUM(O251:P251)</f>
        <v>100000</v>
      </c>
      <c r="R251" s="53"/>
      <c r="S251" s="53">
        <f>SUM(Q251:R251)</f>
        <v>100000</v>
      </c>
      <c r="T251" s="53"/>
      <c r="U251" s="53">
        <f>SUM(S251:T251)</f>
        <v>100000</v>
      </c>
      <c r="V251" s="53"/>
      <c r="W251" s="53">
        <f>SUM(U251:V251)</f>
        <v>100000</v>
      </c>
      <c r="X251" s="53"/>
      <c r="Y251" s="53">
        <f>SUM(W251:X251)</f>
        <v>100000</v>
      </c>
      <c r="Z251" s="53"/>
      <c r="AA251" s="53">
        <f t="shared" si="160"/>
        <v>100000</v>
      </c>
      <c r="AB251" s="53"/>
      <c r="AC251" s="53">
        <f t="shared" si="161"/>
        <v>100000</v>
      </c>
      <c r="AD251" s="53"/>
      <c r="AE251" s="53">
        <f t="shared" si="148"/>
        <v>100000</v>
      </c>
      <c r="AF251" s="53"/>
      <c r="AG251" s="53">
        <f t="shared" si="175"/>
        <v>100000</v>
      </c>
      <c r="AH251" s="53"/>
      <c r="AI251" s="53">
        <f t="shared" si="163"/>
        <v>100000</v>
      </c>
      <c r="AJ251" s="53"/>
      <c r="AK251" s="53">
        <f t="shared" si="177"/>
        <v>100000</v>
      </c>
      <c r="AL251" s="75"/>
      <c r="AM251" s="75"/>
    </row>
    <row r="252" spans="1:39" s="15" customFormat="1" ht="21.75" customHeight="1">
      <c r="A252" s="61"/>
      <c r="B252" s="55" t="s">
        <v>108</v>
      </c>
      <c r="C252" s="59"/>
      <c r="D252" s="27" t="s">
        <v>44</v>
      </c>
      <c r="E252" s="53">
        <f aca="true" t="shared" si="178" ref="E252:V252">SUM(E254:E276)</f>
        <v>6483141</v>
      </c>
      <c r="F252" s="53">
        <f t="shared" si="178"/>
        <v>0</v>
      </c>
      <c r="G252" s="53">
        <f t="shared" si="178"/>
        <v>6483141</v>
      </c>
      <c r="H252" s="53">
        <f t="shared" si="178"/>
        <v>0</v>
      </c>
      <c r="I252" s="53">
        <f t="shared" si="178"/>
        <v>6483141</v>
      </c>
      <c r="J252" s="53">
        <f t="shared" si="178"/>
        <v>0</v>
      </c>
      <c r="K252" s="53">
        <f t="shared" si="178"/>
        <v>6483141</v>
      </c>
      <c r="L252" s="53">
        <f t="shared" si="178"/>
        <v>0</v>
      </c>
      <c r="M252" s="53">
        <f t="shared" si="178"/>
        <v>6483141</v>
      </c>
      <c r="N252" s="53">
        <f t="shared" si="178"/>
        <v>0</v>
      </c>
      <c r="O252" s="53">
        <f t="shared" si="178"/>
        <v>6483141</v>
      </c>
      <c r="P252" s="53">
        <f t="shared" si="178"/>
        <v>185000</v>
      </c>
      <c r="Q252" s="53">
        <f t="shared" si="178"/>
        <v>6668141</v>
      </c>
      <c r="R252" s="53">
        <f t="shared" si="178"/>
        <v>-50000</v>
      </c>
      <c r="S252" s="53">
        <f t="shared" si="178"/>
        <v>6618141</v>
      </c>
      <c r="T252" s="53">
        <f t="shared" si="178"/>
        <v>0</v>
      </c>
      <c r="U252" s="53">
        <f t="shared" si="178"/>
        <v>6618141</v>
      </c>
      <c r="V252" s="53">
        <f t="shared" si="178"/>
        <v>0</v>
      </c>
      <c r="W252" s="53">
        <f>SUM(W253:W276)</f>
        <v>6618141</v>
      </c>
      <c r="X252" s="53">
        <f>SUM(X253:X276)</f>
        <v>32260</v>
      </c>
      <c r="Y252" s="53">
        <f>SUM(Y253:Y276)</f>
        <v>6650401</v>
      </c>
      <c r="Z252" s="53">
        <f>SUM(Z253:Z276)</f>
        <v>0</v>
      </c>
      <c r="AA252" s="53">
        <f t="shared" si="160"/>
        <v>6650401</v>
      </c>
      <c r="AB252" s="53">
        <f>SUM(AB253:AB276)</f>
        <v>0</v>
      </c>
      <c r="AC252" s="53">
        <f t="shared" si="161"/>
        <v>6650401</v>
      </c>
      <c r="AD252" s="53">
        <f>SUM(AD253:AD276)</f>
        <v>83657</v>
      </c>
      <c r="AE252" s="53">
        <f t="shared" si="148"/>
        <v>6734058</v>
      </c>
      <c r="AF252" s="53">
        <f>SUM(AF253:AF276)</f>
        <v>0</v>
      </c>
      <c r="AG252" s="53">
        <f t="shared" si="175"/>
        <v>6734058</v>
      </c>
      <c r="AH252" s="53">
        <f>SUM(AH253:AH276)</f>
        <v>19044</v>
      </c>
      <c r="AI252" s="53">
        <f t="shared" si="163"/>
        <v>6753102</v>
      </c>
      <c r="AJ252" s="53">
        <f>SUM(AJ253:AJ276)</f>
        <v>0</v>
      </c>
      <c r="AK252" s="53">
        <f t="shared" si="177"/>
        <v>6753102</v>
      </c>
      <c r="AL252" s="75"/>
      <c r="AM252" s="75"/>
    </row>
    <row r="253" spans="1:39" s="15" customFormat="1" ht="48">
      <c r="A253" s="61"/>
      <c r="B253" s="55"/>
      <c r="C253" s="59">
        <v>2590</v>
      </c>
      <c r="D253" s="27" t="s">
        <v>286</v>
      </c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>
        <v>0</v>
      </c>
      <c r="X253" s="53">
        <v>22260</v>
      </c>
      <c r="Y253" s="53">
        <f aca="true" t="shared" si="179" ref="Y253:Y276">SUM(W253:X253)</f>
        <v>22260</v>
      </c>
      <c r="Z253" s="53"/>
      <c r="AA253" s="53">
        <f t="shared" si="160"/>
        <v>22260</v>
      </c>
      <c r="AB253" s="53"/>
      <c r="AC253" s="53">
        <f t="shared" si="161"/>
        <v>22260</v>
      </c>
      <c r="AD253" s="53">
        <f>60000-1484</f>
        <v>58516</v>
      </c>
      <c r="AE253" s="53">
        <f t="shared" si="148"/>
        <v>80776</v>
      </c>
      <c r="AF253" s="53"/>
      <c r="AG253" s="53">
        <f t="shared" si="175"/>
        <v>80776</v>
      </c>
      <c r="AH253" s="53"/>
      <c r="AI253" s="53">
        <f aca="true" t="shared" si="180" ref="AI253:AI285">SUM(AG253:AH253)</f>
        <v>80776</v>
      </c>
      <c r="AJ253" s="53"/>
      <c r="AK253" s="53">
        <f t="shared" si="177"/>
        <v>80776</v>
      </c>
      <c r="AL253" s="75"/>
      <c r="AM253" s="75"/>
    </row>
    <row r="254" spans="1:39" s="15" customFormat="1" ht="21" customHeight="1">
      <c r="A254" s="41"/>
      <c r="B254" s="55"/>
      <c r="C254" s="59">
        <v>3020</v>
      </c>
      <c r="D254" s="27" t="s">
        <v>161</v>
      </c>
      <c r="E254" s="53">
        <v>36376</v>
      </c>
      <c r="F254" s="53"/>
      <c r="G254" s="53">
        <f aca="true" t="shared" si="181" ref="G254:G276">SUM(E254:F254)</f>
        <v>36376</v>
      </c>
      <c r="H254" s="53"/>
      <c r="I254" s="53">
        <f aca="true" t="shared" si="182" ref="I254:I276">SUM(G254:H254)</f>
        <v>36376</v>
      </c>
      <c r="J254" s="53"/>
      <c r="K254" s="53">
        <f aca="true" t="shared" si="183" ref="K254:K276">SUM(I254:J254)</f>
        <v>36376</v>
      </c>
      <c r="L254" s="53"/>
      <c r="M254" s="53">
        <f aca="true" t="shared" si="184" ref="M254:M276">SUM(K254:L254)</f>
        <v>36376</v>
      </c>
      <c r="N254" s="53"/>
      <c r="O254" s="53">
        <f aca="true" t="shared" si="185" ref="O254:O276">SUM(M254:N254)</f>
        <v>36376</v>
      </c>
      <c r="P254" s="53"/>
      <c r="Q254" s="53">
        <f aca="true" t="shared" si="186" ref="Q254:Q276">SUM(O254:P254)</f>
        <v>36376</v>
      </c>
      <c r="R254" s="53"/>
      <c r="S254" s="53">
        <f aca="true" t="shared" si="187" ref="S254:S276">SUM(Q254:R254)</f>
        <v>36376</v>
      </c>
      <c r="T254" s="53"/>
      <c r="U254" s="53">
        <f aca="true" t="shared" si="188" ref="U254:U276">SUM(S254:T254)</f>
        <v>36376</v>
      </c>
      <c r="V254" s="53"/>
      <c r="W254" s="53">
        <f aca="true" t="shared" si="189" ref="W254:W276">SUM(U254:V254)</f>
        <v>36376</v>
      </c>
      <c r="X254" s="53"/>
      <c r="Y254" s="53">
        <f t="shared" si="179"/>
        <v>36376</v>
      </c>
      <c r="Z254" s="53"/>
      <c r="AA254" s="53">
        <f t="shared" si="160"/>
        <v>36376</v>
      </c>
      <c r="AB254" s="53"/>
      <c r="AC254" s="53">
        <f t="shared" si="161"/>
        <v>36376</v>
      </c>
      <c r="AD254" s="53">
        <v>-1770</v>
      </c>
      <c r="AE254" s="53">
        <f t="shared" si="148"/>
        <v>34606</v>
      </c>
      <c r="AF254" s="53"/>
      <c r="AG254" s="53">
        <f t="shared" si="175"/>
        <v>34606</v>
      </c>
      <c r="AH254" s="53"/>
      <c r="AI254" s="53">
        <f t="shared" si="180"/>
        <v>34606</v>
      </c>
      <c r="AJ254" s="53"/>
      <c r="AK254" s="53">
        <f t="shared" si="177"/>
        <v>34606</v>
      </c>
      <c r="AL254" s="75"/>
      <c r="AM254" s="75"/>
    </row>
    <row r="255" spans="1:39" s="15" customFormat="1" ht="26.25" customHeight="1">
      <c r="A255" s="41"/>
      <c r="B255" s="55"/>
      <c r="C255" s="59">
        <v>4010</v>
      </c>
      <c r="D255" s="27" t="s">
        <v>74</v>
      </c>
      <c r="E255" s="53">
        <v>2917237</v>
      </c>
      <c r="F255" s="53"/>
      <c r="G255" s="53">
        <f t="shared" si="181"/>
        <v>2917237</v>
      </c>
      <c r="H255" s="53"/>
      <c r="I255" s="53">
        <f t="shared" si="182"/>
        <v>2917237</v>
      </c>
      <c r="J255" s="53"/>
      <c r="K255" s="53">
        <f t="shared" si="183"/>
        <v>2917237</v>
      </c>
      <c r="L255" s="53"/>
      <c r="M255" s="53">
        <f t="shared" si="184"/>
        <v>2917237</v>
      </c>
      <c r="N255" s="53"/>
      <c r="O255" s="53">
        <f t="shared" si="185"/>
        <v>2917237</v>
      </c>
      <c r="P255" s="53">
        <v>192966</v>
      </c>
      <c r="Q255" s="53">
        <f t="shared" si="186"/>
        <v>3110203</v>
      </c>
      <c r="R255" s="53"/>
      <c r="S255" s="53">
        <f t="shared" si="187"/>
        <v>3110203</v>
      </c>
      <c r="T255" s="53"/>
      <c r="U255" s="53">
        <f t="shared" si="188"/>
        <v>3110203</v>
      </c>
      <c r="V255" s="53"/>
      <c r="W255" s="53">
        <f t="shared" si="189"/>
        <v>3110203</v>
      </c>
      <c r="X255" s="53"/>
      <c r="Y255" s="53">
        <f t="shared" si="179"/>
        <v>3110203</v>
      </c>
      <c r="Z255" s="53"/>
      <c r="AA255" s="53">
        <f t="shared" si="160"/>
        <v>3110203</v>
      </c>
      <c r="AB255" s="53"/>
      <c r="AC255" s="53">
        <f t="shared" si="161"/>
        <v>3110203</v>
      </c>
      <c r="AD255" s="53">
        <v>91767</v>
      </c>
      <c r="AE255" s="53">
        <f t="shared" si="148"/>
        <v>3201970</v>
      </c>
      <c r="AF255" s="53"/>
      <c r="AG255" s="53">
        <f t="shared" si="175"/>
        <v>3201970</v>
      </c>
      <c r="AH255" s="53">
        <v>12200</v>
      </c>
      <c r="AI255" s="53">
        <f t="shared" si="180"/>
        <v>3214170</v>
      </c>
      <c r="AJ255" s="53"/>
      <c r="AK255" s="53">
        <f t="shared" si="177"/>
        <v>3214170</v>
      </c>
      <c r="AL255" s="75"/>
      <c r="AM255" s="75"/>
    </row>
    <row r="256" spans="1:39" s="15" customFormat="1" ht="21" customHeight="1">
      <c r="A256" s="41"/>
      <c r="B256" s="55"/>
      <c r="C256" s="59">
        <v>4040</v>
      </c>
      <c r="D256" s="27" t="s">
        <v>75</v>
      </c>
      <c r="E256" s="53">
        <v>242450</v>
      </c>
      <c r="F256" s="53"/>
      <c r="G256" s="53">
        <f t="shared" si="181"/>
        <v>242450</v>
      </c>
      <c r="H256" s="53"/>
      <c r="I256" s="53">
        <f t="shared" si="182"/>
        <v>242450</v>
      </c>
      <c r="J256" s="53"/>
      <c r="K256" s="53">
        <f t="shared" si="183"/>
        <v>242450</v>
      </c>
      <c r="L256" s="53"/>
      <c r="M256" s="53">
        <f t="shared" si="184"/>
        <v>242450</v>
      </c>
      <c r="N256" s="53"/>
      <c r="O256" s="53">
        <f t="shared" si="185"/>
        <v>242450</v>
      </c>
      <c r="P256" s="53">
        <v>-7966</v>
      </c>
      <c r="Q256" s="53">
        <f t="shared" si="186"/>
        <v>234484</v>
      </c>
      <c r="R256" s="53"/>
      <c r="S256" s="53">
        <f t="shared" si="187"/>
        <v>234484</v>
      </c>
      <c r="T256" s="53"/>
      <c r="U256" s="53">
        <f t="shared" si="188"/>
        <v>234484</v>
      </c>
      <c r="V256" s="53"/>
      <c r="W256" s="53">
        <f t="shared" si="189"/>
        <v>234484</v>
      </c>
      <c r="X256" s="53"/>
      <c r="Y256" s="53">
        <f t="shared" si="179"/>
        <v>234484</v>
      </c>
      <c r="Z256" s="53"/>
      <c r="AA256" s="53">
        <f t="shared" si="160"/>
        <v>234484</v>
      </c>
      <c r="AB256" s="53"/>
      <c r="AC256" s="53">
        <f t="shared" si="161"/>
        <v>234484</v>
      </c>
      <c r="AD256" s="53"/>
      <c r="AE256" s="53">
        <f t="shared" si="148"/>
        <v>234484</v>
      </c>
      <c r="AF256" s="53"/>
      <c r="AG256" s="53">
        <f t="shared" si="175"/>
        <v>234484</v>
      </c>
      <c r="AH256" s="53"/>
      <c r="AI256" s="53">
        <f t="shared" si="180"/>
        <v>234484</v>
      </c>
      <c r="AJ256" s="53"/>
      <c r="AK256" s="53">
        <f t="shared" si="177"/>
        <v>234484</v>
      </c>
      <c r="AL256" s="75"/>
      <c r="AM256" s="75"/>
    </row>
    <row r="257" spans="1:39" s="15" customFormat="1" ht="21" customHeight="1">
      <c r="A257" s="41"/>
      <c r="B257" s="55"/>
      <c r="C257" s="59">
        <v>4110</v>
      </c>
      <c r="D257" s="27" t="s">
        <v>76</v>
      </c>
      <c r="E257" s="53">
        <v>551823</v>
      </c>
      <c r="F257" s="53"/>
      <c r="G257" s="53">
        <f t="shared" si="181"/>
        <v>551823</v>
      </c>
      <c r="H257" s="53"/>
      <c r="I257" s="53">
        <f t="shared" si="182"/>
        <v>551823</v>
      </c>
      <c r="J257" s="53"/>
      <c r="K257" s="53">
        <f t="shared" si="183"/>
        <v>551823</v>
      </c>
      <c r="L257" s="53"/>
      <c r="M257" s="53">
        <f t="shared" si="184"/>
        <v>551823</v>
      </c>
      <c r="N257" s="53"/>
      <c r="O257" s="53">
        <f t="shared" si="185"/>
        <v>551823</v>
      </c>
      <c r="P257" s="53"/>
      <c r="Q257" s="53">
        <f t="shared" si="186"/>
        <v>551823</v>
      </c>
      <c r="R257" s="53"/>
      <c r="S257" s="53">
        <f t="shared" si="187"/>
        <v>551823</v>
      </c>
      <c r="T257" s="53"/>
      <c r="U257" s="53">
        <f t="shared" si="188"/>
        <v>551823</v>
      </c>
      <c r="V257" s="53"/>
      <c r="W257" s="53">
        <f t="shared" si="189"/>
        <v>551823</v>
      </c>
      <c r="X257" s="53"/>
      <c r="Y257" s="53">
        <f t="shared" si="179"/>
        <v>551823</v>
      </c>
      <c r="Z257" s="53"/>
      <c r="AA257" s="53">
        <f t="shared" si="160"/>
        <v>551823</v>
      </c>
      <c r="AB257" s="53"/>
      <c r="AC257" s="53">
        <f t="shared" si="161"/>
        <v>551823</v>
      </c>
      <c r="AD257" s="53">
        <v>-27479</v>
      </c>
      <c r="AE257" s="53">
        <f t="shared" si="148"/>
        <v>524344</v>
      </c>
      <c r="AF257" s="53"/>
      <c r="AG257" s="53">
        <f t="shared" si="175"/>
        <v>524344</v>
      </c>
      <c r="AH257" s="53"/>
      <c r="AI257" s="53">
        <f t="shared" si="180"/>
        <v>524344</v>
      </c>
      <c r="AJ257" s="53"/>
      <c r="AK257" s="53">
        <f t="shared" si="177"/>
        <v>524344</v>
      </c>
      <c r="AL257" s="75"/>
      <c r="AM257" s="75"/>
    </row>
    <row r="258" spans="1:39" s="15" customFormat="1" ht="21" customHeight="1">
      <c r="A258" s="41"/>
      <c r="B258" s="55"/>
      <c r="C258" s="59">
        <v>4120</v>
      </c>
      <c r="D258" s="27" t="s">
        <v>77</v>
      </c>
      <c r="E258" s="53">
        <v>77646</v>
      </c>
      <c r="F258" s="53"/>
      <c r="G258" s="53">
        <f t="shared" si="181"/>
        <v>77646</v>
      </c>
      <c r="H258" s="53"/>
      <c r="I258" s="53">
        <f t="shared" si="182"/>
        <v>77646</v>
      </c>
      <c r="J258" s="53"/>
      <c r="K258" s="53">
        <f t="shared" si="183"/>
        <v>77646</v>
      </c>
      <c r="L258" s="53"/>
      <c r="M258" s="53">
        <f t="shared" si="184"/>
        <v>77646</v>
      </c>
      <c r="N258" s="53"/>
      <c r="O258" s="53">
        <f t="shared" si="185"/>
        <v>77646</v>
      </c>
      <c r="P258" s="53"/>
      <c r="Q258" s="53">
        <f t="shared" si="186"/>
        <v>77646</v>
      </c>
      <c r="R258" s="53"/>
      <c r="S258" s="53">
        <f t="shared" si="187"/>
        <v>77646</v>
      </c>
      <c r="T258" s="53"/>
      <c r="U258" s="53">
        <f t="shared" si="188"/>
        <v>77646</v>
      </c>
      <c r="V258" s="53"/>
      <c r="W258" s="53">
        <f t="shared" si="189"/>
        <v>77646</v>
      </c>
      <c r="X258" s="53"/>
      <c r="Y258" s="53">
        <f t="shared" si="179"/>
        <v>77646</v>
      </c>
      <c r="Z258" s="53"/>
      <c r="AA258" s="53">
        <f t="shared" si="160"/>
        <v>77646</v>
      </c>
      <c r="AB258" s="53"/>
      <c r="AC258" s="53">
        <f t="shared" si="161"/>
        <v>77646</v>
      </c>
      <c r="AD258" s="53">
        <v>4958</v>
      </c>
      <c r="AE258" s="53">
        <f t="shared" si="148"/>
        <v>82604</v>
      </c>
      <c r="AF258" s="53"/>
      <c r="AG258" s="53">
        <f t="shared" si="175"/>
        <v>82604</v>
      </c>
      <c r="AH258" s="53"/>
      <c r="AI258" s="53">
        <f t="shared" si="180"/>
        <v>82604</v>
      </c>
      <c r="AJ258" s="53"/>
      <c r="AK258" s="53">
        <f t="shared" si="177"/>
        <v>82604</v>
      </c>
      <c r="AL258" s="75"/>
      <c r="AM258" s="75"/>
    </row>
    <row r="259" spans="1:39" s="15" customFormat="1" ht="21" customHeight="1">
      <c r="A259" s="41"/>
      <c r="B259" s="55"/>
      <c r="C259" s="59">
        <v>4170</v>
      </c>
      <c r="D259" s="27" t="s">
        <v>162</v>
      </c>
      <c r="E259" s="53">
        <v>13000</v>
      </c>
      <c r="F259" s="53"/>
      <c r="G259" s="53">
        <f t="shared" si="181"/>
        <v>13000</v>
      </c>
      <c r="H259" s="53"/>
      <c r="I259" s="53">
        <f t="shared" si="182"/>
        <v>13000</v>
      </c>
      <c r="J259" s="53"/>
      <c r="K259" s="53">
        <f t="shared" si="183"/>
        <v>13000</v>
      </c>
      <c r="L259" s="53"/>
      <c r="M259" s="53">
        <f t="shared" si="184"/>
        <v>13000</v>
      </c>
      <c r="N259" s="53"/>
      <c r="O259" s="53">
        <f t="shared" si="185"/>
        <v>13000</v>
      </c>
      <c r="P259" s="53"/>
      <c r="Q259" s="53">
        <f t="shared" si="186"/>
        <v>13000</v>
      </c>
      <c r="R259" s="53"/>
      <c r="S259" s="53">
        <f t="shared" si="187"/>
        <v>13000</v>
      </c>
      <c r="T259" s="53"/>
      <c r="U259" s="53">
        <f t="shared" si="188"/>
        <v>13000</v>
      </c>
      <c r="V259" s="53"/>
      <c r="W259" s="53">
        <f t="shared" si="189"/>
        <v>13000</v>
      </c>
      <c r="X259" s="53"/>
      <c r="Y259" s="53">
        <f t="shared" si="179"/>
        <v>13000</v>
      </c>
      <c r="Z259" s="53"/>
      <c r="AA259" s="53">
        <f t="shared" si="160"/>
        <v>13000</v>
      </c>
      <c r="AB259" s="53"/>
      <c r="AC259" s="53">
        <f t="shared" si="161"/>
        <v>13000</v>
      </c>
      <c r="AD259" s="53">
        <v>-1450</v>
      </c>
      <c r="AE259" s="53">
        <f t="shared" si="148"/>
        <v>11550</v>
      </c>
      <c r="AF259" s="53"/>
      <c r="AG259" s="53">
        <f t="shared" si="175"/>
        <v>11550</v>
      </c>
      <c r="AH259" s="53"/>
      <c r="AI259" s="53">
        <f t="shared" si="180"/>
        <v>11550</v>
      </c>
      <c r="AJ259" s="53"/>
      <c r="AK259" s="53">
        <f t="shared" si="177"/>
        <v>11550</v>
      </c>
      <c r="AL259" s="75"/>
      <c r="AM259" s="75"/>
    </row>
    <row r="260" spans="1:39" s="15" customFormat="1" ht="21" customHeight="1">
      <c r="A260" s="41"/>
      <c r="B260" s="55"/>
      <c r="C260" s="59">
        <v>4210</v>
      </c>
      <c r="D260" s="27" t="s">
        <v>82</v>
      </c>
      <c r="E260" s="53">
        <f>154600+900</f>
        <v>155500</v>
      </c>
      <c r="F260" s="53"/>
      <c r="G260" s="53">
        <f t="shared" si="181"/>
        <v>155500</v>
      </c>
      <c r="H260" s="53"/>
      <c r="I260" s="53">
        <f t="shared" si="182"/>
        <v>155500</v>
      </c>
      <c r="J260" s="53"/>
      <c r="K260" s="53">
        <f t="shared" si="183"/>
        <v>155500</v>
      </c>
      <c r="L260" s="53"/>
      <c r="M260" s="53">
        <f t="shared" si="184"/>
        <v>155500</v>
      </c>
      <c r="N260" s="53"/>
      <c r="O260" s="53">
        <f t="shared" si="185"/>
        <v>155500</v>
      </c>
      <c r="P260" s="53"/>
      <c r="Q260" s="53">
        <f t="shared" si="186"/>
        <v>155500</v>
      </c>
      <c r="R260" s="53"/>
      <c r="S260" s="53">
        <f t="shared" si="187"/>
        <v>155500</v>
      </c>
      <c r="T260" s="53"/>
      <c r="U260" s="53">
        <f t="shared" si="188"/>
        <v>155500</v>
      </c>
      <c r="V260" s="53"/>
      <c r="W260" s="53">
        <f t="shared" si="189"/>
        <v>155500</v>
      </c>
      <c r="X260" s="53"/>
      <c r="Y260" s="53">
        <f t="shared" si="179"/>
        <v>155500</v>
      </c>
      <c r="Z260" s="53"/>
      <c r="AA260" s="53">
        <f t="shared" si="160"/>
        <v>155500</v>
      </c>
      <c r="AB260" s="53"/>
      <c r="AC260" s="53">
        <f t="shared" si="161"/>
        <v>155500</v>
      </c>
      <c r="AD260" s="53">
        <v>13800</v>
      </c>
      <c r="AE260" s="53">
        <f t="shared" si="148"/>
        <v>169300</v>
      </c>
      <c r="AF260" s="53"/>
      <c r="AG260" s="53">
        <f t="shared" si="175"/>
        <v>169300</v>
      </c>
      <c r="AH260" s="53"/>
      <c r="AI260" s="53">
        <f t="shared" si="180"/>
        <v>169300</v>
      </c>
      <c r="AJ260" s="53"/>
      <c r="AK260" s="53">
        <f t="shared" si="177"/>
        <v>169300</v>
      </c>
      <c r="AL260" s="75"/>
      <c r="AM260" s="75"/>
    </row>
    <row r="261" spans="1:39" s="15" customFormat="1" ht="27" customHeight="1">
      <c r="A261" s="41"/>
      <c r="B261" s="55"/>
      <c r="C261" s="59">
        <v>4230</v>
      </c>
      <c r="D261" s="27" t="s">
        <v>231</v>
      </c>
      <c r="E261" s="53">
        <v>1500</v>
      </c>
      <c r="F261" s="53"/>
      <c r="G261" s="53">
        <f t="shared" si="181"/>
        <v>1500</v>
      </c>
      <c r="H261" s="53"/>
      <c r="I261" s="53">
        <f t="shared" si="182"/>
        <v>1500</v>
      </c>
      <c r="J261" s="53"/>
      <c r="K261" s="53">
        <f t="shared" si="183"/>
        <v>1500</v>
      </c>
      <c r="L261" s="53"/>
      <c r="M261" s="53">
        <f t="shared" si="184"/>
        <v>1500</v>
      </c>
      <c r="N261" s="53"/>
      <c r="O261" s="53">
        <f t="shared" si="185"/>
        <v>1500</v>
      </c>
      <c r="P261" s="53"/>
      <c r="Q261" s="53">
        <f t="shared" si="186"/>
        <v>1500</v>
      </c>
      <c r="R261" s="53"/>
      <c r="S261" s="53">
        <f t="shared" si="187"/>
        <v>1500</v>
      </c>
      <c r="T261" s="53"/>
      <c r="U261" s="53">
        <f t="shared" si="188"/>
        <v>1500</v>
      </c>
      <c r="V261" s="53"/>
      <c r="W261" s="53">
        <f t="shared" si="189"/>
        <v>1500</v>
      </c>
      <c r="X261" s="53"/>
      <c r="Y261" s="53">
        <f t="shared" si="179"/>
        <v>1500</v>
      </c>
      <c r="Z261" s="53"/>
      <c r="AA261" s="53">
        <f t="shared" si="160"/>
        <v>1500</v>
      </c>
      <c r="AB261" s="53"/>
      <c r="AC261" s="53">
        <f t="shared" si="161"/>
        <v>1500</v>
      </c>
      <c r="AD261" s="53"/>
      <c r="AE261" s="53">
        <f t="shared" si="148"/>
        <v>1500</v>
      </c>
      <c r="AF261" s="53"/>
      <c r="AG261" s="53">
        <f t="shared" si="175"/>
        <v>1500</v>
      </c>
      <c r="AH261" s="53"/>
      <c r="AI261" s="53">
        <f t="shared" si="180"/>
        <v>1500</v>
      </c>
      <c r="AJ261" s="53"/>
      <c r="AK261" s="53">
        <f t="shared" si="177"/>
        <v>1500</v>
      </c>
      <c r="AL261" s="75"/>
      <c r="AM261" s="75"/>
    </row>
    <row r="262" spans="1:39" s="15" customFormat="1" ht="24">
      <c r="A262" s="41"/>
      <c r="B262" s="55"/>
      <c r="C262" s="59">
        <v>4240</v>
      </c>
      <c r="D262" s="27" t="s">
        <v>116</v>
      </c>
      <c r="E262" s="53">
        <v>16100</v>
      </c>
      <c r="F262" s="53"/>
      <c r="G262" s="53">
        <f t="shared" si="181"/>
        <v>16100</v>
      </c>
      <c r="H262" s="53"/>
      <c r="I262" s="53">
        <f t="shared" si="182"/>
        <v>16100</v>
      </c>
      <c r="J262" s="53"/>
      <c r="K262" s="53">
        <f t="shared" si="183"/>
        <v>16100</v>
      </c>
      <c r="L262" s="53"/>
      <c r="M262" s="53">
        <f t="shared" si="184"/>
        <v>16100</v>
      </c>
      <c r="N262" s="53"/>
      <c r="O262" s="53">
        <f t="shared" si="185"/>
        <v>16100</v>
      </c>
      <c r="P262" s="53"/>
      <c r="Q262" s="53">
        <f t="shared" si="186"/>
        <v>16100</v>
      </c>
      <c r="R262" s="53"/>
      <c r="S262" s="53">
        <f t="shared" si="187"/>
        <v>16100</v>
      </c>
      <c r="T262" s="53"/>
      <c r="U262" s="53">
        <f t="shared" si="188"/>
        <v>16100</v>
      </c>
      <c r="V262" s="53"/>
      <c r="W262" s="53">
        <f t="shared" si="189"/>
        <v>16100</v>
      </c>
      <c r="X262" s="53"/>
      <c r="Y262" s="53">
        <f t="shared" si="179"/>
        <v>16100</v>
      </c>
      <c r="Z262" s="53"/>
      <c r="AA262" s="53">
        <f t="shared" si="160"/>
        <v>16100</v>
      </c>
      <c r="AB262" s="53"/>
      <c r="AC262" s="53">
        <f t="shared" si="161"/>
        <v>16100</v>
      </c>
      <c r="AD262" s="53">
        <v>2900</v>
      </c>
      <c r="AE262" s="53">
        <f t="shared" si="148"/>
        <v>19000</v>
      </c>
      <c r="AF262" s="53"/>
      <c r="AG262" s="53">
        <f t="shared" si="175"/>
        <v>19000</v>
      </c>
      <c r="AH262" s="53"/>
      <c r="AI262" s="53">
        <f t="shared" si="180"/>
        <v>19000</v>
      </c>
      <c r="AJ262" s="53"/>
      <c r="AK262" s="53">
        <f t="shared" si="177"/>
        <v>19000</v>
      </c>
      <c r="AL262" s="75"/>
      <c r="AM262" s="75"/>
    </row>
    <row r="263" spans="1:39" s="15" customFormat="1" ht="21" customHeight="1">
      <c r="A263" s="41"/>
      <c r="B263" s="55"/>
      <c r="C263" s="59">
        <v>4260</v>
      </c>
      <c r="D263" s="27" t="s">
        <v>85</v>
      </c>
      <c r="E263" s="53">
        <v>297000</v>
      </c>
      <c r="F263" s="53"/>
      <c r="G263" s="53">
        <f t="shared" si="181"/>
        <v>297000</v>
      </c>
      <c r="H263" s="53"/>
      <c r="I263" s="53">
        <f t="shared" si="182"/>
        <v>297000</v>
      </c>
      <c r="J263" s="53"/>
      <c r="K263" s="53">
        <f t="shared" si="183"/>
        <v>297000</v>
      </c>
      <c r="L263" s="53"/>
      <c r="M263" s="53">
        <f t="shared" si="184"/>
        <v>297000</v>
      </c>
      <c r="N263" s="53"/>
      <c r="O263" s="53">
        <f t="shared" si="185"/>
        <v>297000</v>
      </c>
      <c r="P263" s="53"/>
      <c r="Q263" s="53">
        <f t="shared" si="186"/>
        <v>297000</v>
      </c>
      <c r="R263" s="53"/>
      <c r="S263" s="53">
        <f t="shared" si="187"/>
        <v>297000</v>
      </c>
      <c r="T263" s="53"/>
      <c r="U263" s="53">
        <f t="shared" si="188"/>
        <v>297000</v>
      </c>
      <c r="V263" s="53"/>
      <c r="W263" s="53">
        <f t="shared" si="189"/>
        <v>297000</v>
      </c>
      <c r="X263" s="53"/>
      <c r="Y263" s="53">
        <f t="shared" si="179"/>
        <v>297000</v>
      </c>
      <c r="Z263" s="53"/>
      <c r="AA263" s="53">
        <f t="shared" si="160"/>
        <v>297000</v>
      </c>
      <c r="AB263" s="53"/>
      <c r="AC263" s="53">
        <f t="shared" si="161"/>
        <v>297000</v>
      </c>
      <c r="AD263" s="53">
        <v>-10306</v>
      </c>
      <c r="AE263" s="53">
        <f t="shared" si="148"/>
        <v>286694</v>
      </c>
      <c r="AF263" s="53"/>
      <c r="AG263" s="53">
        <f t="shared" si="175"/>
        <v>286694</v>
      </c>
      <c r="AH263" s="53"/>
      <c r="AI263" s="53">
        <f t="shared" si="180"/>
        <v>286694</v>
      </c>
      <c r="AJ263" s="53"/>
      <c r="AK263" s="53">
        <f t="shared" si="177"/>
        <v>286694</v>
      </c>
      <c r="AL263" s="75"/>
      <c r="AM263" s="75"/>
    </row>
    <row r="264" spans="1:39" s="15" customFormat="1" ht="21" customHeight="1">
      <c r="A264" s="41"/>
      <c r="B264" s="55"/>
      <c r="C264" s="59">
        <v>4270</v>
      </c>
      <c r="D264" s="27" t="s">
        <v>68</v>
      </c>
      <c r="E264" s="53">
        <f>48200+150000</f>
        <v>198200</v>
      </c>
      <c r="F264" s="53"/>
      <c r="G264" s="53">
        <f t="shared" si="181"/>
        <v>198200</v>
      </c>
      <c r="H264" s="53"/>
      <c r="I264" s="53">
        <f t="shared" si="182"/>
        <v>198200</v>
      </c>
      <c r="J264" s="53"/>
      <c r="K264" s="53">
        <f t="shared" si="183"/>
        <v>198200</v>
      </c>
      <c r="L264" s="53"/>
      <c r="M264" s="53">
        <f t="shared" si="184"/>
        <v>198200</v>
      </c>
      <c r="N264" s="53"/>
      <c r="O264" s="53">
        <f t="shared" si="185"/>
        <v>198200</v>
      </c>
      <c r="P264" s="53"/>
      <c r="Q264" s="53">
        <f t="shared" si="186"/>
        <v>198200</v>
      </c>
      <c r="R264" s="53">
        <v>-50000</v>
      </c>
      <c r="S264" s="53">
        <f t="shared" si="187"/>
        <v>148200</v>
      </c>
      <c r="T264" s="53"/>
      <c r="U264" s="53">
        <f t="shared" si="188"/>
        <v>148200</v>
      </c>
      <c r="V264" s="53"/>
      <c r="W264" s="53">
        <f t="shared" si="189"/>
        <v>148200</v>
      </c>
      <c r="X264" s="53">
        <v>10000</v>
      </c>
      <c r="Y264" s="53">
        <f t="shared" si="179"/>
        <v>158200</v>
      </c>
      <c r="Z264" s="53"/>
      <c r="AA264" s="53">
        <f t="shared" si="160"/>
        <v>158200</v>
      </c>
      <c r="AB264" s="53"/>
      <c r="AC264" s="53">
        <f t="shared" si="161"/>
        <v>158200</v>
      </c>
      <c r="AD264" s="53">
        <v>-600</v>
      </c>
      <c r="AE264" s="53">
        <f t="shared" si="148"/>
        <v>157600</v>
      </c>
      <c r="AF264" s="53"/>
      <c r="AG264" s="53">
        <f t="shared" si="175"/>
        <v>157600</v>
      </c>
      <c r="AH264" s="53">
        <v>2100</v>
      </c>
      <c r="AI264" s="53">
        <f t="shared" si="180"/>
        <v>159700</v>
      </c>
      <c r="AJ264" s="53"/>
      <c r="AK264" s="53">
        <f t="shared" si="177"/>
        <v>159700</v>
      </c>
      <c r="AL264" s="75"/>
      <c r="AM264" s="75"/>
    </row>
    <row r="265" spans="1:39" s="15" customFormat="1" ht="21" customHeight="1">
      <c r="A265" s="41"/>
      <c r="B265" s="55"/>
      <c r="C265" s="59">
        <v>4280</v>
      </c>
      <c r="D265" s="27" t="s">
        <v>166</v>
      </c>
      <c r="E265" s="53">
        <v>7800</v>
      </c>
      <c r="F265" s="53"/>
      <c r="G265" s="53">
        <f t="shared" si="181"/>
        <v>7800</v>
      </c>
      <c r="H265" s="53"/>
      <c r="I265" s="53">
        <f t="shared" si="182"/>
        <v>7800</v>
      </c>
      <c r="J265" s="53"/>
      <c r="K265" s="53">
        <f t="shared" si="183"/>
        <v>7800</v>
      </c>
      <c r="L265" s="53"/>
      <c r="M265" s="53">
        <f t="shared" si="184"/>
        <v>7800</v>
      </c>
      <c r="N265" s="53"/>
      <c r="O265" s="53">
        <f t="shared" si="185"/>
        <v>7800</v>
      </c>
      <c r="P265" s="53"/>
      <c r="Q265" s="53">
        <f t="shared" si="186"/>
        <v>7800</v>
      </c>
      <c r="R265" s="53"/>
      <c r="S265" s="53">
        <f t="shared" si="187"/>
        <v>7800</v>
      </c>
      <c r="T265" s="53"/>
      <c r="U265" s="53">
        <f t="shared" si="188"/>
        <v>7800</v>
      </c>
      <c r="V265" s="53"/>
      <c r="W265" s="53">
        <f t="shared" si="189"/>
        <v>7800</v>
      </c>
      <c r="X265" s="53"/>
      <c r="Y265" s="53">
        <f t="shared" si="179"/>
        <v>7800</v>
      </c>
      <c r="Z265" s="53"/>
      <c r="AA265" s="53">
        <f t="shared" si="160"/>
        <v>7800</v>
      </c>
      <c r="AB265" s="53"/>
      <c r="AC265" s="53">
        <f t="shared" si="161"/>
        <v>7800</v>
      </c>
      <c r="AD265" s="53"/>
      <c r="AE265" s="53">
        <f t="shared" si="148"/>
        <v>7800</v>
      </c>
      <c r="AF265" s="53"/>
      <c r="AG265" s="53">
        <f t="shared" si="175"/>
        <v>7800</v>
      </c>
      <c r="AH265" s="53"/>
      <c r="AI265" s="53">
        <f t="shared" si="180"/>
        <v>7800</v>
      </c>
      <c r="AJ265" s="53"/>
      <c r="AK265" s="53">
        <f t="shared" si="177"/>
        <v>7800</v>
      </c>
      <c r="AL265" s="75"/>
      <c r="AM265" s="75"/>
    </row>
    <row r="266" spans="1:39" s="15" customFormat="1" ht="21" customHeight="1">
      <c r="A266" s="41"/>
      <c r="B266" s="55"/>
      <c r="C266" s="59">
        <v>4300</v>
      </c>
      <c r="D266" s="27" t="s">
        <v>69</v>
      </c>
      <c r="E266" s="53">
        <v>41000</v>
      </c>
      <c r="F266" s="53"/>
      <c r="G266" s="53">
        <f t="shared" si="181"/>
        <v>41000</v>
      </c>
      <c r="H266" s="53"/>
      <c r="I266" s="53">
        <f t="shared" si="182"/>
        <v>41000</v>
      </c>
      <c r="J266" s="53"/>
      <c r="K266" s="53">
        <f t="shared" si="183"/>
        <v>41000</v>
      </c>
      <c r="L266" s="53"/>
      <c r="M266" s="53">
        <f t="shared" si="184"/>
        <v>41000</v>
      </c>
      <c r="N266" s="53"/>
      <c r="O266" s="53">
        <f t="shared" si="185"/>
        <v>41000</v>
      </c>
      <c r="P266" s="53"/>
      <c r="Q266" s="53">
        <f t="shared" si="186"/>
        <v>41000</v>
      </c>
      <c r="R266" s="53"/>
      <c r="S266" s="53">
        <f t="shared" si="187"/>
        <v>41000</v>
      </c>
      <c r="T266" s="53"/>
      <c r="U266" s="53">
        <f t="shared" si="188"/>
        <v>41000</v>
      </c>
      <c r="V266" s="53"/>
      <c r="W266" s="53">
        <f t="shared" si="189"/>
        <v>41000</v>
      </c>
      <c r="X266" s="53"/>
      <c r="Y266" s="53">
        <f t="shared" si="179"/>
        <v>41000</v>
      </c>
      <c r="Z266" s="53"/>
      <c r="AA266" s="53">
        <f t="shared" si="160"/>
        <v>41000</v>
      </c>
      <c r="AB266" s="53"/>
      <c r="AC266" s="53">
        <f t="shared" si="161"/>
        <v>41000</v>
      </c>
      <c r="AD266" s="53">
        <v>3000</v>
      </c>
      <c r="AE266" s="53">
        <f t="shared" si="148"/>
        <v>44000</v>
      </c>
      <c r="AF266" s="53"/>
      <c r="AG266" s="53">
        <f t="shared" si="175"/>
        <v>44000</v>
      </c>
      <c r="AH266" s="53">
        <v>-2100</v>
      </c>
      <c r="AI266" s="53">
        <f t="shared" si="180"/>
        <v>41900</v>
      </c>
      <c r="AJ266" s="53"/>
      <c r="AK266" s="53">
        <f t="shared" si="177"/>
        <v>41900</v>
      </c>
      <c r="AL266" s="75"/>
      <c r="AM266" s="75"/>
    </row>
    <row r="267" spans="1:39" s="15" customFormat="1" ht="21" customHeight="1">
      <c r="A267" s="41"/>
      <c r="B267" s="55"/>
      <c r="C267" s="59">
        <v>4350</v>
      </c>
      <c r="D267" s="27" t="s">
        <v>175</v>
      </c>
      <c r="E267" s="53">
        <v>5400</v>
      </c>
      <c r="F267" s="53"/>
      <c r="G267" s="53">
        <f t="shared" si="181"/>
        <v>5400</v>
      </c>
      <c r="H267" s="53"/>
      <c r="I267" s="53">
        <f t="shared" si="182"/>
        <v>5400</v>
      </c>
      <c r="J267" s="53"/>
      <c r="K267" s="53">
        <f t="shared" si="183"/>
        <v>5400</v>
      </c>
      <c r="L267" s="53"/>
      <c r="M267" s="53">
        <f t="shared" si="184"/>
        <v>5400</v>
      </c>
      <c r="N267" s="53"/>
      <c r="O267" s="53">
        <f t="shared" si="185"/>
        <v>5400</v>
      </c>
      <c r="P267" s="53"/>
      <c r="Q267" s="53">
        <f t="shared" si="186"/>
        <v>5400</v>
      </c>
      <c r="R267" s="53"/>
      <c r="S267" s="53">
        <f t="shared" si="187"/>
        <v>5400</v>
      </c>
      <c r="T267" s="53"/>
      <c r="U267" s="53">
        <f t="shared" si="188"/>
        <v>5400</v>
      </c>
      <c r="V267" s="53"/>
      <c r="W267" s="53">
        <f t="shared" si="189"/>
        <v>5400</v>
      </c>
      <c r="X267" s="53"/>
      <c r="Y267" s="53">
        <f t="shared" si="179"/>
        <v>5400</v>
      </c>
      <c r="Z267" s="53"/>
      <c r="AA267" s="53">
        <f t="shared" si="160"/>
        <v>5400</v>
      </c>
      <c r="AB267" s="53"/>
      <c r="AC267" s="53">
        <f t="shared" si="161"/>
        <v>5400</v>
      </c>
      <c r="AD267" s="53">
        <v>-2702</v>
      </c>
      <c r="AE267" s="53">
        <f t="shared" si="148"/>
        <v>2698</v>
      </c>
      <c r="AF267" s="53"/>
      <c r="AG267" s="53">
        <f t="shared" si="175"/>
        <v>2698</v>
      </c>
      <c r="AH267" s="53"/>
      <c r="AI267" s="53">
        <f t="shared" si="180"/>
        <v>2698</v>
      </c>
      <c r="AJ267" s="53"/>
      <c r="AK267" s="53">
        <f t="shared" si="177"/>
        <v>2698</v>
      </c>
      <c r="AL267" s="75"/>
      <c r="AM267" s="75"/>
    </row>
    <row r="268" spans="1:39" s="15" customFormat="1" ht="24">
      <c r="A268" s="41"/>
      <c r="B268" s="55"/>
      <c r="C268" s="59">
        <v>4370</v>
      </c>
      <c r="D268" s="9" t="s">
        <v>188</v>
      </c>
      <c r="E268" s="53">
        <v>16400</v>
      </c>
      <c r="F268" s="53"/>
      <c r="G268" s="53">
        <f t="shared" si="181"/>
        <v>16400</v>
      </c>
      <c r="H268" s="53"/>
      <c r="I268" s="53">
        <f t="shared" si="182"/>
        <v>16400</v>
      </c>
      <c r="J268" s="53"/>
      <c r="K268" s="53">
        <f t="shared" si="183"/>
        <v>16400</v>
      </c>
      <c r="L268" s="53"/>
      <c r="M268" s="53">
        <f t="shared" si="184"/>
        <v>16400</v>
      </c>
      <c r="N268" s="53"/>
      <c r="O268" s="53">
        <f t="shared" si="185"/>
        <v>16400</v>
      </c>
      <c r="P268" s="53"/>
      <c r="Q268" s="53">
        <f t="shared" si="186"/>
        <v>16400</v>
      </c>
      <c r="R268" s="53"/>
      <c r="S268" s="53">
        <f t="shared" si="187"/>
        <v>16400</v>
      </c>
      <c r="T268" s="53"/>
      <c r="U268" s="53">
        <f t="shared" si="188"/>
        <v>16400</v>
      </c>
      <c r="V268" s="53"/>
      <c r="W268" s="53">
        <f t="shared" si="189"/>
        <v>16400</v>
      </c>
      <c r="X268" s="53"/>
      <c r="Y268" s="53">
        <f t="shared" si="179"/>
        <v>16400</v>
      </c>
      <c r="Z268" s="53"/>
      <c r="AA268" s="53">
        <f t="shared" si="160"/>
        <v>16400</v>
      </c>
      <c r="AB268" s="53"/>
      <c r="AC268" s="53">
        <f t="shared" si="161"/>
        <v>16400</v>
      </c>
      <c r="AD268" s="53">
        <v>-8638</v>
      </c>
      <c r="AE268" s="53">
        <f t="shared" si="148"/>
        <v>7762</v>
      </c>
      <c r="AF268" s="53"/>
      <c r="AG268" s="53">
        <f t="shared" si="175"/>
        <v>7762</v>
      </c>
      <c r="AH268" s="53"/>
      <c r="AI268" s="53">
        <f t="shared" si="180"/>
        <v>7762</v>
      </c>
      <c r="AJ268" s="53"/>
      <c r="AK268" s="53">
        <f t="shared" si="177"/>
        <v>7762</v>
      </c>
      <c r="AL268" s="75"/>
      <c r="AM268" s="75"/>
    </row>
    <row r="269" spans="1:39" s="15" customFormat="1" ht="24">
      <c r="A269" s="41"/>
      <c r="B269" s="55"/>
      <c r="C269" s="59">
        <v>4390</v>
      </c>
      <c r="D269" s="27" t="s">
        <v>271</v>
      </c>
      <c r="E269" s="53">
        <v>1500</v>
      </c>
      <c r="F269" s="53"/>
      <c r="G269" s="53">
        <f t="shared" si="181"/>
        <v>1500</v>
      </c>
      <c r="H269" s="53"/>
      <c r="I269" s="53">
        <f t="shared" si="182"/>
        <v>1500</v>
      </c>
      <c r="J269" s="53"/>
      <c r="K269" s="53">
        <f t="shared" si="183"/>
        <v>1500</v>
      </c>
      <c r="L269" s="53"/>
      <c r="M269" s="53">
        <f t="shared" si="184"/>
        <v>1500</v>
      </c>
      <c r="N269" s="53"/>
      <c r="O269" s="53">
        <f t="shared" si="185"/>
        <v>1500</v>
      </c>
      <c r="P269" s="53"/>
      <c r="Q269" s="53">
        <f t="shared" si="186"/>
        <v>1500</v>
      </c>
      <c r="R269" s="53"/>
      <c r="S269" s="53">
        <f t="shared" si="187"/>
        <v>1500</v>
      </c>
      <c r="T269" s="53"/>
      <c r="U269" s="53">
        <f t="shared" si="188"/>
        <v>1500</v>
      </c>
      <c r="V269" s="53"/>
      <c r="W269" s="53">
        <f t="shared" si="189"/>
        <v>1500</v>
      </c>
      <c r="X269" s="53"/>
      <c r="Y269" s="53">
        <f t="shared" si="179"/>
        <v>1500</v>
      </c>
      <c r="Z269" s="53"/>
      <c r="AA269" s="53">
        <f t="shared" si="160"/>
        <v>1500</v>
      </c>
      <c r="AB269" s="53"/>
      <c r="AC269" s="53">
        <f t="shared" si="161"/>
        <v>1500</v>
      </c>
      <c r="AD269" s="53">
        <v>-900</v>
      </c>
      <c r="AE269" s="53">
        <f t="shared" si="148"/>
        <v>600</v>
      </c>
      <c r="AF269" s="53"/>
      <c r="AG269" s="53">
        <f t="shared" si="175"/>
        <v>600</v>
      </c>
      <c r="AH269" s="53"/>
      <c r="AI269" s="53">
        <f t="shared" si="180"/>
        <v>600</v>
      </c>
      <c r="AJ269" s="53"/>
      <c r="AK269" s="53">
        <f t="shared" si="177"/>
        <v>600</v>
      </c>
      <c r="AL269" s="75"/>
      <c r="AM269" s="75"/>
    </row>
    <row r="270" spans="1:39" s="15" customFormat="1" ht="21" customHeight="1">
      <c r="A270" s="41"/>
      <c r="B270" s="55"/>
      <c r="C270" s="59">
        <v>4410</v>
      </c>
      <c r="D270" s="27" t="s">
        <v>80</v>
      </c>
      <c r="E270" s="53">
        <v>6500</v>
      </c>
      <c r="F270" s="53"/>
      <c r="G270" s="53">
        <f t="shared" si="181"/>
        <v>6500</v>
      </c>
      <c r="H270" s="53"/>
      <c r="I270" s="53">
        <f t="shared" si="182"/>
        <v>6500</v>
      </c>
      <c r="J270" s="53"/>
      <c r="K270" s="53">
        <f t="shared" si="183"/>
        <v>6500</v>
      </c>
      <c r="L270" s="53"/>
      <c r="M270" s="53">
        <f t="shared" si="184"/>
        <v>6500</v>
      </c>
      <c r="N270" s="53"/>
      <c r="O270" s="53">
        <f t="shared" si="185"/>
        <v>6500</v>
      </c>
      <c r="P270" s="53"/>
      <c r="Q270" s="53">
        <f t="shared" si="186"/>
        <v>6500</v>
      </c>
      <c r="R270" s="53"/>
      <c r="S270" s="53">
        <f t="shared" si="187"/>
        <v>6500</v>
      </c>
      <c r="T270" s="53"/>
      <c r="U270" s="53">
        <f t="shared" si="188"/>
        <v>6500</v>
      </c>
      <c r="V270" s="53"/>
      <c r="W270" s="53">
        <f t="shared" si="189"/>
        <v>6500</v>
      </c>
      <c r="X270" s="53"/>
      <c r="Y270" s="53">
        <f t="shared" si="179"/>
        <v>6500</v>
      </c>
      <c r="Z270" s="53"/>
      <c r="AA270" s="53">
        <f t="shared" si="160"/>
        <v>6500</v>
      </c>
      <c r="AB270" s="53"/>
      <c r="AC270" s="53">
        <f t="shared" si="161"/>
        <v>6500</v>
      </c>
      <c r="AD270" s="53"/>
      <c r="AE270" s="53">
        <f t="shared" si="148"/>
        <v>6500</v>
      </c>
      <c r="AF270" s="53"/>
      <c r="AG270" s="53">
        <f t="shared" si="175"/>
        <v>6500</v>
      </c>
      <c r="AH270" s="53"/>
      <c r="AI270" s="53">
        <f t="shared" si="180"/>
        <v>6500</v>
      </c>
      <c r="AJ270" s="53"/>
      <c r="AK270" s="53">
        <f t="shared" si="177"/>
        <v>6500</v>
      </c>
      <c r="AL270" s="75"/>
      <c r="AM270" s="75"/>
    </row>
    <row r="271" spans="1:39" s="15" customFormat="1" ht="21" customHeight="1">
      <c r="A271" s="41"/>
      <c r="B271" s="55"/>
      <c r="C271" s="59">
        <v>4430</v>
      </c>
      <c r="D271" s="27" t="s">
        <v>84</v>
      </c>
      <c r="E271" s="53">
        <v>3800</v>
      </c>
      <c r="F271" s="53"/>
      <c r="G271" s="53">
        <f t="shared" si="181"/>
        <v>3800</v>
      </c>
      <c r="H271" s="53"/>
      <c r="I271" s="53">
        <f t="shared" si="182"/>
        <v>3800</v>
      </c>
      <c r="J271" s="53"/>
      <c r="K271" s="53">
        <f t="shared" si="183"/>
        <v>3800</v>
      </c>
      <c r="L271" s="53"/>
      <c r="M271" s="53">
        <f t="shared" si="184"/>
        <v>3800</v>
      </c>
      <c r="N271" s="53"/>
      <c r="O271" s="53">
        <f t="shared" si="185"/>
        <v>3800</v>
      </c>
      <c r="P271" s="53"/>
      <c r="Q271" s="53">
        <f t="shared" si="186"/>
        <v>3800</v>
      </c>
      <c r="R271" s="53"/>
      <c r="S271" s="53">
        <f t="shared" si="187"/>
        <v>3800</v>
      </c>
      <c r="T271" s="53"/>
      <c r="U271" s="53">
        <f t="shared" si="188"/>
        <v>3800</v>
      </c>
      <c r="V271" s="53"/>
      <c r="W271" s="53">
        <f t="shared" si="189"/>
        <v>3800</v>
      </c>
      <c r="X271" s="53"/>
      <c r="Y271" s="53">
        <f t="shared" si="179"/>
        <v>3800</v>
      </c>
      <c r="Z271" s="53"/>
      <c r="AA271" s="53">
        <f t="shared" si="160"/>
        <v>3800</v>
      </c>
      <c r="AB271" s="53"/>
      <c r="AC271" s="53">
        <f t="shared" si="161"/>
        <v>3800</v>
      </c>
      <c r="AD271" s="53">
        <v>-1589</v>
      </c>
      <c r="AE271" s="53">
        <f t="shared" si="148"/>
        <v>2211</v>
      </c>
      <c r="AF271" s="53"/>
      <c r="AG271" s="53">
        <f t="shared" si="175"/>
        <v>2211</v>
      </c>
      <c r="AH271" s="53"/>
      <c r="AI271" s="53">
        <f t="shared" si="180"/>
        <v>2211</v>
      </c>
      <c r="AJ271" s="53"/>
      <c r="AK271" s="53">
        <f t="shared" si="177"/>
        <v>2211</v>
      </c>
      <c r="AL271" s="75"/>
      <c r="AM271" s="75"/>
    </row>
    <row r="272" spans="1:39" s="15" customFormat="1" ht="24">
      <c r="A272" s="41"/>
      <c r="B272" s="55"/>
      <c r="C272" s="59">
        <v>4440</v>
      </c>
      <c r="D272" s="27" t="s">
        <v>78</v>
      </c>
      <c r="E272" s="53">
        <v>194159</v>
      </c>
      <c r="F272" s="53"/>
      <c r="G272" s="53">
        <f t="shared" si="181"/>
        <v>194159</v>
      </c>
      <c r="H272" s="53"/>
      <c r="I272" s="53">
        <f t="shared" si="182"/>
        <v>194159</v>
      </c>
      <c r="J272" s="53"/>
      <c r="K272" s="53">
        <f t="shared" si="183"/>
        <v>194159</v>
      </c>
      <c r="L272" s="53"/>
      <c r="M272" s="53">
        <f t="shared" si="184"/>
        <v>194159</v>
      </c>
      <c r="N272" s="53"/>
      <c r="O272" s="53">
        <f t="shared" si="185"/>
        <v>194159</v>
      </c>
      <c r="P272" s="53"/>
      <c r="Q272" s="53">
        <f t="shared" si="186"/>
        <v>194159</v>
      </c>
      <c r="R272" s="53"/>
      <c r="S272" s="53">
        <f t="shared" si="187"/>
        <v>194159</v>
      </c>
      <c r="T272" s="53"/>
      <c r="U272" s="53">
        <f t="shared" si="188"/>
        <v>194159</v>
      </c>
      <c r="V272" s="53"/>
      <c r="W272" s="53">
        <f t="shared" si="189"/>
        <v>194159</v>
      </c>
      <c r="X272" s="53"/>
      <c r="Y272" s="53">
        <f t="shared" si="179"/>
        <v>194159</v>
      </c>
      <c r="Z272" s="53"/>
      <c r="AA272" s="53">
        <f t="shared" si="160"/>
        <v>194159</v>
      </c>
      <c r="AB272" s="53"/>
      <c r="AC272" s="53">
        <f t="shared" si="161"/>
        <v>194159</v>
      </c>
      <c r="AD272" s="53"/>
      <c r="AE272" s="53">
        <f t="shared" si="148"/>
        <v>194159</v>
      </c>
      <c r="AF272" s="53"/>
      <c r="AG272" s="53">
        <f t="shared" si="175"/>
        <v>194159</v>
      </c>
      <c r="AH272" s="53">
        <v>6844</v>
      </c>
      <c r="AI272" s="53">
        <f t="shared" si="180"/>
        <v>201003</v>
      </c>
      <c r="AJ272" s="53"/>
      <c r="AK272" s="53">
        <f t="shared" si="177"/>
        <v>201003</v>
      </c>
      <c r="AL272" s="75"/>
      <c r="AM272" s="75"/>
    </row>
    <row r="273" spans="1:39" s="15" customFormat="1" ht="24">
      <c r="A273" s="41"/>
      <c r="B273" s="55"/>
      <c r="C273" s="59">
        <v>4700</v>
      </c>
      <c r="D273" s="27" t="s">
        <v>233</v>
      </c>
      <c r="E273" s="53">
        <v>3500</v>
      </c>
      <c r="F273" s="53"/>
      <c r="G273" s="53">
        <f t="shared" si="181"/>
        <v>3500</v>
      </c>
      <c r="H273" s="53"/>
      <c r="I273" s="53">
        <f t="shared" si="182"/>
        <v>3500</v>
      </c>
      <c r="J273" s="53"/>
      <c r="K273" s="53">
        <f t="shared" si="183"/>
        <v>3500</v>
      </c>
      <c r="L273" s="53"/>
      <c r="M273" s="53">
        <f t="shared" si="184"/>
        <v>3500</v>
      </c>
      <c r="N273" s="53"/>
      <c r="O273" s="53">
        <f t="shared" si="185"/>
        <v>3500</v>
      </c>
      <c r="P273" s="53"/>
      <c r="Q273" s="53">
        <f t="shared" si="186"/>
        <v>3500</v>
      </c>
      <c r="R273" s="53"/>
      <c r="S273" s="53">
        <f t="shared" si="187"/>
        <v>3500</v>
      </c>
      <c r="T273" s="53"/>
      <c r="U273" s="53">
        <f t="shared" si="188"/>
        <v>3500</v>
      </c>
      <c r="V273" s="53"/>
      <c r="W273" s="53">
        <f t="shared" si="189"/>
        <v>3500</v>
      </c>
      <c r="X273" s="53"/>
      <c r="Y273" s="53">
        <f t="shared" si="179"/>
        <v>3500</v>
      </c>
      <c r="Z273" s="53"/>
      <c r="AA273" s="53">
        <f t="shared" si="160"/>
        <v>3500</v>
      </c>
      <c r="AB273" s="53"/>
      <c r="AC273" s="53">
        <f t="shared" si="161"/>
        <v>3500</v>
      </c>
      <c r="AD273" s="53">
        <v>-1300</v>
      </c>
      <c r="AE273" s="53">
        <f aca="true" t="shared" si="190" ref="AE273:AE346">SUM(AC273:AD273)</f>
        <v>2200</v>
      </c>
      <c r="AF273" s="53"/>
      <c r="AG273" s="53">
        <f aca="true" t="shared" si="191" ref="AG273:AG304">SUM(AE273:AF273)</f>
        <v>2200</v>
      </c>
      <c r="AH273" s="53"/>
      <c r="AI273" s="53">
        <f t="shared" si="180"/>
        <v>2200</v>
      </c>
      <c r="AJ273" s="53"/>
      <c r="AK273" s="53">
        <f t="shared" si="177"/>
        <v>2200</v>
      </c>
      <c r="AL273" s="75"/>
      <c r="AM273" s="75"/>
    </row>
    <row r="274" spans="1:39" s="15" customFormat="1" ht="24">
      <c r="A274" s="41"/>
      <c r="B274" s="55"/>
      <c r="C274" s="59">
        <v>4740</v>
      </c>
      <c r="D274" s="9" t="s">
        <v>189</v>
      </c>
      <c r="E274" s="53">
        <v>3500</v>
      </c>
      <c r="F274" s="53"/>
      <c r="G274" s="53">
        <f t="shared" si="181"/>
        <v>3500</v>
      </c>
      <c r="H274" s="53"/>
      <c r="I274" s="53">
        <f t="shared" si="182"/>
        <v>3500</v>
      </c>
      <c r="J274" s="53"/>
      <c r="K274" s="53">
        <f t="shared" si="183"/>
        <v>3500</v>
      </c>
      <c r="L274" s="53"/>
      <c r="M274" s="53">
        <f t="shared" si="184"/>
        <v>3500</v>
      </c>
      <c r="N274" s="53"/>
      <c r="O274" s="53">
        <f t="shared" si="185"/>
        <v>3500</v>
      </c>
      <c r="P274" s="53"/>
      <c r="Q274" s="53">
        <f t="shared" si="186"/>
        <v>3500</v>
      </c>
      <c r="R274" s="53"/>
      <c r="S274" s="53">
        <f t="shared" si="187"/>
        <v>3500</v>
      </c>
      <c r="T274" s="53"/>
      <c r="U274" s="53">
        <f t="shared" si="188"/>
        <v>3500</v>
      </c>
      <c r="V274" s="53"/>
      <c r="W274" s="53">
        <f t="shared" si="189"/>
        <v>3500</v>
      </c>
      <c r="X274" s="53"/>
      <c r="Y274" s="53">
        <f t="shared" si="179"/>
        <v>3500</v>
      </c>
      <c r="Z274" s="53"/>
      <c r="AA274" s="53">
        <f aca="true" t="shared" si="192" ref="AA274:AA347">SUM(Y274:Z274)</f>
        <v>3500</v>
      </c>
      <c r="AB274" s="53"/>
      <c r="AC274" s="53">
        <f aca="true" t="shared" si="193" ref="AC274:AC347">SUM(AA274:AB274)</f>
        <v>3500</v>
      </c>
      <c r="AD274" s="53">
        <v>-1000</v>
      </c>
      <c r="AE274" s="53">
        <f t="shared" si="190"/>
        <v>2500</v>
      </c>
      <c r="AF274" s="53"/>
      <c r="AG274" s="53">
        <f t="shared" si="191"/>
        <v>2500</v>
      </c>
      <c r="AH274" s="53"/>
      <c r="AI274" s="53">
        <f t="shared" si="180"/>
        <v>2500</v>
      </c>
      <c r="AJ274" s="53"/>
      <c r="AK274" s="53">
        <f t="shared" si="177"/>
        <v>2500</v>
      </c>
      <c r="AL274" s="75"/>
      <c r="AM274" s="75"/>
    </row>
    <row r="275" spans="1:39" s="15" customFormat="1" ht="24">
      <c r="A275" s="41"/>
      <c r="B275" s="55"/>
      <c r="C275" s="59">
        <v>4750</v>
      </c>
      <c r="D275" s="9" t="s">
        <v>270</v>
      </c>
      <c r="E275" s="53">
        <v>12750</v>
      </c>
      <c r="F275" s="53"/>
      <c r="G275" s="53">
        <f t="shared" si="181"/>
        <v>12750</v>
      </c>
      <c r="H275" s="53"/>
      <c r="I275" s="53">
        <f t="shared" si="182"/>
        <v>12750</v>
      </c>
      <c r="J275" s="53"/>
      <c r="K275" s="53">
        <f t="shared" si="183"/>
        <v>12750</v>
      </c>
      <c r="L275" s="53"/>
      <c r="M275" s="53">
        <f t="shared" si="184"/>
        <v>12750</v>
      </c>
      <c r="N275" s="53"/>
      <c r="O275" s="53">
        <f t="shared" si="185"/>
        <v>12750</v>
      </c>
      <c r="P275" s="53"/>
      <c r="Q275" s="53">
        <f t="shared" si="186"/>
        <v>12750</v>
      </c>
      <c r="R275" s="53"/>
      <c r="S275" s="53">
        <f t="shared" si="187"/>
        <v>12750</v>
      </c>
      <c r="T275" s="53"/>
      <c r="U275" s="53">
        <f t="shared" si="188"/>
        <v>12750</v>
      </c>
      <c r="V275" s="53"/>
      <c r="W275" s="53">
        <f t="shared" si="189"/>
        <v>12750</v>
      </c>
      <c r="X275" s="53"/>
      <c r="Y275" s="53">
        <f t="shared" si="179"/>
        <v>12750</v>
      </c>
      <c r="Z275" s="53"/>
      <c r="AA275" s="53">
        <f t="shared" si="192"/>
        <v>12750</v>
      </c>
      <c r="AB275" s="53"/>
      <c r="AC275" s="53">
        <f t="shared" si="193"/>
        <v>12750</v>
      </c>
      <c r="AD275" s="53">
        <v>4150</v>
      </c>
      <c r="AE275" s="53">
        <f t="shared" si="190"/>
        <v>16900</v>
      </c>
      <c r="AF275" s="53"/>
      <c r="AG275" s="53">
        <f t="shared" si="191"/>
        <v>16900</v>
      </c>
      <c r="AH275" s="53"/>
      <c r="AI275" s="53">
        <f t="shared" si="180"/>
        <v>16900</v>
      </c>
      <c r="AJ275" s="53"/>
      <c r="AK275" s="53">
        <f t="shared" si="177"/>
        <v>16900</v>
      </c>
      <c r="AL275" s="75"/>
      <c r="AM275" s="75"/>
    </row>
    <row r="276" spans="1:41" s="15" customFormat="1" ht="21" customHeight="1">
      <c r="A276" s="41"/>
      <c r="B276" s="55"/>
      <c r="C276" s="59">
        <v>6050</v>
      </c>
      <c r="D276" s="9" t="s">
        <v>63</v>
      </c>
      <c r="E276" s="53">
        <f>970000+200000+510000</f>
        <v>1680000</v>
      </c>
      <c r="F276" s="53"/>
      <c r="G276" s="53">
        <f t="shared" si="181"/>
        <v>1680000</v>
      </c>
      <c r="H276" s="53"/>
      <c r="I276" s="53">
        <f t="shared" si="182"/>
        <v>1680000</v>
      </c>
      <c r="J276" s="53"/>
      <c r="K276" s="53">
        <f t="shared" si="183"/>
        <v>1680000</v>
      </c>
      <c r="L276" s="53"/>
      <c r="M276" s="53">
        <f t="shared" si="184"/>
        <v>1680000</v>
      </c>
      <c r="N276" s="53"/>
      <c r="O276" s="53">
        <f t="shared" si="185"/>
        <v>1680000</v>
      </c>
      <c r="P276" s="53"/>
      <c r="Q276" s="53">
        <f t="shared" si="186"/>
        <v>1680000</v>
      </c>
      <c r="R276" s="53"/>
      <c r="S276" s="53">
        <f t="shared" si="187"/>
        <v>1680000</v>
      </c>
      <c r="T276" s="53"/>
      <c r="U276" s="53">
        <f t="shared" si="188"/>
        <v>1680000</v>
      </c>
      <c r="V276" s="53"/>
      <c r="W276" s="53">
        <f t="shared" si="189"/>
        <v>1680000</v>
      </c>
      <c r="X276" s="53"/>
      <c r="Y276" s="53">
        <f t="shared" si="179"/>
        <v>1680000</v>
      </c>
      <c r="Z276" s="53"/>
      <c r="AA276" s="53">
        <f t="shared" si="192"/>
        <v>1680000</v>
      </c>
      <c r="AB276" s="53"/>
      <c r="AC276" s="53">
        <f t="shared" si="193"/>
        <v>1680000</v>
      </c>
      <c r="AD276" s="53">
        <f>-37700</f>
        <v>-37700</v>
      </c>
      <c r="AE276" s="53">
        <f t="shared" si="190"/>
        <v>1642300</v>
      </c>
      <c r="AF276" s="53"/>
      <c r="AG276" s="53">
        <f t="shared" si="191"/>
        <v>1642300</v>
      </c>
      <c r="AH276" s="53"/>
      <c r="AI276" s="53">
        <f t="shared" si="180"/>
        <v>1642300</v>
      </c>
      <c r="AJ276" s="53"/>
      <c r="AK276" s="53">
        <f t="shared" si="177"/>
        <v>1642300</v>
      </c>
      <c r="AL276" s="75"/>
      <c r="AM276" s="75"/>
      <c r="AN276" s="75"/>
      <c r="AO276" s="75"/>
    </row>
    <row r="277" spans="1:39" s="15" customFormat="1" ht="21.75" customHeight="1">
      <c r="A277" s="41"/>
      <c r="B277" s="45" t="s">
        <v>109</v>
      </c>
      <c r="C277" s="31"/>
      <c r="D277" s="9" t="s">
        <v>110</v>
      </c>
      <c r="E277" s="44">
        <f aca="true" t="shared" si="194" ref="E277:Z277">SUM(E278:E283)</f>
        <v>298200</v>
      </c>
      <c r="F277" s="44">
        <f t="shared" si="194"/>
        <v>0</v>
      </c>
      <c r="G277" s="44">
        <f t="shared" si="194"/>
        <v>298200</v>
      </c>
      <c r="H277" s="44">
        <f t="shared" si="194"/>
        <v>0</v>
      </c>
      <c r="I277" s="44">
        <f t="shared" si="194"/>
        <v>298200</v>
      </c>
      <c r="J277" s="44">
        <f t="shared" si="194"/>
        <v>0</v>
      </c>
      <c r="K277" s="44">
        <f t="shared" si="194"/>
        <v>298200</v>
      </c>
      <c r="L277" s="44">
        <f t="shared" si="194"/>
        <v>0</v>
      </c>
      <c r="M277" s="44">
        <f t="shared" si="194"/>
        <v>298200</v>
      </c>
      <c r="N277" s="44">
        <f t="shared" si="194"/>
        <v>0</v>
      </c>
      <c r="O277" s="44">
        <f t="shared" si="194"/>
        <v>298200</v>
      </c>
      <c r="P277" s="44">
        <f t="shared" si="194"/>
        <v>0</v>
      </c>
      <c r="Q277" s="44">
        <f t="shared" si="194"/>
        <v>298200</v>
      </c>
      <c r="R277" s="44">
        <f t="shared" si="194"/>
        <v>0</v>
      </c>
      <c r="S277" s="44">
        <f t="shared" si="194"/>
        <v>298200</v>
      </c>
      <c r="T277" s="44">
        <f t="shared" si="194"/>
        <v>0</v>
      </c>
      <c r="U277" s="44">
        <f t="shared" si="194"/>
        <v>298200</v>
      </c>
      <c r="V277" s="44">
        <f t="shared" si="194"/>
        <v>-4880</v>
      </c>
      <c r="W277" s="44">
        <f t="shared" si="194"/>
        <v>293320</v>
      </c>
      <c r="X277" s="44">
        <f t="shared" si="194"/>
        <v>0</v>
      </c>
      <c r="Y277" s="44">
        <f t="shared" si="194"/>
        <v>293320</v>
      </c>
      <c r="Z277" s="44">
        <f t="shared" si="194"/>
        <v>0</v>
      </c>
      <c r="AA277" s="53">
        <f t="shared" si="192"/>
        <v>293320</v>
      </c>
      <c r="AB277" s="44">
        <f>SUM(AB278:AB283)</f>
        <v>0</v>
      </c>
      <c r="AC277" s="53">
        <f t="shared" si="193"/>
        <v>293320</v>
      </c>
      <c r="AD277" s="44">
        <f>SUM(AD278:AD283)</f>
        <v>0</v>
      </c>
      <c r="AE277" s="53">
        <f t="shared" si="190"/>
        <v>293320</v>
      </c>
      <c r="AF277" s="44">
        <f>SUM(AF278:AF283)</f>
        <v>0</v>
      </c>
      <c r="AG277" s="53">
        <f t="shared" si="191"/>
        <v>293320</v>
      </c>
      <c r="AH277" s="44">
        <f>SUM(AH278:AH283)</f>
        <v>0</v>
      </c>
      <c r="AI277" s="53">
        <f t="shared" si="180"/>
        <v>293320</v>
      </c>
      <c r="AJ277" s="44">
        <f>SUM(AJ278:AJ283)</f>
        <v>0</v>
      </c>
      <c r="AK277" s="53">
        <f t="shared" si="177"/>
        <v>293320</v>
      </c>
      <c r="AL277" s="75"/>
      <c r="AM277" s="75"/>
    </row>
    <row r="278" spans="1:39" s="15" customFormat="1" ht="21.75" customHeight="1">
      <c r="A278" s="41"/>
      <c r="B278" s="45"/>
      <c r="C278" s="31">
        <v>4110</v>
      </c>
      <c r="D278" s="27" t="s">
        <v>76</v>
      </c>
      <c r="E278" s="44">
        <f>2765+43</f>
        <v>2808</v>
      </c>
      <c r="F278" s="44"/>
      <c r="G278" s="44">
        <f aca="true" t="shared" si="195" ref="G278:G283">SUM(E278:F278)</f>
        <v>2808</v>
      </c>
      <c r="H278" s="44"/>
      <c r="I278" s="44">
        <f aca="true" t="shared" si="196" ref="I278:I283">SUM(G278:H278)</f>
        <v>2808</v>
      </c>
      <c r="J278" s="44"/>
      <c r="K278" s="44">
        <f aca="true" t="shared" si="197" ref="K278:K283">SUM(I278:J278)</f>
        <v>2808</v>
      </c>
      <c r="L278" s="44"/>
      <c r="M278" s="44">
        <f aca="true" t="shared" si="198" ref="M278:M283">SUM(K278:L278)</f>
        <v>2808</v>
      </c>
      <c r="N278" s="44"/>
      <c r="O278" s="44">
        <f aca="true" t="shared" si="199" ref="O278:O283">SUM(M278:N278)</f>
        <v>2808</v>
      </c>
      <c r="P278" s="44"/>
      <c r="Q278" s="44">
        <f aca="true" t="shared" si="200" ref="Q278:Q283">SUM(O278:P278)</f>
        <v>2808</v>
      </c>
      <c r="R278" s="44"/>
      <c r="S278" s="44">
        <f aca="true" t="shared" si="201" ref="S278:S283">SUM(Q278:R278)</f>
        <v>2808</v>
      </c>
      <c r="T278" s="44"/>
      <c r="U278" s="44">
        <f aca="true" t="shared" si="202" ref="U278:U283">SUM(S278:T278)</f>
        <v>2808</v>
      </c>
      <c r="V278" s="44"/>
      <c r="W278" s="44">
        <f aca="true" t="shared" si="203" ref="W278:W283">SUM(U278:V278)</f>
        <v>2808</v>
      </c>
      <c r="X278" s="44"/>
      <c r="Y278" s="44">
        <f aca="true" t="shared" si="204" ref="Y278:Y283">SUM(W278:X278)</f>
        <v>2808</v>
      </c>
      <c r="Z278" s="44"/>
      <c r="AA278" s="53">
        <f t="shared" si="192"/>
        <v>2808</v>
      </c>
      <c r="AB278" s="44"/>
      <c r="AC278" s="53">
        <f t="shared" si="193"/>
        <v>2808</v>
      </c>
      <c r="AD278" s="44"/>
      <c r="AE278" s="53">
        <f t="shared" si="190"/>
        <v>2808</v>
      </c>
      <c r="AF278" s="44"/>
      <c r="AG278" s="53">
        <f t="shared" si="191"/>
        <v>2808</v>
      </c>
      <c r="AH278" s="44"/>
      <c r="AI278" s="53">
        <f t="shared" si="180"/>
        <v>2808</v>
      </c>
      <c r="AJ278" s="44"/>
      <c r="AK278" s="53">
        <f t="shared" si="177"/>
        <v>2808</v>
      </c>
      <c r="AL278" s="75"/>
      <c r="AM278" s="75"/>
    </row>
    <row r="279" spans="1:39" s="15" customFormat="1" ht="21.75" customHeight="1">
      <c r="A279" s="41"/>
      <c r="B279" s="45"/>
      <c r="C279" s="31">
        <v>4120</v>
      </c>
      <c r="D279" s="27" t="s">
        <v>77</v>
      </c>
      <c r="E279" s="44">
        <v>392</v>
      </c>
      <c r="F279" s="44"/>
      <c r="G279" s="44">
        <f t="shared" si="195"/>
        <v>392</v>
      </c>
      <c r="H279" s="44"/>
      <c r="I279" s="44">
        <f t="shared" si="196"/>
        <v>392</v>
      </c>
      <c r="J279" s="44"/>
      <c r="K279" s="44">
        <f t="shared" si="197"/>
        <v>392</v>
      </c>
      <c r="L279" s="44"/>
      <c r="M279" s="44">
        <f t="shared" si="198"/>
        <v>392</v>
      </c>
      <c r="N279" s="44"/>
      <c r="O279" s="44">
        <f t="shared" si="199"/>
        <v>392</v>
      </c>
      <c r="P279" s="44"/>
      <c r="Q279" s="44">
        <f t="shared" si="200"/>
        <v>392</v>
      </c>
      <c r="R279" s="44"/>
      <c r="S279" s="44">
        <f t="shared" si="201"/>
        <v>392</v>
      </c>
      <c r="T279" s="44"/>
      <c r="U279" s="44">
        <f t="shared" si="202"/>
        <v>392</v>
      </c>
      <c r="V279" s="44"/>
      <c r="W279" s="44">
        <f t="shared" si="203"/>
        <v>392</v>
      </c>
      <c r="X279" s="44"/>
      <c r="Y279" s="44">
        <f t="shared" si="204"/>
        <v>392</v>
      </c>
      <c r="Z279" s="44"/>
      <c r="AA279" s="53">
        <f t="shared" si="192"/>
        <v>392</v>
      </c>
      <c r="AB279" s="44"/>
      <c r="AC279" s="53">
        <f t="shared" si="193"/>
        <v>392</v>
      </c>
      <c r="AD279" s="44"/>
      <c r="AE279" s="53">
        <f t="shared" si="190"/>
        <v>392</v>
      </c>
      <c r="AF279" s="44"/>
      <c r="AG279" s="53">
        <f t="shared" si="191"/>
        <v>392</v>
      </c>
      <c r="AH279" s="44"/>
      <c r="AI279" s="53">
        <f t="shared" si="180"/>
        <v>392</v>
      </c>
      <c r="AJ279" s="44"/>
      <c r="AK279" s="53">
        <f t="shared" si="177"/>
        <v>392</v>
      </c>
      <c r="AL279" s="75"/>
      <c r="AM279" s="75"/>
    </row>
    <row r="280" spans="1:39" s="15" customFormat="1" ht="21.75" customHeight="1">
      <c r="A280" s="41"/>
      <c r="B280" s="45"/>
      <c r="C280" s="31">
        <v>4170</v>
      </c>
      <c r="D280" s="27" t="s">
        <v>162</v>
      </c>
      <c r="E280" s="44">
        <v>25000</v>
      </c>
      <c r="F280" s="44"/>
      <c r="G280" s="44">
        <f t="shared" si="195"/>
        <v>25000</v>
      </c>
      <c r="H280" s="44"/>
      <c r="I280" s="44">
        <f t="shared" si="196"/>
        <v>25000</v>
      </c>
      <c r="J280" s="44"/>
      <c r="K280" s="44">
        <f t="shared" si="197"/>
        <v>25000</v>
      </c>
      <c r="L280" s="44"/>
      <c r="M280" s="44">
        <f t="shared" si="198"/>
        <v>25000</v>
      </c>
      <c r="N280" s="44"/>
      <c r="O280" s="44">
        <f t="shared" si="199"/>
        <v>25000</v>
      </c>
      <c r="P280" s="44"/>
      <c r="Q280" s="44">
        <f t="shared" si="200"/>
        <v>25000</v>
      </c>
      <c r="R280" s="44"/>
      <c r="S280" s="44">
        <f t="shared" si="201"/>
        <v>25000</v>
      </c>
      <c r="T280" s="44"/>
      <c r="U280" s="44">
        <f t="shared" si="202"/>
        <v>25000</v>
      </c>
      <c r="V280" s="44"/>
      <c r="W280" s="44">
        <f t="shared" si="203"/>
        <v>25000</v>
      </c>
      <c r="X280" s="44"/>
      <c r="Y280" s="44">
        <f t="shared" si="204"/>
        <v>25000</v>
      </c>
      <c r="Z280" s="44"/>
      <c r="AA280" s="53">
        <f t="shared" si="192"/>
        <v>25000</v>
      </c>
      <c r="AB280" s="44"/>
      <c r="AC280" s="53">
        <f t="shared" si="193"/>
        <v>25000</v>
      </c>
      <c r="AD280" s="44"/>
      <c r="AE280" s="53">
        <f t="shared" si="190"/>
        <v>25000</v>
      </c>
      <c r="AF280" s="44"/>
      <c r="AG280" s="53">
        <f t="shared" si="191"/>
        <v>25000</v>
      </c>
      <c r="AH280" s="44"/>
      <c r="AI280" s="53">
        <f t="shared" si="180"/>
        <v>25000</v>
      </c>
      <c r="AJ280" s="44"/>
      <c r="AK280" s="53">
        <f t="shared" si="177"/>
        <v>25000</v>
      </c>
      <c r="AL280" s="75"/>
      <c r="AM280" s="75"/>
    </row>
    <row r="281" spans="1:39" s="15" customFormat="1" ht="21.75" customHeight="1">
      <c r="A281" s="41"/>
      <c r="B281" s="45"/>
      <c r="C281" s="31">
        <v>4210</v>
      </c>
      <c r="D281" s="9" t="s">
        <v>82</v>
      </c>
      <c r="E281" s="44">
        <f>40000+4000</f>
        <v>44000</v>
      </c>
      <c r="F281" s="44"/>
      <c r="G281" s="44">
        <f t="shared" si="195"/>
        <v>44000</v>
      </c>
      <c r="H281" s="44"/>
      <c r="I281" s="44">
        <f t="shared" si="196"/>
        <v>44000</v>
      </c>
      <c r="J281" s="44"/>
      <c r="K281" s="44">
        <f t="shared" si="197"/>
        <v>44000</v>
      </c>
      <c r="L281" s="44"/>
      <c r="M281" s="44">
        <f t="shared" si="198"/>
        <v>44000</v>
      </c>
      <c r="N281" s="44"/>
      <c r="O281" s="44">
        <f t="shared" si="199"/>
        <v>44000</v>
      </c>
      <c r="P281" s="44"/>
      <c r="Q281" s="44">
        <f t="shared" si="200"/>
        <v>44000</v>
      </c>
      <c r="R281" s="44"/>
      <c r="S281" s="44">
        <f t="shared" si="201"/>
        <v>44000</v>
      </c>
      <c r="T281" s="44"/>
      <c r="U281" s="44">
        <f t="shared" si="202"/>
        <v>44000</v>
      </c>
      <c r="V281" s="44"/>
      <c r="W281" s="44">
        <f t="shared" si="203"/>
        <v>44000</v>
      </c>
      <c r="X281" s="44"/>
      <c r="Y281" s="44">
        <f t="shared" si="204"/>
        <v>44000</v>
      </c>
      <c r="Z281" s="44"/>
      <c r="AA281" s="53">
        <f t="shared" si="192"/>
        <v>44000</v>
      </c>
      <c r="AB281" s="44">
        <v>4000</v>
      </c>
      <c r="AC281" s="53">
        <f t="shared" si="193"/>
        <v>48000</v>
      </c>
      <c r="AD281" s="44"/>
      <c r="AE281" s="53">
        <f t="shared" si="190"/>
        <v>48000</v>
      </c>
      <c r="AF281" s="44"/>
      <c r="AG281" s="53">
        <f t="shared" si="191"/>
        <v>48000</v>
      </c>
      <c r="AH281" s="44"/>
      <c r="AI281" s="53">
        <f t="shared" si="180"/>
        <v>48000</v>
      </c>
      <c r="AJ281" s="44">
        <v>-2690</v>
      </c>
      <c r="AK281" s="53">
        <f t="shared" si="177"/>
        <v>45310</v>
      </c>
      <c r="AL281" s="75"/>
      <c r="AM281" s="75"/>
    </row>
    <row r="282" spans="1:39" s="15" customFormat="1" ht="21" customHeight="1">
      <c r="A282" s="41"/>
      <c r="B282" s="45"/>
      <c r="C282" s="31">
        <v>4300</v>
      </c>
      <c r="D282" s="9" t="s">
        <v>69</v>
      </c>
      <c r="E282" s="44">
        <f>202000+7000+8000+3000</f>
        <v>220000</v>
      </c>
      <c r="F282" s="44"/>
      <c r="G282" s="44">
        <f t="shared" si="195"/>
        <v>220000</v>
      </c>
      <c r="H282" s="44"/>
      <c r="I282" s="44">
        <f t="shared" si="196"/>
        <v>220000</v>
      </c>
      <c r="J282" s="44"/>
      <c r="K282" s="44">
        <f t="shared" si="197"/>
        <v>220000</v>
      </c>
      <c r="L282" s="44"/>
      <c r="M282" s="44">
        <f t="shared" si="198"/>
        <v>220000</v>
      </c>
      <c r="N282" s="44"/>
      <c r="O282" s="44">
        <f t="shared" si="199"/>
        <v>220000</v>
      </c>
      <c r="P282" s="44"/>
      <c r="Q282" s="44">
        <f t="shared" si="200"/>
        <v>220000</v>
      </c>
      <c r="R282" s="44"/>
      <c r="S282" s="44">
        <f t="shared" si="201"/>
        <v>220000</v>
      </c>
      <c r="T282" s="44"/>
      <c r="U282" s="44">
        <f t="shared" si="202"/>
        <v>220000</v>
      </c>
      <c r="V282" s="44">
        <v>-4880</v>
      </c>
      <c r="W282" s="44">
        <f t="shared" si="203"/>
        <v>215120</v>
      </c>
      <c r="X282" s="44"/>
      <c r="Y282" s="44">
        <f t="shared" si="204"/>
        <v>215120</v>
      </c>
      <c r="Z282" s="44"/>
      <c r="AA282" s="53">
        <f t="shared" si="192"/>
        <v>215120</v>
      </c>
      <c r="AB282" s="44">
        <v>-4000</v>
      </c>
      <c r="AC282" s="53">
        <f t="shared" si="193"/>
        <v>211120</v>
      </c>
      <c r="AD282" s="44"/>
      <c r="AE282" s="53">
        <f t="shared" si="190"/>
        <v>211120</v>
      </c>
      <c r="AF282" s="44"/>
      <c r="AG282" s="53">
        <f t="shared" si="191"/>
        <v>211120</v>
      </c>
      <c r="AH282" s="44"/>
      <c r="AI282" s="53">
        <f t="shared" si="180"/>
        <v>211120</v>
      </c>
      <c r="AJ282" s="44">
        <v>2858</v>
      </c>
      <c r="AK282" s="53">
        <f aca="true" t="shared" si="205" ref="AK282:AK327">SUM(AI282:AJ282)</f>
        <v>213978</v>
      </c>
      <c r="AL282" s="75"/>
      <c r="AM282" s="75"/>
    </row>
    <row r="283" spans="1:39" s="15" customFormat="1" ht="21" customHeight="1">
      <c r="A283" s="41"/>
      <c r="B283" s="45"/>
      <c r="C283" s="31">
        <v>4430</v>
      </c>
      <c r="D283" s="27" t="s">
        <v>84</v>
      </c>
      <c r="E283" s="44">
        <v>6000</v>
      </c>
      <c r="F283" s="44"/>
      <c r="G283" s="44">
        <f t="shared" si="195"/>
        <v>6000</v>
      </c>
      <c r="H283" s="44"/>
      <c r="I283" s="44">
        <f t="shared" si="196"/>
        <v>6000</v>
      </c>
      <c r="J283" s="44"/>
      <c r="K283" s="44">
        <f t="shared" si="197"/>
        <v>6000</v>
      </c>
      <c r="L283" s="44"/>
      <c r="M283" s="44">
        <f t="shared" si="198"/>
        <v>6000</v>
      </c>
      <c r="N283" s="44"/>
      <c r="O283" s="44">
        <f t="shared" si="199"/>
        <v>6000</v>
      </c>
      <c r="P283" s="44"/>
      <c r="Q283" s="44">
        <f t="shared" si="200"/>
        <v>6000</v>
      </c>
      <c r="R283" s="44"/>
      <c r="S283" s="44">
        <f t="shared" si="201"/>
        <v>6000</v>
      </c>
      <c r="T283" s="44"/>
      <c r="U283" s="44">
        <f t="shared" si="202"/>
        <v>6000</v>
      </c>
      <c r="V283" s="44"/>
      <c r="W283" s="44">
        <f t="shared" si="203"/>
        <v>6000</v>
      </c>
      <c r="X283" s="44"/>
      <c r="Y283" s="44">
        <f t="shared" si="204"/>
        <v>6000</v>
      </c>
      <c r="Z283" s="44"/>
      <c r="AA283" s="53">
        <f t="shared" si="192"/>
        <v>6000</v>
      </c>
      <c r="AB283" s="44"/>
      <c r="AC283" s="53">
        <f t="shared" si="193"/>
        <v>6000</v>
      </c>
      <c r="AD283" s="44"/>
      <c r="AE283" s="53">
        <f t="shared" si="190"/>
        <v>6000</v>
      </c>
      <c r="AF283" s="44"/>
      <c r="AG283" s="53">
        <f t="shared" si="191"/>
        <v>6000</v>
      </c>
      <c r="AH283" s="44"/>
      <c r="AI283" s="53">
        <f t="shared" si="180"/>
        <v>6000</v>
      </c>
      <c r="AJ283" s="44">
        <v>-168</v>
      </c>
      <c r="AK283" s="53">
        <f t="shared" si="205"/>
        <v>5832</v>
      </c>
      <c r="AL283" s="75"/>
      <c r="AM283" s="75"/>
    </row>
    <row r="284" spans="1:39" s="15" customFormat="1" ht="24" customHeight="1">
      <c r="A284" s="41"/>
      <c r="B284" s="60">
        <v>80146</v>
      </c>
      <c r="C284" s="43"/>
      <c r="D284" s="27" t="s">
        <v>142</v>
      </c>
      <c r="E284" s="53">
        <f aca="true" t="shared" si="206" ref="E284:J284">SUM(E285:E286)</f>
        <v>91441</v>
      </c>
      <c r="F284" s="53">
        <f t="shared" si="206"/>
        <v>0</v>
      </c>
      <c r="G284" s="53">
        <f t="shared" si="206"/>
        <v>91441</v>
      </c>
      <c r="H284" s="53">
        <f t="shared" si="206"/>
        <v>0</v>
      </c>
      <c r="I284" s="53">
        <f t="shared" si="206"/>
        <v>91441</v>
      </c>
      <c r="J284" s="53">
        <f t="shared" si="206"/>
        <v>0</v>
      </c>
      <c r="K284" s="53">
        <f aca="true" t="shared" si="207" ref="K284:Z284">SUM(K285:K287)</f>
        <v>91441</v>
      </c>
      <c r="L284" s="53">
        <f t="shared" si="207"/>
        <v>0</v>
      </c>
      <c r="M284" s="53">
        <f t="shared" si="207"/>
        <v>91441</v>
      </c>
      <c r="N284" s="53">
        <f t="shared" si="207"/>
        <v>0</v>
      </c>
      <c r="O284" s="53">
        <f t="shared" si="207"/>
        <v>91441</v>
      </c>
      <c r="P284" s="53">
        <f t="shared" si="207"/>
        <v>1921</v>
      </c>
      <c r="Q284" s="53">
        <f t="shared" si="207"/>
        <v>93362</v>
      </c>
      <c r="R284" s="53">
        <f t="shared" si="207"/>
        <v>0</v>
      </c>
      <c r="S284" s="53">
        <f t="shared" si="207"/>
        <v>93362</v>
      </c>
      <c r="T284" s="53">
        <f t="shared" si="207"/>
        <v>0</v>
      </c>
      <c r="U284" s="53">
        <f t="shared" si="207"/>
        <v>93362</v>
      </c>
      <c r="V284" s="53">
        <f t="shared" si="207"/>
        <v>0</v>
      </c>
      <c r="W284" s="53">
        <f t="shared" si="207"/>
        <v>93362</v>
      </c>
      <c r="X284" s="53">
        <f t="shared" si="207"/>
        <v>1909</v>
      </c>
      <c r="Y284" s="53">
        <f t="shared" si="207"/>
        <v>95271</v>
      </c>
      <c r="Z284" s="53">
        <f t="shared" si="207"/>
        <v>0</v>
      </c>
      <c r="AA284" s="53">
        <f t="shared" si="192"/>
        <v>95271</v>
      </c>
      <c r="AB284" s="53">
        <f>SUM(AB285:AB287)</f>
        <v>0</v>
      </c>
      <c r="AC284" s="53">
        <f t="shared" si="193"/>
        <v>95271</v>
      </c>
      <c r="AD284" s="53">
        <f>SUM(AD285:AD287)</f>
        <v>0</v>
      </c>
      <c r="AE284" s="53">
        <f t="shared" si="190"/>
        <v>95271</v>
      </c>
      <c r="AF284" s="53">
        <f>SUM(AF285:AF287)</f>
        <v>0</v>
      </c>
      <c r="AG284" s="53">
        <f t="shared" si="191"/>
        <v>95271</v>
      </c>
      <c r="AH284" s="53">
        <f>SUM(AH285:AH287)</f>
        <v>0</v>
      </c>
      <c r="AI284" s="53">
        <f t="shared" si="180"/>
        <v>95271</v>
      </c>
      <c r="AJ284" s="53">
        <f>SUM(AJ285:AJ287)</f>
        <v>0</v>
      </c>
      <c r="AK284" s="53">
        <f t="shared" si="205"/>
        <v>95271</v>
      </c>
      <c r="AL284" s="75"/>
      <c r="AM284" s="75"/>
    </row>
    <row r="285" spans="1:39" s="15" customFormat="1" ht="27" customHeight="1">
      <c r="A285" s="41"/>
      <c r="B285" s="60"/>
      <c r="C285" s="43">
        <v>2510</v>
      </c>
      <c r="D285" s="27" t="s">
        <v>118</v>
      </c>
      <c r="E285" s="53">
        <v>10587</v>
      </c>
      <c r="F285" s="53"/>
      <c r="G285" s="53">
        <f>SUM(E285:F285)</f>
        <v>10587</v>
      </c>
      <c r="H285" s="53"/>
      <c r="I285" s="53">
        <f>SUM(G285:H285)</f>
        <v>10587</v>
      </c>
      <c r="J285" s="53"/>
      <c r="K285" s="53">
        <f>SUM(I285:J285)</f>
        <v>10587</v>
      </c>
      <c r="L285" s="53"/>
      <c r="M285" s="53">
        <f>SUM(K285:L285)</f>
        <v>10587</v>
      </c>
      <c r="N285" s="53"/>
      <c r="O285" s="53">
        <f>SUM(M285:N285)</f>
        <v>10587</v>
      </c>
      <c r="P285" s="53"/>
      <c r="Q285" s="53">
        <f>SUM(O285:P285)</f>
        <v>10587</v>
      </c>
      <c r="R285" s="53"/>
      <c r="S285" s="53">
        <f>SUM(Q285:R285)</f>
        <v>10587</v>
      </c>
      <c r="T285" s="53"/>
      <c r="U285" s="53">
        <f>SUM(S285:T285)</f>
        <v>10587</v>
      </c>
      <c r="V285" s="53"/>
      <c r="W285" s="53">
        <f>SUM(U285:V285)</f>
        <v>10587</v>
      </c>
      <c r="X285" s="53">
        <v>1909</v>
      </c>
      <c r="Y285" s="53">
        <f>SUM(W285:X285)</f>
        <v>12496</v>
      </c>
      <c r="Z285" s="53"/>
      <c r="AA285" s="53">
        <f t="shared" si="192"/>
        <v>12496</v>
      </c>
      <c r="AB285" s="53"/>
      <c r="AC285" s="53">
        <f t="shared" si="193"/>
        <v>12496</v>
      </c>
      <c r="AD285" s="53"/>
      <c r="AE285" s="53">
        <f t="shared" si="190"/>
        <v>12496</v>
      </c>
      <c r="AF285" s="53"/>
      <c r="AG285" s="53">
        <f t="shared" si="191"/>
        <v>12496</v>
      </c>
      <c r="AH285" s="53"/>
      <c r="AI285" s="53">
        <f t="shared" si="180"/>
        <v>12496</v>
      </c>
      <c r="AJ285" s="53"/>
      <c r="AK285" s="53">
        <f t="shared" si="205"/>
        <v>12496</v>
      </c>
      <c r="AL285" s="75"/>
      <c r="AM285" s="75"/>
    </row>
    <row r="286" spans="1:39" s="15" customFormat="1" ht="21" customHeight="1">
      <c r="A286" s="41"/>
      <c r="B286" s="60"/>
      <c r="C286" s="43">
        <v>4300</v>
      </c>
      <c r="D286" s="27" t="s">
        <v>69</v>
      </c>
      <c r="E286" s="53">
        <v>80854</v>
      </c>
      <c r="F286" s="53"/>
      <c r="G286" s="53">
        <f>SUM(E286:F286)</f>
        <v>80854</v>
      </c>
      <c r="H286" s="53"/>
      <c r="I286" s="53">
        <f>SUM(G286:H286)</f>
        <v>80854</v>
      </c>
      <c r="J286" s="53"/>
      <c r="K286" s="53">
        <f>SUM(I286:J286)</f>
        <v>80854</v>
      </c>
      <c r="L286" s="53">
        <v>-27068</v>
      </c>
      <c r="M286" s="53">
        <f>SUM(K286:L286)</f>
        <v>53786</v>
      </c>
      <c r="N286" s="53"/>
      <c r="O286" s="53">
        <f>SUM(M286:N286)</f>
        <v>53786</v>
      </c>
      <c r="P286" s="53">
        <v>1145</v>
      </c>
      <c r="Q286" s="53">
        <f>SUM(O286:P286)</f>
        <v>54931</v>
      </c>
      <c r="R286" s="53"/>
      <c r="S286" s="53">
        <f>SUM(Q286:R286)</f>
        <v>54931</v>
      </c>
      <c r="T286" s="53"/>
      <c r="U286" s="53">
        <f>SUM(S286:T286)</f>
        <v>54931</v>
      </c>
      <c r="V286" s="53"/>
      <c r="W286" s="53">
        <f>SUM(U286:V286)</f>
        <v>54931</v>
      </c>
      <c r="X286" s="53"/>
      <c r="Y286" s="53">
        <f>SUM(W286:X286)</f>
        <v>54931</v>
      </c>
      <c r="Z286" s="53"/>
      <c r="AA286" s="53">
        <f t="shared" si="192"/>
        <v>54931</v>
      </c>
      <c r="AB286" s="53"/>
      <c r="AC286" s="53">
        <f t="shared" si="193"/>
        <v>54931</v>
      </c>
      <c r="AD286" s="53">
        <v>382</v>
      </c>
      <c r="AE286" s="53">
        <f t="shared" si="190"/>
        <v>55313</v>
      </c>
      <c r="AF286" s="53"/>
      <c r="AG286" s="53">
        <f t="shared" si="191"/>
        <v>55313</v>
      </c>
      <c r="AH286" s="53">
        <f>1622-70</f>
        <v>1552</v>
      </c>
      <c r="AI286" s="53">
        <f aca="true" t="shared" si="208" ref="AI286:AI327">SUM(AG286:AH286)</f>
        <v>56865</v>
      </c>
      <c r="AJ286" s="53"/>
      <c r="AK286" s="53">
        <f t="shared" si="205"/>
        <v>56865</v>
      </c>
      <c r="AL286" s="75"/>
      <c r="AM286" s="75"/>
    </row>
    <row r="287" spans="1:39" s="15" customFormat="1" ht="21" customHeight="1">
      <c r="A287" s="41"/>
      <c r="B287" s="60"/>
      <c r="C287" s="43">
        <v>4410</v>
      </c>
      <c r="D287" s="27" t="s">
        <v>80</v>
      </c>
      <c r="E287" s="53"/>
      <c r="F287" s="53"/>
      <c r="G287" s="53"/>
      <c r="H287" s="53"/>
      <c r="I287" s="53"/>
      <c r="J287" s="53"/>
      <c r="K287" s="53">
        <v>0</v>
      </c>
      <c r="L287" s="53">
        <v>27068</v>
      </c>
      <c r="M287" s="53">
        <f>SUM(K287:L287)</f>
        <v>27068</v>
      </c>
      <c r="N287" s="53"/>
      <c r="O287" s="53">
        <f>SUM(M287:N287)</f>
        <v>27068</v>
      </c>
      <c r="P287" s="53">
        <v>776</v>
      </c>
      <c r="Q287" s="53">
        <f>SUM(O287:P287)</f>
        <v>27844</v>
      </c>
      <c r="R287" s="53"/>
      <c r="S287" s="53">
        <f>SUM(Q287:R287)</f>
        <v>27844</v>
      </c>
      <c r="T287" s="53"/>
      <c r="U287" s="53">
        <f>SUM(S287:T287)</f>
        <v>27844</v>
      </c>
      <c r="V287" s="53"/>
      <c r="W287" s="53">
        <f>SUM(U287:V287)</f>
        <v>27844</v>
      </c>
      <c r="X287" s="53"/>
      <c r="Y287" s="53">
        <f>SUM(W287:X287)</f>
        <v>27844</v>
      </c>
      <c r="Z287" s="53"/>
      <c r="AA287" s="53">
        <f t="shared" si="192"/>
        <v>27844</v>
      </c>
      <c r="AB287" s="53"/>
      <c r="AC287" s="53">
        <f t="shared" si="193"/>
        <v>27844</v>
      </c>
      <c r="AD287" s="53">
        <v>-382</v>
      </c>
      <c r="AE287" s="53">
        <f t="shared" si="190"/>
        <v>27462</v>
      </c>
      <c r="AF287" s="53"/>
      <c r="AG287" s="53">
        <f t="shared" si="191"/>
        <v>27462</v>
      </c>
      <c r="AH287" s="53">
        <f>-1622+70</f>
        <v>-1552</v>
      </c>
      <c r="AI287" s="53">
        <f t="shared" si="208"/>
        <v>25910</v>
      </c>
      <c r="AJ287" s="53"/>
      <c r="AK287" s="53">
        <f t="shared" si="205"/>
        <v>25910</v>
      </c>
      <c r="AL287" s="75"/>
      <c r="AM287" s="75"/>
    </row>
    <row r="288" spans="1:39" s="15" customFormat="1" ht="21" customHeight="1">
      <c r="A288" s="41"/>
      <c r="B288" s="60">
        <v>80148</v>
      </c>
      <c r="C288" s="43"/>
      <c r="D288" s="27" t="s">
        <v>230</v>
      </c>
      <c r="E288" s="53">
        <f aca="true" t="shared" si="209" ref="E288:Z288">SUM(E289:E303)</f>
        <v>132180</v>
      </c>
      <c r="F288" s="53">
        <f t="shared" si="209"/>
        <v>0</v>
      </c>
      <c r="G288" s="53">
        <f t="shared" si="209"/>
        <v>132180</v>
      </c>
      <c r="H288" s="53">
        <f t="shared" si="209"/>
        <v>0</v>
      </c>
      <c r="I288" s="53">
        <f t="shared" si="209"/>
        <v>132180</v>
      </c>
      <c r="J288" s="53">
        <f t="shared" si="209"/>
        <v>0</v>
      </c>
      <c r="K288" s="53">
        <f t="shared" si="209"/>
        <v>132180</v>
      </c>
      <c r="L288" s="53">
        <f t="shared" si="209"/>
        <v>0</v>
      </c>
      <c r="M288" s="53">
        <f t="shared" si="209"/>
        <v>132180</v>
      </c>
      <c r="N288" s="53">
        <f t="shared" si="209"/>
        <v>0</v>
      </c>
      <c r="O288" s="53">
        <f t="shared" si="209"/>
        <v>132180</v>
      </c>
      <c r="P288" s="53">
        <f t="shared" si="209"/>
        <v>119135</v>
      </c>
      <c r="Q288" s="53">
        <f t="shared" si="209"/>
        <v>251315</v>
      </c>
      <c r="R288" s="53">
        <f t="shared" si="209"/>
        <v>0</v>
      </c>
      <c r="S288" s="53">
        <f t="shared" si="209"/>
        <v>251315</v>
      </c>
      <c r="T288" s="53">
        <f t="shared" si="209"/>
        <v>0</v>
      </c>
      <c r="U288" s="53">
        <f t="shared" si="209"/>
        <v>251315</v>
      </c>
      <c r="V288" s="53">
        <f t="shared" si="209"/>
        <v>0</v>
      </c>
      <c r="W288" s="53">
        <f t="shared" si="209"/>
        <v>251315</v>
      </c>
      <c r="X288" s="53">
        <f t="shared" si="209"/>
        <v>0</v>
      </c>
      <c r="Y288" s="53">
        <f t="shared" si="209"/>
        <v>251315</v>
      </c>
      <c r="Z288" s="53">
        <f t="shared" si="209"/>
        <v>0</v>
      </c>
      <c r="AA288" s="53">
        <f t="shared" si="192"/>
        <v>251315</v>
      </c>
      <c r="AB288" s="53">
        <f>SUM(AB289:AB303)</f>
        <v>0</v>
      </c>
      <c r="AC288" s="53">
        <f t="shared" si="193"/>
        <v>251315</v>
      </c>
      <c r="AD288" s="53">
        <f>SUM(AD289:AD303)</f>
        <v>5597</v>
      </c>
      <c r="AE288" s="53">
        <f t="shared" si="190"/>
        <v>256912</v>
      </c>
      <c r="AF288" s="53">
        <f>SUM(AF289:AF303)</f>
        <v>0</v>
      </c>
      <c r="AG288" s="53">
        <f t="shared" si="191"/>
        <v>256912</v>
      </c>
      <c r="AH288" s="53">
        <f>SUM(AH289:AH303)</f>
        <v>1584</v>
      </c>
      <c r="AI288" s="53">
        <f t="shared" si="208"/>
        <v>258496</v>
      </c>
      <c r="AJ288" s="53">
        <f>SUM(AJ289:AJ303)</f>
        <v>0</v>
      </c>
      <c r="AK288" s="53">
        <f t="shared" si="205"/>
        <v>258496</v>
      </c>
      <c r="AL288" s="75"/>
      <c r="AM288" s="75"/>
    </row>
    <row r="289" spans="1:39" s="15" customFormat="1" ht="24">
      <c r="A289" s="41"/>
      <c r="B289" s="60"/>
      <c r="C289" s="59">
        <v>3020</v>
      </c>
      <c r="D289" s="27" t="s">
        <v>161</v>
      </c>
      <c r="E289" s="53">
        <v>483</v>
      </c>
      <c r="F289" s="53"/>
      <c r="G289" s="53">
        <f aca="true" t="shared" si="210" ref="G289:G295">SUM(E289:F289)</f>
        <v>483</v>
      </c>
      <c r="H289" s="53"/>
      <c r="I289" s="53">
        <f aca="true" t="shared" si="211" ref="I289:I295">SUM(G289:H289)</f>
        <v>483</v>
      </c>
      <c r="J289" s="53"/>
      <c r="K289" s="53">
        <f aca="true" t="shared" si="212" ref="K289:K295">SUM(I289:J289)</f>
        <v>483</v>
      </c>
      <c r="L289" s="53"/>
      <c r="M289" s="53">
        <f aca="true" t="shared" si="213" ref="M289:M296">SUM(K289:L289)</f>
        <v>483</v>
      </c>
      <c r="N289" s="53"/>
      <c r="O289" s="53">
        <f aca="true" t="shared" si="214" ref="O289:O296">SUM(M289:N289)</f>
        <v>483</v>
      </c>
      <c r="P289" s="53"/>
      <c r="Q289" s="53">
        <f aca="true" t="shared" si="215" ref="Q289:Q303">SUM(O289:P289)</f>
        <v>483</v>
      </c>
      <c r="R289" s="53"/>
      <c r="S289" s="53">
        <f aca="true" t="shared" si="216" ref="S289:S303">SUM(Q289:R289)</f>
        <v>483</v>
      </c>
      <c r="T289" s="53"/>
      <c r="U289" s="53">
        <f aca="true" t="shared" si="217" ref="U289:U303">SUM(S289:T289)</f>
        <v>483</v>
      </c>
      <c r="V289" s="53"/>
      <c r="W289" s="53">
        <f aca="true" t="shared" si="218" ref="W289:W303">SUM(U289:V289)</f>
        <v>483</v>
      </c>
      <c r="X289" s="53"/>
      <c r="Y289" s="53">
        <f aca="true" t="shared" si="219" ref="Y289:Y303">SUM(W289:X289)</f>
        <v>483</v>
      </c>
      <c r="Z289" s="53"/>
      <c r="AA289" s="53">
        <f t="shared" si="192"/>
        <v>483</v>
      </c>
      <c r="AB289" s="53"/>
      <c r="AC289" s="53">
        <f t="shared" si="193"/>
        <v>483</v>
      </c>
      <c r="AD289" s="53">
        <v>-32</v>
      </c>
      <c r="AE289" s="53">
        <f t="shared" si="190"/>
        <v>451</v>
      </c>
      <c r="AF289" s="53"/>
      <c r="AG289" s="53">
        <f t="shared" si="191"/>
        <v>451</v>
      </c>
      <c r="AH289" s="53"/>
      <c r="AI289" s="53">
        <f t="shared" si="208"/>
        <v>451</v>
      </c>
      <c r="AJ289" s="53"/>
      <c r="AK289" s="53">
        <f t="shared" si="205"/>
        <v>451</v>
      </c>
      <c r="AL289" s="75"/>
      <c r="AM289" s="75"/>
    </row>
    <row r="290" spans="1:39" s="15" customFormat="1" ht="21.75" customHeight="1">
      <c r="A290" s="41"/>
      <c r="B290" s="60"/>
      <c r="C290" s="59">
        <v>4010</v>
      </c>
      <c r="D290" s="27" t="s">
        <v>74</v>
      </c>
      <c r="E290" s="53">
        <v>87953</v>
      </c>
      <c r="F290" s="53"/>
      <c r="G290" s="53">
        <f t="shared" si="210"/>
        <v>87953</v>
      </c>
      <c r="H290" s="53"/>
      <c r="I290" s="53">
        <f t="shared" si="211"/>
        <v>87953</v>
      </c>
      <c r="J290" s="53"/>
      <c r="K290" s="53">
        <f t="shared" si="212"/>
        <v>87953</v>
      </c>
      <c r="L290" s="53"/>
      <c r="M290" s="53">
        <f t="shared" si="213"/>
        <v>87953</v>
      </c>
      <c r="N290" s="53"/>
      <c r="O290" s="53">
        <f t="shared" si="214"/>
        <v>87953</v>
      </c>
      <c r="P290" s="53"/>
      <c r="Q290" s="53">
        <f t="shared" si="215"/>
        <v>87953</v>
      </c>
      <c r="R290" s="53"/>
      <c r="S290" s="53">
        <f t="shared" si="216"/>
        <v>87953</v>
      </c>
      <c r="T290" s="53"/>
      <c r="U290" s="53">
        <f t="shared" si="217"/>
        <v>87953</v>
      </c>
      <c r="V290" s="53"/>
      <c r="W290" s="53">
        <f t="shared" si="218"/>
        <v>87953</v>
      </c>
      <c r="X290" s="53"/>
      <c r="Y290" s="53">
        <f t="shared" si="219"/>
        <v>87953</v>
      </c>
      <c r="Z290" s="53"/>
      <c r="AA290" s="53">
        <f t="shared" si="192"/>
        <v>87953</v>
      </c>
      <c r="AB290" s="53"/>
      <c r="AC290" s="53">
        <f t="shared" si="193"/>
        <v>87953</v>
      </c>
      <c r="AD290" s="53">
        <v>4298</v>
      </c>
      <c r="AE290" s="53">
        <f t="shared" si="190"/>
        <v>92251</v>
      </c>
      <c r="AF290" s="53"/>
      <c r="AG290" s="53">
        <f t="shared" si="191"/>
        <v>92251</v>
      </c>
      <c r="AH290" s="53">
        <v>1500</v>
      </c>
      <c r="AI290" s="53">
        <f t="shared" si="208"/>
        <v>93751</v>
      </c>
      <c r="AJ290" s="53"/>
      <c r="AK290" s="53">
        <f t="shared" si="205"/>
        <v>93751</v>
      </c>
      <c r="AL290" s="75"/>
      <c r="AM290" s="75"/>
    </row>
    <row r="291" spans="1:39" s="15" customFormat="1" ht="21" customHeight="1">
      <c r="A291" s="41"/>
      <c r="B291" s="60"/>
      <c r="C291" s="59">
        <v>4040</v>
      </c>
      <c r="D291" s="27" t="s">
        <v>75</v>
      </c>
      <c r="E291" s="53">
        <v>6639</v>
      </c>
      <c r="F291" s="53"/>
      <c r="G291" s="53">
        <f t="shared" si="210"/>
        <v>6639</v>
      </c>
      <c r="H291" s="53"/>
      <c r="I291" s="53">
        <f t="shared" si="211"/>
        <v>6639</v>
      </c>
      <c r="J291" s="53"/>
      <c r="K291" s="53">
        <f t="shared" si="212"/>
        <v>6639</v>
      </c>
      <c r="L291" s="53"/>
      <c r="M291" s="53">
        <f t="shared" si="213"/>
        <v>6639</v>
      </c>
      <c r="N291" s="53"/>
      <c r="O291" s="53">
        <f t="shared" si="214"/>
        <v>6639</v>
      </c>
      <c r="P291" s="53">
        <v>-935</v>
      </c>
      <c r="Q291" s="53">
        <f t="shared" si="215"/>
        <v>5704</v>
      </c>
      <c r="R291" s="53"/>
      <c r="S291" s="53">
        <f t="shared" si="216"/>
        <v>5704</v>
      </c>
      <c r="T291" s="53"/>
      <c r="U291" s="53">
        <f t="shared" si="217"/>
        <v>5704</v>
      </c>
      <c r="V291" s="53"/>
      <c r="W291" s="53">
        <f t="shared" si="218"/>
        <v>5704</v>
      </c>
      <c r="X291" s="53"/>
      <c r="Y291" s="53">
        <f t="shared" si="219"/>
        <v>5704</v>
      </c>
      <c r="Z291" s="53"/>
      <c r="AA291" s="53">
        <f t="shared" si="192"/>
        <v>5704</v>
      </c>
      <c r="AB291" s="53"/>
      <c r="AC291" s="53">
        <f t="shared" si="193"/>
        <v>5704</v>
      </c>
      <c r="AD291" s="53"/>
      <c r="AE291" s="53">
        <f t="shared" si="190"/>
        <v>5704</v>
      </c>
      <c r="AF291" s="53"/>
      <c r="AG291" s="53">
        <f t="shared" si="191"/>
        <v>5704</v>
      </c>
      <c r="AH291" s="53"/>
      <c r="AI291" s="53">
        <f t="shared" si="208"/>
        <v>5704</v>
      </c>
      <c r="AJ291" s="53"/>
      <c r="AK291" s="53">
        <f t="shared" si="205"/>
        <v>5704</v>
      </c>
      <c r="AL291" s="75"/>
      <c r="AM291" s="75"/>
    </row>
    <row r="292" spans="1:39" s="15" customFormat="1" ht="21" customHeight="1">
      <c r="A292" s="41"/>
      <c r="B292" s="60"/>
      <c r="C292" s="59">
        <v>4110</v>
      </c>
      <c r="D292" s="27" t="s">
        <v>76</v>
      </c>
      <c r="E292" s="53">
        <v>15429</v>
      </c>
      <c r="F292" s="53"/>
      <c r="G292" s="53">
        <f t="shared" si="210"/>
        <v>15429</v>
      </c>
      <c r="H292" s="53"/>
      <c r="I292" s="53">
        <f t="shared" si="211"/>
        <v>15429</v>
      </c>
      <c r="J292" s="53"/>
      <c r="K292" s="53">
        <f t="shared" si="212"/>
        <v>15429</v>
      </c>
      <c r="L292" s="53"/>
      <c r="M292" s="53">
        <f t="shared" si="213"/>
        <v>15429</v>
      </c>
      <c r="N292" s="53"/>
      <c r="O292" s="53">
        <f t="shared" si="214"/>
        <v>15429</v>
      </c>
      <c r="P292" s="53"/>
      <c r="Q292" s="53">
        <f t="shared" si="215"/>
        <v>15429</v>
      </c>
      <c r="R292" s="53"/>
      <c r="S292" s="53">
        <f t="shared" si="216"/>
        <v>15429</v>
      </c>
      <c r="T292" s="53"/>
      <c r="U292" s="53">
        <f t="shared" si="217"/>
        <v>15429</v>
      </c>
      <c r="V292" s="53"/>
      <c r="W292" s="53">
        <f t="shared" si="218"/>
        <v>15429</v>
      </c>
      <c r="X292" s="53"/>
      <c r="Y292" s="53">
        <f t="shared" si="219"/>
        <v>15429</v>
      </c>
      <c r="Z292" s="53"/>
      <c r="AA292" s="53">
        <f t="shared" si="192"/>
        <v>15429</v>
      </c>
      <c r="AB292" s="53"/>
      <c r="AC292" s="53">
        <f t="shared" si="193"/>
        <v>15429</v>
      </c>
      <c r="AD292" s="53">
        <v>1329</v>
      </c>
      <c r="AE292" s="53">
        <f t="shared" si="190"/>
        <v>16758</v>
      </c>
      <c r="AF292" s="53"/>
      <c r="AG292" s="53">
        <f t="shared" si="191"/>
        <v>16758</v>
      </c>
      <c r="AH292" s="53"/>
      <c r="AI292" s="53">
        <f t="shared" si="208"/>
        <v>16758</v>
      </c>
      <c r="AJ292" s="53"/>
      <c r="AK292" s="53">
        <f t="shared" si="205"/>
        <v>16758</v>
      </c>
      <c r="AL292" s="75"/>
      <c r="AM292" s="75"/>
    </row>
    <row r="293" spans="1:39" s="15" customFormat="1" ht="21" customHeight="1">
      <c r="A293" s="41"/>
      <c r="B293" s="60"/>
      <c r="C293" s="59">
        <v>4120</v>
      </c>
      <c r="D293" s="27" t="s">
        <v>77</v>
      </c>
      <c r="E293" s="53">
        <v>2393</v>
      </c>
      <c r="F293" s="53"/>
      <c r="G293" s="53">
        <f t="shared" si="210"/>
        <v>2393</v>
      </c>
      <c r="H293" s="53"/>
      <c r="I293" s="53">
        <f t="shared" si="211"/>
        <v>2393</v>
      </c>
      <c r="J293" s="53"/>
      <c r="K293" s="53">
        <f t="shared" si="212"/>
        <v>2393</v>
      </c>
      <c r="L293" s="53"/>
      <c r="M293" s="53">
        <f t="shared" si="213"/>
        <v>2393</v>
      </c>
      <c r="N293" s="53"/>
      <c r="O293" s="53">
        <f t="shared" si="214"/>
        <v>2393</v>
      </c>
      <c r="P293" s="53"/>
      <c r="Q293" s="53">
        <f t="shared" si="215"/>
        <v>2393</v>
      </c>
      <c r="R293" s="53"/>
      <c r="S293" s="53">
        <f t="shared" si="216"/>
        <v>2393</v>
      </c>
      <c r="T293" s="53"/>
      <c r="U293" s="53">
        <f t="shared" si="217"/>
        <v>2393</v>
      </c>
      <c r="V293" s="53"/>
      <c r="W293" s="53">
        <f t="shared" si="218"/>
        <v>2393</v>
      </c>
      <c r="X293" s="53"/>
      <c r="Y293" s="53">
        <f t="shared" si="219"/>
        <v>2393</v>
      </c>
      <c r="Z293" s="53"/>
      <c r="AA293" s="53">
        <f t="shared" si="192"/>
        <v>2393</v>
      </c>
      <c r="AB293" s="53"/>
      <c r="AC293" s="53">
        <f t="shared" si="193"/>
        <v>2393</v>
      </c>
      <c r="AD293" s="53">
        <v>-57</v>
      </c>
      <c r="AE293" s="53">
        <f t="shared" si="190"/>
        <v>2336</v>
      </c>
      <c r="AF293" s="53"/>
      <c r="AG293" s="53">
        <f t="shared" si="191"/>
        <v>2336</v>
      </c>
      <c r="AH293" s="53"/>
      <c r="AI293" s="53">
        <f t="shared" si="208"/>
        <v>2336</v>
      </c>
      <c r="AJ293" s="53"/>
      <c r="AK293" s="53">
        <f t="shared" si="205"/>
        <v>2336</v>
      </c>
      <c r="AL293" s="75"/>
      <c r="AM293" s="75"/>
    </row>
    <row r="294" spans="1:39" s="15" customFormat="1" ht="21" customHeight="1">
      <c r="A294" s="41"/>
      <c r="B294" s="60"/>
      <c r="C294" s="59">
        <v>4170</v>
      </c>
      <c r="D294" s="27" t="s">
        <v>162</v>
      </c>
      <c r="E294" s="53">
        <v>3000</v>
      </c>
      <c r="F294" s="53"/>
      <c r="G294" s="53">
        <f t="shared" si="210"/>
        <v>3000</v>
      </c>
      <c r="H294" s="53"/>
      <c r="I294" s="53">
        <f t="shared" si="211"/>
        <v>3000</v>
      </c>
      <c r="J294" s="53"/>
      <c r="K294" s="53">
        <f t="shared" si="212"/>
        <v>3000</v>
      </c>
      <c r="L294" s="53"/>
      <c r="M294" s="53">
        <f t="shared" si="213"/>
        <v>3000</v>
      </c>
      <c r="N294" s="53"/>
      <c r="O294" s="53">
        <f t="shared" si="214"/>
        <v>3000</v>
      </c>
      <c r="P294" s="53"/>
      <c r="Q294" s="53">
        <f t="shared" si="215"/>
        <v>3000</v>
      </c>
      <c r="R294" s="53"/>
      <c r="S294" s="53">
        <f t="shared" si="216"/>
        <v>3000</v>
      </c>
      <c r="T294" s="53"/>
      <c r="U294" s="53">
        <f t="shared" si="217"/>
        <v>3000</v>
      </c>
      <c r="V294" s="53"/>
      <c r="W294" s="53">
        <f t="shared" si="218"/>
        <v>3000</v>
      </c>
      <c r="X294" s="53"/>
      <c r="Y294" s="53">
        <f t="shared" si="219"/>
        <v>3000</v>
      </c>
      <c r="Z294" s="53"/>
      <c r="AA294" s="53">
        <f t="shared" si="192"/>
        <v>3000</v>
      </c>
      <c r="AB294" s="53"/>
      <c r="AC294" s="53">
        <f t="shared" si="193"/>
        <v>3000</v>
      </c>
      <c r="AD294" s="53"/>
      <c r="AE294" s="53">
        <f t="shared" si="190"/>
        <v>3000</v>
      </c>
      <c r="AF294" s="53"/>
      <c r="AG294" s="53">
        <f t="shared" si="191"/>
        <v>3000</v>
      </c>
      <c r="AH294" s="53"/>
      <c r="AI294" s="53">
        <f t="shared" si="208"/>
        <v>3000</v>
      </c>
      <c r="AJ294" s="53"/>
      <c r="AK294" s="53">
        <f t="shared" si="205"/>
        <v>3000</v>
      </c>
      <c r="AL294" s="75"/>
      <c r="AM294" s="75"/>
    </row>
    <row r="295" spans="1:39" s="15" customFormat="1" ht="21" customHeight="1">
      <c r="A295" s="41"/>
      <c r="B295" s="60"/>
      <c r="C295" s="59">
        <v>4210</v>
      </c>
      <c r="D295" s="27" t="s">
        <v>62</v>
      </c>
      <c r="E295" s="53">
        <v>5550</v>
      </c>
      <c r="F295" s="53"/>
      <c r="G295" s="53">
        <f t="shared" si="210"/>
        <v>5550</v>
      </c>
      <c r="H295" s="53"/>
      <c r="I295" s="53">
        <f t="shared" si="211"/>
        <v>5550</v>
      </c>
      <c r="J295" s="53"/>
      <c r="K295" s="53">
        <f t="shared" si="212"/>
        <v>5550</v>
      </c>
      <c r="L295" s="53"/>
      <c r="M295" s="53">
        <f t="shared" si="213"/>
        <v>5550</v>
      </c>
      <c r="N295" s="53"/>
      <c r="O295" s="53">
        <f t="shared" si="214"/>
        <v>5550</v>
      </c>
      <c r="P295" s="53"/>
      <c r="Q295" s="53">
        <f t="shared" si="215"/>
        <v>5550</v>
      </c>
      <c r="R295" s="53"/>
      <c r="S295" s="53">
        <f t="shared" si="216"/>
        <v>5550</v>
      </c>
      <c r="T295" s="53"/>
      <c r="U295" s="53">
        <f t="shared" si="217"/>
        <v>5550</v>
      </c>
      <c r="V295" s="53"/>
      <c r="W295" s="53">
        <f t="shared" si="218"/>
        <v>5550</v>
      </c>
      <c r="X295" s="53">
        <v>661</v>
      </c>
      <c r="Y295" s="53">
        <f t="shared" si="219"/>
        <v>6211</v>
      </c>
      <c r="Z295" s="53"/>
      <c r="AA295" s="53">
        <f t="shared" si="192"/>
        <v>6211</v>
      </c>
      <c r="AB295" s="53"/>
      <c r="AC295" s="53">
        <f t="shared" si="193"/>
        <v>6211</v>
      </c>
      <c r="AD295" s="53">
        <v>-410</v>
      </c>
      <c r="AE295" s="53">
        <f t="shared" si="190"/>
        <v>5801</v>
      </c>
      <c r="AF295" s="53"/>
      <c r="AG295" s="53">
        <f t="shared" si="191"/>
        <v>5801</v>
      </c>
      <c r="AH295" s="53"/>
      <c r="AI295" s="53">
        <f t="shared" si="208"/>
        <v>5801</v>
      </c>
      <c r="AJ295" s="53"/>
      <c r="AK295" s="53">
        <f t="shared" si="205"/>
        <v>5801</v>
      </c>
      <c r="AL295" s="75"/>
      <c r="AM295" s="75"/>
    </row>
    <row r="296" spans="1:39" s="15" customFormat="1" ht="21" customHeight="1" hidden="1">
      <c r="A296" s="41"/>
      <c r="B296" s="60"/>
      <c r="C296" s="59">
        <v>4220</v>
      </c>
      <c r="D296" s="27" t="s">
        <v>150</v>
      </c>
      <c r="E296" s="53"/>
      <c r="F296" s="53"/>
      <c r="G296" s="53"/>
      <c r="H296" s="53"/>
      <c r="I296" s="53"/>
      <c r="J296" s="53"/>
      <c r="K296" s="53">
        <v>0</v>
      </c>
      <c r="L296" s="53"/>
      <c r="M296" s="53">
        <f t="shared" si="213"/>
        <v>0</v>
      </c>
      <c r="N296" s="53"/>
      <c r="O296" s="53">
        <f t="shared" si="214"/>
        <v>0</v>
      </c>
      <c r="P296" s="53"/>
      <c r="Q296" s="53">
        <f t="shared" si="215"/>
        <v>0</v>
      </c>
      <c r="R296" s="53"/>
      <c r="S296" s="53">
        <f t="shared" si="216"/>
        <v>0</v>
      </c>
      <c r="T296" s="53"/>
      <c r="U296" s="53">
        <f t="shared" si="217"/>
        <v>0</v>
      </c>
      <c r="V296" s="53"/>
      <c r="W296" s="53">
        <f t="shared" si="218"/>
        <v>0</v>
      </c>
      <c r="X296" s="53"/>
      <c r="Y296" s="53">
        <f t="shared" si="219"/>
        <v>0</v>
      </c>
      <c r="Z296" s="53"/>
      <c r="AA296" s="53">
        <f t="shared" si="192"/>
        <v>0</v>
      </c>
      <c r="AB296" s="53"/>
      <c r="AC296" s="53">
        <f t="shared" si="193"/>
        <v>0</v>
      </c>
      <c r="AD296" s="53"/>
      <c r="AE296" s="53">
        <f t="shared" si="190"/>
        <v>0</v>
      </c>
      <c r="AF296" s="53"/>
      <c r="AG296" s="53">
        <f t="shared" si="191"/>
        <v>0</v>
      </c>
      <c r="AH296" s="53"/>
      <c r="AI296" s="53">
        <f t="shared" si="208"/>
        <v>0</v>
      </c>
      <c r="AJ296" s="53"/>
      <c r="AK296" s="53">
        <f t="shared" si="205"/>
        <v>0</v>
      </c>
      <c r="AL296" s="75"/>
      <c r="AM296" s="75"/>
    </row>
    <row r="297" spans="1:39" s="15" customFormat="1" ht="21" customHeight="1">
      <c r="A297" s="41"/>
      <c r="B297" s="60"/>
      <c r="C297" s="59">
        <v>4220</v>
      </c>
      <c r="D297" s="27" t="s">
        <v>150</v>
      </c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>
        <v>0</v>
      </c>
      <c r="P297" s="53">
        <v>120070</v>
      </c>
      <c r="Q297" s="53">
        <f t="shared" si="215"/>
        <v>120070</v>
      </c>
      <c r="R297" s="53"/>
      <c r="S297" s="53">
        <f t="shared" si="216"/>
        <v>120070</v>
      </c>
      <c r="T297" s="53"/>
      <c r="U297" s="53">
        <f t="shared" si="217"/>
        <v>120070</v>
      </c>
      <c r="V297" s="53"/>
      <c r="W297" s="53">
        <f t="shared" si="218"/>
        <v>120070</v>
      </c>
      <c r="X297" s="53"/>
      <c r="Y297" s="53">
        <f t="shared" si="219"/>
        <v>120070</v>
      </c>
      <c r="Z297" s="53"/>
      <c r="AA297" s="53">
        <f t="shared" si="192"/>
        <v>120070</v>
      </c>
      <c r="AB297" s="53"/>
      <c r="AC297" s="53">
        <f t="shared" si="193"/>
        <v>120070</v>
      </c>
      <c r="AD297" s="53"/>
      <c r="AE297" s="53">
        <f t="shared" si="190"/>
        <v>120070</v>
      </c>
      <c r="AF297" s="53"/>
      <c r="AG297" s="53">
        <f t="shared" si="191"/>
        <v>120070</v>
      </c>
      <c r="AH297" s="53"/>
      <c r="AI297" s="53">
        <f t="shared" si="208"/>
        <v>120070</v>
      </c>
      <c r="AJ297" s="53"/>
      <c r="AK297" s="53">
        <f t="shared" si="205"/>
        <v>120070</v>
      </c>
      <c r="AL297" s="75"/>
      <c r="AM297" s="75"/>
    </row>
    <row r="298" spans="1:39" s="15" customFormat="1" ht="27" customHeight="1">
      <c r="A298" s="41"/>
      <c r="B298" s="60"/>
      <c r="C298" s="59">
        <v>4230</v>
      </c>
      <c r="D298" s="27" t="s">
        <v>231</v>
      </c>
      <c r="E298" s="53">
        <v>100</v>
      </c>
      <c r="F298" s="53"/>
      <c r="G298" s="53">
        <f aca="true" t="shared" si="220" ref="G298:G303">SUM(E298:F298)</f>
        <v>100</v>
      </c>
      <c r="H298" s="53"/>
      <c r="I298" s="53">
        <f aca="true" t="shared" si="221" ref="I298:I303">SUM(G298:H298)</f>
        <v>100</v>
      </c>
      <c r="J298" s="53"/>
      <c r="K298" s="53">
        <f aca="true" t="shared" si="222" ref="K298:K303">SUM(I298:J298)</f>
        <v>100</v>
      </c>
      <c r="L298" s="53"/>
      <c r="M298" s="53">
        <f aca="true" t="shared" si="223" ref="M298:M303">SUM(K298:L298)</f>
        <v>100</v>
      </c>
      <c r="N298" s="53"/>
      <c r="O298" s="53">
        <f aca="true" t="shared" si="224" ref="O298:O303">SUM(M298:N298)</f>
        <v>100</v>
      </c>
      <c r="P298" s="53"/>
      <c r="Q298" s="53">
        <f t="shared" si="215"/>
        <v>100</v>
      </c>
      <c r="R298" s="53"/>
      <c r="S298" s="53">
        <f t="shared" si="216"/>
        <v>100</v>
      </c>
      <c r="T298" s="53"/>
      <c r="U298" s="53">
        <f t="shared" si="217"/>
        <v>100</v>
      </c>
      <c r="V298" s="53"/>
      <c r="W298" s="53">
        <f t="shared" si="218"/>
        <v>100</v>
      </c>
      <c r="X298" s="53"/>
      <c r="Y298" s="53">
        <f t="shared" si="219"/>
        <v>100</v>
      </c>
      <c r="Z298" s="53"/>
      <c r="AA298" s="53">
        <f t="shared" si="192"/>
        <v>100</v>
      </c>
      <c r="AB298" s="53"/>
      <c r="AC298" s="53">
        <f t="shared" si="193"/>
        <v>100</v>
      </c>
      <c r="AD298" s="53"/>
      <c r="AE298" s="53">
        <f t="shared" si="190"/>
        <v>100</v>
      </c>
      <c r="AF298" s="53"/>
      <c r="AG298" s="53">
        <f t="shared" si="191"/>
        <v>100</v>
      </c>
      <c r="AH298" s="53"/>
      <c r="AI298" s="53">
        <f t="shared" si="208"/>
        <v>100</v>
      </c>
      <c r="AJ298" s="53"/>
      <c r="AK298" s="53">
        <f t="shared" si="205"/>
        <v>100</v>
      </c>
      <c r="AL298" s="75"/>
      <c r="AM298" s="75"/>
    </row>
    <row r="299" spans="1:39" s="15" customFormat="1" ht="21" customHeight="1">
      <c r="A299" s="41"/>
      <c r="B299" s="60"/>
      <c r="C299" s="59">
        <v>4270</v>
      </c>
      <c r="D299" s="27" t="s">
        <v>68</v>
      </c>
      <c r="E299" s="53">
        <v>500</v>
      </c>
      <c r="F299" s="53"/>
      <c r="G299" s="53">
        <f t="shared" si="220"/>
        <v>500</v>
      </c>
      <c r="H299" s="53"/>
      <c r="I299" s="53">
        <f t="shared" si="221"/>
        <v>500</v>
      </c>
      <c r="J299" s="53"/>
      <c r="K299" s="53">
        <f t="shared" si="222"/>
        <v>500</v>
      </c>
      <c r="L299" s="53"/>
      <c r="M299" s="53">
        <f t="shared" si="223"/>
        <v>500</v>
      </c>
      <c r="N299" s="53"/>
      <c r="O299" s="53">
        <f t="shared" si="224"/>
        <v>500</v>
      </c>
      <c r="P299" s="53"/>
      <c r="Q299" s="53">
        <f t="shared" si="215"/>
        <v>500</v>
      </c>
      <c r="R299" s="53"/>
      <c r="S299" s="53">
        <f t="shared" si="216"/>
        <v>500</v>
      </c>
      <c r="T299" s="53"/>
      <c r="U299" s="53">
        <f t="shared" si="217"/>
        <v>500</v>
      </c>
      <c r="V299" s="53"/>
      <c r="W299" s="53">
        <f t="shared" si="218"/>
        <v>500</v>
      </c>
      <c r="X299" s="53"/>
      <c r="Y299" s="53">
        <f t="shared" si="219"/>
        <v>500</v>
      </c>
      <c r="Z299" s="53"/>
      <c r="AA299" s="53">
        <f t="shared" si="192"/>
        <v>500</v>
      </c>
      <c r="AB299" s="53"/>
      <c r="AC299" s="53">
        <f t="shared" si="193"/>
        <v>500</v>
      </c>
      <c r="AD299" s="53">
        <v>410</v>
      </c>
      <c r="AE299" s="53">
        <f t="shared" si="190"/>
        <v>910</v>
      </c>
      <c r="AF299" s="53"/>
      <c r="AG299" s="53">
        <f t="shared" si="191"/>
        <v>910</v>
      </c>
      <c r="AH299" s="53"/>
      <c r="AI299" s="53">
        <f t="shared" si="208"/>
        <v>910</v>
      </c>
      <c r="AJ299" s="53"/>
      <c r="AK299" s="53">
        <f t="shared" si="205"/>
        <v>910</v>
      </c>
      <c r="AL299" s="75"/>
      <c r="AM299" s="75"/>
    </row>
    <row r="300" spans="1:39" s="15" customFormat="1" ht="21" customHeight="1">
      <c r="A300" s="41"/>
      <c r="B300" s="60"/>
      <c r="C300" s="59">
        <v>4280</v>
      </c>
      <c r="D300" s="27" t="s">
        <v>166</v>
      </c>
      <c r="E300" s="53">
        <v>160</v>
      </c>
      <c r="F300" s="53"/>
      <c r="G300" s="53">
        <f t="shared" si="220"/>
        <v>160</v>
      </c>
      <c r="H300" s="53"/>
      <c r="I300" s="53">
        <f t="shared" si="221"/>
        <v>160</v>
      </c>
      <c r="J300" s="53"/>
      <c r="K300" s="53">
        <f t="shared" si="222"/>
        <v>160</v>
      </c>
      <c r="L300" s="53"/>
      <c r="M300" s="53">
        <f t="shared" si="223"/>
        <v>160</v>
      </c>
      <c r="N300" s="53"/>
      <c r="O300" s="53">
        <f t="shared" si="224"/>
        <v>160</v>
      </c>
      <c r="P300" s="53"/>
      <c r="Q300" s="53">
        <f t="shared" si="215"/>
        <v>160</v>
      </c>
      <c r="R300" s="53"/>
      <c r="S300" s="53">
        <f t="shared" si="216"/>
        <v>160</v>
      </c>
      <c r="T300" s="53"/>
      <c r="U300" s="53">
        <f t="shared" si="217"/>
        <v>160</v>
      </c>
      <c r="V300" s="53"/>
      <c r="W300" s="53">
        <f t="shared" si="218"/>
        <v>160</v>
      </c>
      <c r="X300" s="53"/>
      <c r="Y300" s="53">
        <f t="shared" si="219"/>
        <v>160</v>
      </c>
      <c r="Z300" s="53"/>
      <c r="AA300" s="53">
        <f t="shared" si="192"/>
        <v>160</v>
      </c>
      <c r="AB300" s="53"/>
      <c r="AC300" s="53">
        <f t="shared" si="193"/>
        <v>160</v>
      </c>
      <c r="AD300" s="53"/>
      <c r="AE300" s="53">
        <f t="shared" si="190"/>
        <v>160</v>
      </c>
      <c r="AF300" s="53"/>
      <c r="AG300" s="53">
        <f t="shared" si="191"/>
        <v>160</v>
      </c>
      <c r="AH300" s="53"/>
      <c r="AI300" s="53">
        <f t="shared" si="208"/>
        <v>160</v>
      </c>
      <c r="AJ300" s="53"/>
      <c r="AK300" s="53">
        <f t="shared" si="205"/>
        <v>160</v>
      </c>
      <c r="AL300" s="75"/>
      <c r="AM300" s="75"/>
    </row>
    <row r="301" spans="1:39" s="15" customFormat="1" ht="21" customHeight="1">
      <c r="A301" s="41"/>
      <c r="B301" s="60"/>
      <c r="C301" s="59">
        <v>4300</v>
      </c>
      <c r="D301" s="27" t="s">
        <v>69</v>
      </c>
      <c r="E301" s="53">
        <v>200</v>
      </c>
      <c r="F301" s="53"/>
      <c r="G301" s="53">
        <f t="shared" si="220"/>
        <v>200</v>
      </c>
      <c r="H301" s="53"/>
      <c r="I301" s="53">
        <f t="shared" si="221"/>
        <v>200</v>
      </c>
      <c r="J301" s="53"/>
      <c r="K301" s="53">
        <f t="shared" si="222"/>
        <v>200</v>
      </c>
      <c r="L301" s="53"/>
      <c r="M301" s="53">
        <f t="shared" si="223"/>
        <v>200</v>
      </c>
      <c r="N301" s="53"/>
      <c r="O301" s="53">
        <f t="shared" si="224"/>
        <v>200</v>
      </c>
      <c r="P301" s="53"/>
      <c r="Q301" s="53">
        <f t="shared" si="215"/>
        <v>200</v>
      </c>
      <c r="R301" s="53"/>
      <c r="S301" s="53">
        <f t="shared" si="216"/>
        <v>200</v>
      </c>
      <c r="T301" s="53"/>
      <c r="U301" s="53">
        <f t="shared" si="217"/>
        <v>200</v>
      </c>
      <c r="V301" s="53"/>
      <c r="W301" s="53">
        <f t="shared" si="218"/>
        <v>200</v>
      </c>
      <c r="X301" s="53"/>
      <c r="Y301" s="53">
        <f t="shared" si="219"/>
        <v>200</v>
      </c>
      <c r="Z301" s="53"/>
      <c r="AA301" s="53">
        <f t="shared" si="192"/>
        <v>200</v>
      </c>
      <c r="AB301" s="53"/>
      <c r="AC301" s="53">
        <f t="shared" si="193"/>
        <v>200</v>
      </c>
      <c r="AD301" s="53">
        <v>59</v>
      </c>
      <c r="AE301" s="53">
        <f t="shared" si="190"/>
        <v>259</v>
      </c>
      <c r="AF301" s="53"/>
      <c r="AG301" s="53">
        <f t="shared" si="191"/>
        <v>259</v>
      </c>
      <c r="AH301" s="53"/>
      <c r="AI301" s="53">
        <f t="shared" si="208"/>
        <v>259</v>
      </c>
      <c r="AJ301" s="53"/>
      <c r="AK301" s="53">
        <f t="shared" si="205"/>
        <v>259</v>
      </c>
      <c r="AL301" s="75"/>
      <c r="AM301" s="75"/>
    </row>
    <row r="302" spans="1:39" s="15" customFormat="1" ht="24">
      <c r="A302" s="41"/>
      <c r="B302" s="60"/>
      <c r="C302" s="59">
        <v>4440</v>
      </c>
      <c r="D302" s="27" t="s">
        <v>78</v>
      </c>
      <c r="E302" s="53">
        <v>4773</v>
      </c>
      <c r="F302" s="53"/>
      <c r="G302" s="53">
        <f t="shared" si="220"/>
        <v>4773</v>
      </c>
      <c r="H302" s="53"/>
      <c r="I302" s="53">
        <f t="shared" si="221"/>
        <v>4773</v>
      </c>
      <c r="J302" s="53"/>
      <c r="K302" s="53">
        <f t="shared" si="222"/>
        <v>4773</v>
      </c>
      <c r="L302" s="53"/>
      <c r="M302" s="53">
        <f t="shared" si="223"/>
        <v>4773</v>
      </c>
      <c r="N302" s="53"/>
      <c r="O302" s="53">
        <f t="shared" si="224"/>
        <v>4773</v>
      </c>
      <c r="P302" s="53"/>
      <c r="Q302" s="53">
        <f t="shared" si="215"/>
        <v>4773</v>
      </c>
      <c r="R302" s="53"/>
      <c r="S302" s="53">
        <f t="shared" si="216"/>
        <v>4773</v>
      </c>
      <c r="T302" s="53"/>
      <c r="U302" s="53">
        <f t="shared" si="217"/>
        <v>4773</v>
      </c>
      <c r="V302" s="53"/>
      <c r="W302" s="53">
        <f t="shared" si="218"/>
        <v>4773</v>
      </c>
      <c r="X302" s="53"/>
      <c r="Y302" s="53">
        <f t="shared" si="219"/>
        <v>4773</v>
      </c>
      <c r="Z302" s="53"/>
      <c r="AA302" s="53">
        <f t="shared" si="192"/>
        <v>4773</v>
      </c>
      <c r="AB302" s="53"/>
      <c r="AC302" s="53">
        <f t="shared" si="193"/>
        <v>4773</v>
      </c>
      <c r="AD302" s="53"/>
      <c r="AE302" s="53">
        <f t="shared" si="190"/>
        <v>4773</v>
      </c>
      <c r="AF302" s="53"/>
      <c r="AG302" s="53">
        <f t="shared" si="191"/>
        <v>4773</v>
      </c>
      <c r="AH302" s="53">
        <v>84</v>
      </c>
      <c r="AI302" s="53">
        <f t="shared" si="208"/>
        <v>4857</v>
      </c>
      <c r="AJ302" s="53"/>
      <c r="AK302" s="53">
        <f t="shared" si="205"/>
        <v>4857</v>
      </c>
      <c r="AL302" s="75"/>
      <c r="AM302" s="75"/>
    </row>
    <row r="303" spans="1:41" s="15" customFormat="1" ht="27" customHeight="1">
      <c r="A303" s="41"/>
      <c r="B303" s="60"/>
      <c r="C303" s="59">
        <v>6060</v>
      </c>
      <c r="D303" s="27" t="s">
        <v>86</v>
      </c>
      <c r="E303" s="53">
        <v>5000</v>
      </c>
      <c r="F303" s="53"/>
      <c r="G303" s="53">
        <f t="shared" si="220"/>
        <v>5000</v>
      </c>
      <c r="H303" s="53"/>
      <c r="I303" s="53">
        <f t="shared" si="221"/>
        <v>5000</v>
      </c>
      <c r="J303" s="53"/>
      <c r="K303" s="53">
        <f t="shared" si="222"/>
        <v>5000</v>
      </c>
      <c r="L303" s="53"/>
      <c r="M303" s="53">
        <f t="shared" si="223"/>
        <v>5000</v>
      </c>
      <c r="N303" s="53"/>
      <c r="O303" s="53">
        <f t="shared" si="224"/>
        <v>5000</v>
      </c>
      <c r="P303" s="53"/>
      <c r="Q303" s="53">
        <f t="shared" si="215"/>
        <v>5000</v>
      </c>
      <c r="R303" s="53"/>
      <c r="S303" s="53">
        <f t="shared" si="216"/>
        <v>5000</v>
      </c>
      <c r="T303" s="53"/>
      <c r="U303" s="53">
        <f t="shared" si="217"/>
        <v>5000</v>
      </c>
      <c r="V303" s="53"/>
      <c r="W303" s="53">
        <f t="shared" si="218"/>
        <v>5000</v>
      </c>
      <c r="X303" s="53">
        <v>-661</v>
      </c>
      <c r="Y303" s="53">
        <f t="shared" si="219"/>
        <v>4339</v>
      </c>
      <c r="Z303" s="53"/>
      <c r="AA303" s="53">
        <f t="shared" si="192"/>
        <v>4339</v>
      </c>
      <c r="AB303" s="53"/>
      <c r="AC303" s="53">
        <f t="shared" si="193"/>
        <v>4339</v>
      </c>
      <c r="AD303" s="53"/>
      <c r="AE303" s="53">
        <f t="shared" si="190"/>
        <v>4339</v>
      </c>
      <c r="AF303" s="53"/>
      <c r="AG303" s="53">
        <f t="shared" si="191"/>
        <v>4339</v>
      </c>
      <c r="AH303" s="53"/>
      <c r="AI303" s="53">
        <f t="shared" si="208"/>
        <v>4339</v>
      </c>
      <c r="AJ303" s="53"/>
      <c r="AK303" s="53">
        <f t="shared" si="205"/>
        <v>4339</v>
      </c>
      <c r="AL303" s="75"/>
      <c r="AM303" s="75"/>
      <c r="AN303" s="75"/>
      <c r="AO303" s="75"/>
    </row>
    <row r="304" spans="1:39" s="15" customFormat="1" ht="21.75" customHeight="1">
      <c r="A304" s="41"/>
      <c r="B304" s="55">
        <v>80195</v>
      </c>
      <c r="C304" s="41"/>
      <c r="D304" s="27" t="s">
        <v>16</v>
      </c>
      <c r="E304" s="53">
        <f aca="true" t="shared" si="225" ref="E304:N304">SUM(E305:E308)</f>
        <v>207061</v>
      </c>
      <c r="F304" s="53">
        <f t="shared" si="225"/>
        <v>0</v>
      </c>
      <c r="G304" s="53">
        <f t="shared" si="225"/>
        <v>207061</v>
      </c>
      <c r="H304" s="53">
        <f t="shared" si="225"/>
        <v>0</v>
      </c>
      <c r="I304" s="53">
        <f t="shared" si="225"/>
        <v>207061</v>
      </c>
      <c r="J304" s="53">
        <f t="shared" si="225"/>
        <v>0</v>
      </c>
      <c r="K304" s="53">
        <f t="shared" si="225"/>
        <v>207061</v>
      </c>
      <c r="L304" s="53">
        <f t="shared" si="225"/>
        <v>0</v>
      </c>
      <c r="M304" s="53">
        <f t="shared" si="225"/>
        <v>207061</v>
      </c>
      <c r="N304" s="53">
        <f t="shared" si="225"/>
        <v>0</v>
      </c>
      <c r="O304" s="53">
        <f aca="true" t="shared" si="226" ref="O304:Z304">SUM(O305:O309)</f>
        <v>207061</v>
      </c>
      <c r="P304" s="53">
        <f t="shared" si="226"/>
        <v>2451</v>
      </c>
      <c r="Q304" s="53">
        <f t="shared" si="226"/>
        <v>209512</v>
      </c>
      <c r="R304" s="53">
        <f t="shared" si="226"/>
        <v>0</v>
      </c>
      <c r="S304" s="53">
        <f t="shared" si="226"/>
        <v>209512</v>
      </c>
      <c r="T304" s="53">
        <f t="shared" si="226"/>
        <v>1064</v>
      </c>
      <c r="U304" s="53">
        <f t="shared" si="226"/>
        <v>210576</v>
      </c>
      <c r="V304" s="53">
        <f t="shared" si="226"/>
        <v>70737</v>
      </c>
      <c r="W304" s="53">
        <f t="shared" si="226"/>
        <v>281313</v>
      </c>
      <c r="X304" s="53">
        <f t="shared" si="226"/>
        <v>1800</v>
      </c>
      <c r="Y304" s="53">
        <f t="shared" si="226"/>
        <v>283113</v>
      </c>
      <c r="Z304" s="53">
        <f t="shared" si="226"/>
        <v>0</v>
      </c>
      <c r="AA304" s="53">
        <f t="shared" si="192"/>
        <v>283113</v>
      </c>
      <c r="AB304" s="53">
        <f>SUM(AB305:AB309)</f>
        <v>128501</v>
      </c>
      <c r="AC304" s="53">
        <f t="shared" si="193"/>
        <v>411614</v>
      </c>
      <c r="AD304" s="53">
        <f>SUM(AD305:AD309)</f>
        <v>2694</v>
      </c>
      <c r="AE304" s="53">
        <f t="shared" si="190"/>
        <v>414308</v>
      </c>
      <c r="AF304" s="53">
        <f>SUM(AF305:AF309)</f>
        <v>0</v>
      </c>
      <c r="AG304" s="53">
        <f t="shared" si="191"/>
        <v>414308</v>
      </c>
      <c r="AH304" s="53">
        <f>SUM(AH305:AH309)</f>
        <v>0</v>
      </c>
      <c r="AI304" s="53">
        <f t="shared" si="208"/>
        <v>414308</v>
      </c>
      <c r="AJ304" s="53">
        <f>SUM(AJ305:AJ309)</f>
        <v>0</v>
      </c>
      <c r="AK304" s="53">
        <f t="shared" si="205"/>
        <v>414308</v>
      </c>
      <c r="AL304" s="75"/>
      <c r="AM304" s="75"/>
    </row>
    <row r="305" spans="1:39" s="15" customFormat="1" ht="21.75" customHeight="1">
      <c r="A305" s="41"/>
      <c r="B305" s="55"/>
      <c r="C305" s="41">
        <v>4170</v>
      </c>
      <c r="D305" s="27" t="s">
        <v>162</v>
      </c>
      <c r="E305" s="53">
        <v>500</v>
      </c>
      <c r="F305" s="53"/>
      <c r="G305" s="53">
        <f>SUM(E305:F305)</f>
        <v>500</v>
      </c>
      <c r="H305" s="53"/>
      <c r="I305" s="53">
        <f>SUM(G305:H305)</f>
        <v>500</v>
      </c>
      <c r="J305" s="53"/>
      <c r="K305" s="53">
        <f>SUM(I305:J305)</f>
        <v>500</v>
      </c>
      <c r="L305" s="53"/>
      <c r="M305" s="53">
        <f>SUM(K305:L305)</f>
        <v>500</v>
      </c>
      <c r="N305" s="53"/>
      <c r="O305" s="53">
        <f>SUM(M305:N305)</f>
        <v>500</v>
      </c>
      <c r="P305" s="53"/>
      <c r="Q305" s="53">
        <f>SUM(O305:P305)</f>
        <v>500</v>
      </c>
      <c r="R305" s="53"/>
      <c r="S305" s="53">
        <f>SUM(Q305:R305)</f>
        <v>500</v>
      </c>
      <c r="T305" s="53"/>
      <c r="U305" s="53">
        <f>SUM(S305:T305)</f>
        <v>500</v>
      </c>
      <c r="V305" s="53"/>
      <c r="W305" s="53">
        <f>SUM(U305:V305)</f>
        <v>500</v>
      </c>
      <c r="X305" s="53"/>
      <c r="Y305" s="53">
        <f>SUM(W305:X305)</f>
        <v>500</v>
      </c>
      <c r="Z305" s="53"/>
      <c r="AA305" s="53">
        <f t="shared" si="192"/>
        <v>500</v>
      </c>
      <c r="AB305" s="53">
        <v>132</v>
      </c>
      <c r="AC305" s="53">
        <f t="shared" si="193"/>
        <v>632</v>
      </c>
      <c r="AD305" s="53"/>
      <c r="AE305" s="53">
        <f t="shared" si="190"/>
        <v>632</v>
      </c>
      <c r="AF305" s="53"/>
      <c r="AG305" s="53">
        <f aca="true" t="shared" si="227" ref="AG305:AG327">SUM(AE305:AF305)</f>
        <v>632</v>
      </c>
      <c r="AH305" s="53"/>
      <c r="AI305" s="53">
        <f t="shared" si="208"/>
        <v>632</v>
      </c>
      <c r="AJ305" s="53"/>
      <c r="AK305" s="53">
        <f t="shared" si="205"/>
        <v>632</v>
      </c>
      <c r="AL305" s="75"/>
      <c r="AM305" s="75"/>
    </row>
    <row r="306" spans="1:39" s="15" customFormat="1" ht="21.75" customHeight="1">
      <c r="A306" s="41"/>
      <c r="B306" s="55"/>
      <c r="C306" s="41">
        <v>4210</v>
      </c>
      <c r="D306" s="27" t="s">
        <v>62</v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>
        <v>0</v>
      </c>
      <c r="T306" s="53">
        <v>1064</v>
      </c>
      <c r="U306" s="53">
        <f>SUM(S306:T306)</f>
        <v>1064</v>
      </c>
      <c r="V306" s="53"/>
      <c r="W306" s="53">
        <f>SUM(U306:V306)</f>
        <v>1064</v>
      </c>
      <c r="X306" s="53"/>
      <c r="Y306" s="53">
        <f>SUM(W306:X306)</f>
        <v>1064</v>
      </c>
      <c r="Z306" s="53"/>
      <c r="AA306" s="53">
        <f t="shared" si="192"/>
        <v>1064</v>
      </c>
      <c r="AB306" s="53"/>
      <c r="AC306" s="53">
        <f t="shared" si="193"/>
        <v>1064</v>
      </c>
      <c r="AD306" s="53"/>
      <c r="AE306" s="53">
        <f t="shared" si="190"/>
        <v>1064</v>
      </c>
      <c r="AF306" s="53"/>
      <c r="AG306" s="53">
        <f t="shared" si="227"/>
        <v>1064</v>
      </c>
      <c r="AH306" s="53"/>
      <c r="AI306" s="53">
        <f t="shared" si="208"/>
        <v>1064</v>
      </c>
      <c r="AJ306" s="53"/>
      <c r="AK306" s="53">
        <f t="shared" si="205"/>
        <v>1064</v>
      </c>
      <c r="AL306" s="75"/>
      <c r="AM306" s="75"/>
    </row>
    <row r="307" spans="1:39" s="15" customFormat="1" ht="21.75" customHeight="1">
      <c r="A307" s="41"/>
      <c r="B307" s="55"/>
      <c r="C307" s="41">
        <v>4300</v>
      </c>
      <c r="D307" s="9" t="s">
        <v>69</v>
      </c>
      <c r="E307" s="53">
        <f>50986+1500</f>
        <v>52486</v>
      </c>
      <c r="F307" s="53"/>
      <c r="G307" s="53">
        <f>SUM(E307:F307)</f>
        <v>52486</v>
      </c>
      <c r="H307" s="53"/>
      <c r="I307" s="53">
        <f>SUM(G307:H307)</f>
        <v>52486</v>
      </c>
      <c r="J307" s="53"/>
      <c r="K307" s="53">
        <f>SUM(I307:J307)</f>
        <v>52486</v>
      </c>
      <c r="L307" s="53"/>
      <c r="M307" s="53">
        <f>SUM(K307:L307)</f>
        <v>52486</v>
      </c>
      <c r="N307" s="53"/>
      <c r="O307" s="53">
        <f>SUM(M307:N307)</f>
        <v>52486</v>
      </c>
      <c r="P307" s="53"/>
      <c r="Q307" s="53">
        <f>SUM(O307:P307)</f>
        <v>52486</v>
      </c>
      <c r="R307" s="53"/>
      <c r="S307" s="53">
        <f>SUM(Q307:R307)</f>
        <v>52486</v>
      </c>
      <c r="T307" s="53"/>
      <c r="U307" s="53">
        <f>SUM(S307:T307)</f>
        <v>52486</v>
      </c>
      <c r="V307" s="53">
        <f>65857+4880</f>
        <v>70737</v>
      </c>
      <c r="W307" s="53">
        <f>SUM(U307:V307)</f>
        <v>123223</v>
      </c>
      <c r="X307" s="53"/>
      <c r="Y307" s="53">
        <f>SUM(W307:X307)</f>
        <v>123223</v>
      </c>
      <c r="Z307" s="53"/>
      <c r="AA307" s="53">
        <f t="shared" si="192"/>
        <v>123223</v>
      </c>
      <c r="AB307" s="53">
        <v>128369</v>
      </c>
      <c r="AC307" s="53">
        <f t="shared" si="193"/>
        <v>251592</v>
      </c>
      <c r="AD307" s="53">
        <v>2694</v>
      </c>
      <c r="AE307" s="53">
        <f t="shared" si="190"/>
        <v>254286</v>
      </c>
      <c r="AF307" s="53"/>
      <c r="AG307" s="53">
        <f t="shared" si="227"/>
        <v>254286</v>
      </c>
      <c r="AH307" s="53"/>
      <c r="AI307" s="53">
        <f t="shared" si="208"/>
        <v>254286</v>
      </c>
      <c r="AJ307" s="53"/>
      <c r="AK307" s="53">
        <f t="shared" si="205"/>
        <v>254286</v>
      </c>
      <c r="AL307" s="75"/>
      <c r="AM307" s="75"/>
    </row>
    <row r="308" spans="1:39" s="15" customFormat="1" ht="24">
      <c r="A308" s="41"/>
      <c r="B308" s="55"/>
      <c r="C308" s="41">
        <v>4440</v>
      </c>
      <c r="D308" s="27" t="s">
        <v>78</v>
      </c>
      <c r="E308" s="53">
        <v>154075</v>
      </c>
      <c r="F308" s="53"/>
      <c r="G308" s="53">
        <f>SUM(E308:F308)</f>
        <v>154075</v>
      </c>
      <c r="H308" s="53"/>
      <c r="I308" s="53">
        <f>SUM(G308:H308)</f>
        <v>154075</v>
      </c>
      <c r="J308" s="53"/>
      <c r="K308" s="53">
        <f>SUM(I308:J308)</f>
        <v>154075</v>
      </c>
      <c r="L308" s="53"/>
      <c r="M308" s="53">
        <f>SUM(K308:L308)</f>
        <v>154075</v>
      </c>
      <c r="N308" s="53"/>
      <c r="O308" s="53">
        <f>SUM(M308:N308)</f>
        <v>154075</v>
      </c>
      <c r="P308" s="53"/>
      <c r="Q308" s="53">
        <f>SUM(O308:P308)</f>
        <v>154075</v>
      </c>
      <c r="R308" s="53"/>
      <c r="S308" s="53">
        <f>SUM(Q308:R308)</f>
        <v>154075</v>
      </c>
      <c r="T308" s="53"/>
      <c r="U308" s="53">
        <f>SUM(S308:T308)</f>
        <v>154075</v>
      </c>
      <c r="V308" s="53"/>
      <c r="W308" s="53">
        <f>SUM(U308:V308)</f>
        <v>154075</v>
      </c>
      <c r="X308" s="53"/>
      <c r="Y308" s="53">
        <f>SUM(W308:X308)</f>
        <v>154075</v>
      </c>
      <c r="Z308" s="53"/>
      <c r="AA308" s="53">
        <f t="shared" si="192"/>
        <v>154075</v>
      </c>
      <c r="AB308" s="53"/>
      <c r="AC308" s="53">
        <f t="shared" si="193"/>
        <v>154075</v>
      </c>
      <c r="AD308" s="53"/>
      <c r="AE308" s="53">
        <f t="shared" si="190"/>
        <v>154075</v>
      </c>
      <c r="AF308" s="53"/>
      <c r="AG308" s="53">
        <f t="shared" si="227"/>
        <v>154075</v>
      </c>
      <c r="AH308" s="53"/>
      <c r="AI308" s="53">
        <f t="shared" si="208"/>
        <v>154075</v>
      </c>
      <c r="AJ308" s="53"/>
      <c r="AK308" s="53">
        <f t="shared" si="205"/>
        <v>154075</v>
      </c>
      <c r="AL308" s="75"/>
      <c r="AM308" s="75"/>
    </row>
    <row r="309" spans="1:39" s="15" customFormat="1" ht="24">
      <c r="A309" s="41"/>
      <c r="B309" s="55"/>
      <c r="C309" s="41">
        <v>4700</v>
      </c>
      <c r="D309" s="27" t="s">
        <v>233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>
        <v>0</v>
      </c>
      <c r="P309" s="53">
        <v>2451</v>
      </c>
      <c r="Q309" s="53">
        <f>SUM(O309:P309)</f>
        <v>2451</v>
      </c>
      <c r="R309" s="53"/>
      <c r="S309" s="53">
        <f>SUM(Q309:R309)</f>
        <v>2451</v>
      </c>
      <c r="T309" s="53"/>
      <c r="U309" s="53">
        <f>SUM(S309:T309)</f>
        <v>2451</v>
      </c>
      <c r="V309" s="53"/>
      <c r="W309" s="53">
        <f>SUM(U309:V309)</f>
        <v>2451</v>
      </c>
      <c r="X309" s="53">
        <v>1800</v>
      </c>
      <c r="Y309" s="53">
        <f>SUM(W309:X309)</f>
        <v>4251</v>
      </c>
      <c r="Z309" s="53"/>
      <c r="AA309" s="53">
        <f t="shared" si="192"/>
        <v>4251</v>
      </c>
      <c r="AB309" s="53"/>
      <c r="AC309" s="53">
        <f t="shared" si="193"/>
        <v>4251</v>
      </c>
      <c r="AD309" s="53"/>
      <c r="AE309" s="53">
        <f t="shared" si="190"/>
        <v>4251</v>
      </c>
      <c r="AF309" s="53"/>
      <c r="AG309" s="53">
        <f t="shared" si="227"/>
        <v>4251</v>
      </c>
      <c r="AH309" s="53"/>
      <c r="AI309" s="53">
        <f t="shared" si="208"/>
        <v>4251</v>
      </c>
      <c r="AJ309" s="53"/>
      <c r="AK309" s="53">
        <f t="shared" si="205"/>
        <v>4251</v>
      </c>
      <c r="AL309" s="75"/>
      <c r="AM309" s="75"/>
    </row>
    <row r="310" spans="1:39" s="3" customFormat="1" ht="24.75" customHeight="1">
      <c r="A310" s="22" t="s">
        <v>111</v>
      </c>
      <c r="B310" s="23"/>
      <c r="C310" s="24"/>
      <c r="D310" s="25" t="s">
        <v>45</v>
      </c>
      <c r="E310" s="26">
        <f aca="true" t="shared" si="228" ref="E310:Z310">SUM(E313,E325,E311)</f>
        <v>157098</v>
      </c>
      <c r="F310" s="26">
        <f t="shared" si="228"/>
        <v>0</v>
      </c>
      <c r="G310" s="26">
        <f t="shared" si="228"/>
        <v>157098</v>
      </c>
      <c r="H310" s="26">
        <f t="shared" si="228"/>
        <v>0</v>
      </c>
      <c r="I310" s="26">
        <f t="shared" si="228"/>
        <v>157098</v>
      </c>
      <c r="J310" s="26">
        <f t="shared" si="228"/>
        <v>0</v>
      </c>
      <c r="K310" s="26">
        <f t="shared" si="228"/>
        <v>157098</v>
      </c>
      <c r="L310" s="26">
        <f t="shared" si="228"/>
        <v>0</v>
      </c>
      <c r="M310" s="26">
        <f t="shared" si="228"/>
        <v>157098</v>
      </c>
      <c r="N310" s="26">
        <f t="shared" si="228"/>
        <v>0</v>
      </c>
      <c r="O310" s="26">
        <f t="shared" si="228"/>
        <v>157098</v>
      </c>
      <c r="P310" s="26">
        <f t="shared" si="228"/>
        <v>0</v>
      </c>
      <c r="Q310" s="26">
        <f t="shared" si="228"/>
        <v>157098</v>
      </c>
      <c r="R310" s="26">
        <f t="shared" si="228"/>
        <v>4318</v>
      </c>
      <c r="S310" s="26">
        <f t="shared" si="228"/>
        <v>161416</v>
      </c>
      <c r="T310" s="26">
        <f t="shared" si="228"/>
        <v>0</v>
      </c>
      <c r="U310" s="26">
        <f t="shared" si="228"/>
        <v>161416</v>
      </c>
      <c r="V310" s="26">
        <f t="shared" si="228"/>
        <v>0</v>
      </c>
      <c r="W310" s="26">
        <f t="shared" si="228"/>
        <v>161416</v>
      </c>
      <c r="X310" s="26">
        <f t="shared" si="228"/>
        <v>432</v>
      </c>
      <c r="Y310" s="26">
        <f t="shared" si="228"/>
        <v>161848</v>
      </c>
      <c r="Z310" s="26">
        <f t="shared" si="228"/>
        <v>0</v>
      </c>
      <c r="AA310" s="26">
        <f t="shared" si="192"/>
        <v>161848</v>
      </c>
      <c r="AB310" s="26">
        <f>SUM(AB313,AB325,AB311)</f>
        <v>0</v>
      </c>
      <c r="AC310" s="26">
        <f t="shared" si="193"/>
        <v>161848</v>
      </c>
      <c r="AD310" s="26">
        <f>SUM(AD313,AD325,AD311)</f>
        <v>15434</v>
      </c>
      <c r="AE310" s="26">
        <f t="shared" si="190"/>
        <v>177282</v>
      </c>
      <c r="AF310" s="26">
        <f>SUM(AF313,AF325,AF311)</f>
        <v>0</v>
      </c>
      <c r="AG310" s="26">
        <f t="shared" si="227"/>
        <v>177282</v>
      </c>
      <c r="AH310" s="26">
        <f>SUM(AH313,AH325,AH311)</f>
        <v>0</v>
      </c>
      <c r="AI310" s="26">
        <f t="shared" si="208"/>
        <v>177282</v>
      </c>
      <c r="AJ310" s="26">
        <f>SUM(AJ313,AJ325,AJ311)</f>
        <v>0</v>
      </c>
      <c r="AK310" s="26">
        <f t="shared" si="205"/>
        <v>177282</v>
      </c>
      <c r="AL310" s="92"/>
      <c r="AM310" s="92"/>
    </row>
    <row r="311" spans="1:39" s="3" customFormat="1" ht="24.75" customHeight="1">
      <c r="A311" s="22"/>
      <c r="B311" s="60">
        <v>85153</v>
      </c>
      <c r="C311" s="59"/>
      <c r="D311" s="27" t="s">
        <v>185</v>
      </c>
      <c r="E311" s="53">
        <f aca="true" t="shared" si="229" ref="E311:AJ311">SUM(E312:E312)</f>
        <v>9700</v>
      </c>
      <c r="F311" s="53">
        <f t="shared" si="229"/>
        <v>0</v>
      </c>
      <c r="G311" s="53">
        <f t="shared" si="229"/>
        <v>9700</v>
      </c>
      <c r="H311" s="53">
        <f t="shared" si="229"/>
        <v>0</v>
      </c>
      <c r="I311" s="53">
        <f t="shared" si="229"/>
        <v>9700</v>
      </c>
      <c r="J311" s="53">
        <f t="shared" si="229"/>
        <v>0</v>
      </c>
      <c r="K311" s="53">
        <f t="shared" si="229"/>
        <v>9700</v>
      </c>
      <c r="L311" s="53">
        <f t="shared" si="229"/>
        <v>0</v>
      </c>
      <c r="M311" s="53">
        <f t="shared" si="229"/>
        <v>9700</v>
      </c>
      <c r="N311" s="53">
        <f t="shared" si="229"/>
        <v>0</v>
      </c>
      <c r="O311" s="53">
        <f t="shared" si="229"/>
        <v>9700</v>
      </c>
      <c r="P311" s="53">
        <f t="shared" si="229"/>
        <v>0</v>
      </c>
      <c r="Q311" s="53">
        <f t="shared" si="229"/>
        <v>9700</v>
      </c>
      <c r="R311" s="53">
        <f t="shared" si="229"/>
        <v>0</v>
      </c>
      <c r="S311" s="53">
        <f t="shared" si="229"/>
        <v>9700</v>
      </c>
      <c r="T311" s="53">
        <f t="shared" si="229"/>
        <v>0</v>
      </c>
      <c r="U311" s="53">
        <f t="shared" si="229"/>
        <v>9700</v>
      </c>
      <c r="V311" s="53">
        <f t="shared" si="229"/>
        <v>0</v>
      </c>
      <c r="W311" s="53">
        <f t="shared" si="229"/>
        <v>9700</v>
      </c>
      <c r="X311" s="53">
        <f t="shared" si="229"/>
        <v>0</v>
      </c>
      <c r="Y311" s="53">
        <f t="shared" si="229"/>
        <v>9700</v>
      </c>
      <c r="Z311" s="53">
        <f t="shared" si="229"/>
        <v>0</v>
      </c>
      <c r="AA311" s="53">
        <f t="shared" si="192"/>
        <v>9700</v>
      </c>
      <c r="AB311" s="53">
        <f t="shared" si="229"/>
        <v>0</v>
      </c>
      <c r="AC311" s="53">
        <f t="shared" si="193"/>
        <v>9700</v>
      </c>
      <c r="AD311" s="53">
        <f t="shared" si="229"/>
        <v>0</v>
      </c>
      <c r="AE311" s="53">
        <f t="shared" si="190"/>
        <v>9700</v>
      </c>
      <c r="AF311" s="53">
        <f t="shared" si="229"/>
        <v>0</v>
      </c>
      <c r="AG311" s="53">
        <f t="shared" si="227"/>
        <v>9700</v>
      </c>
      <c r="AH311" s="53">
        <f t="shared" si="229"/>
        <v>0</v>
      </c>
      <c r="AI311" s="53">
        <f t="shared" si="208"/>
        <v>9700</v>
      </c>
      <c r="AJ311" s="53">
        <f t="shared" si="229"/>
        <v>0</v>
      </c>
      <c r="AK311" s="53">
        <f t="shared" si="205"/>
        <v>9700</v>
      </c>
      <c r="AL311" s="92"/>
      <c r="AM311" s="92"/>
    </row>
    <row r="312" spans="1:39" s="3" customFormat="1" ht="24.75" customHeight="1">
      <c r="A312" s="22"/>
      <c r="B312" s="60"/>
      <c r="C312" s="59">
        <v>4300</v>
      </c>
      <c r="D312" s="27" t="s">
        <v>69</v>
      </c>
      <c r="E312" s="53">
        <v>9700</v>
      </c>
      <c r="F312" s="53"/>
      <c r="G312" s="53">
        <f>SUM(E312:F312)</f>
        <v>9700</v>
      </c>
      <c r="H312" s="53"/>
      <c r="I312" s="53">
        <f>SUM(G312:H312)</f>
        <v>9700</v>
      </c>
      <c r="J312" s="53"/>
      <c r="K312" s="53">
        <f>SUM(I312:J312)</f>
        <v>9700</v>
      </c>
      <c r="L312" s="53"/>
      <c r="M312" s="53">
        <f>SUM(K312:L312)</f>
        <v>9700</v>
      </c>
      <c r="N312" s="53"/>
      <c r="O312" s="53">
        <f>SUM(M312:N312)</f>
        <v>9700</v>
      </c>
      <c r="P312" s="53"/>
      <c r="Q312" s="53">
        <f>SUM(O312:P312)</f>
        <v>9700</v>
      </c>
      <c r="R312" s="53"/>
      <c r="S312" s="53">
        <f>SUM(Q312:R312)</f>
        <v>9700</v>
      </c>
      <c r="T312" s="53"/>
      <c r="U312" s="53">
        <f>SUM(S312:T312)</f>
        <v>9700</v>
      </c>
      <c r="V312" s="53"/>
      <c r="W312" s="53">
        <f>SUM(U312:V312)</f>
        <v>9700</v>
      </c>
      <c r="X312" s="53"/>
      <c r="Y312" s="53">
        <f>SUM(W312:X312)</f>
        <v>9700</v>
      </c>
      <c r="Z312" s="53"/>
      <c r="AA312" s="53">
        <f t="shared" si="192"/>
        <v>9700</v>
      </c>
      <c r="AB312" s="53"/>
      <c r="AC312" s="53">
        <f t="shared" si="193"/>
        <v>9700</v>
      </c>
      <c r="AD312" s="53"/>
      <c r="AE312" s="53">
        <f t="shared" si="190"/>
        <v>9700</v>
      </c>
      <c r="AF312" s="53"/>
      <c r="AG312" s="53">
        <f t="shared" si="227"/>
        <v>9700</v>
      </c>
      <c r="AH312" s="53"/>
      <c r="AI312" s="53">
        <f t="shared" si="208"/>
        <v>9700</v>
      </c>
      <c r="AJ312" s="53"/>
      <c r="AK312" s="53">
        <f t="shared" si="205"/>
        <v>9700</v>
      </c>
      <c r="AL312" s="92"/>
      <c r="AM312" s="92"/>
    </row>
    <row r="313" spans="1:39" s="15" customFormat="1" ht="21" customHeight="1">
      <c r="A313" s="41"/>
      <c r="B313" s="55" t="s">
        <v>112</v>
      </c>
      <c r="C313" s="59"/>
      <c r="D313" s="27" t="s">
        <v>46</v>
      </c>
      <c r="E313" s="53">
        <f aca="true" t="shared" si="230" ref="E313:Z313">SUM(E314:E324)</f>
        <v>137398</v>
      </c>
      <c r="F313" s="53">
        <f t="shared" si="230"/>
        <v>0</v>
      </c>
      <c r="G313" s="53">
        <f t="shared" si="230"/>
        <v>137398</v>
      </c>
      <c r="H313" s="53">
        <f t="shared" si="230"/>
        <v>0</v>
      </c>
      <c r="I313" s="53">
        <f t="shared" si="230"/>
        <v>137398</v>
      </c>
      <c r="J313" s="53">
        <f t="shared" si="230"/>
        <v>0</v>
      </c>
      <c r="K313" s="53">
        <f t="shared" si="230"/>
        <v>137398</v>
      </c>
      <c r="L313" s="53">
        <f t="shared" si="230"/>
        <v>0</v>
      </c>
      <c r="M313" s="53">
        <f t="shared" si="230"/>
        <v>137398</v>
      </c>
      <c r="N313" s="53">
        <f t="shared" si="230"/>
        <v>0</v>
      </c>
      <c r="O313" s="53">
        <f t="shared" si="230"/>
        <v>137398</v>
      </c>
      <c r="P313" s="53">
        <f t="shared" si="230"/>
        <v>0</v>
      </c>
      <c r="Q313" s="53">
        <f t="shared" si="230"/>
        <v>137398</v>
      </c>
      <c r="R313" s="53">
        <f t="shared" si="230"/>
        <v>4318</v>
      </c>
      <c r="S313" s="53">
        <f t="shared" si="230"/>
        <v>141716</v>
      </c>
      <c r="T313" s="53">
        <f t="shared" si="230"/>
        <v>0</v>
      </c>
      <c r="U313" s="53">
        <f t="shared" si="230"/>
        <v>141716</v>
      </c>
      <c r="V313" s="53">
        <f t="shared" si="230"/>
        <v>0</v>
      </c>
      <c r="W313" s="53">
        <f t="shared" si="230"/>
        <v>141716</v>
      </c>
      <c r="X313" s="53">
        <f t="shared" si="230"/>
        <v>432</v>
      </c>
      <c r="Y313" s="53">
        <f t="shared" si="230"/>
        <v>142148</v>
      </c>
      <c r="Z313" s="53">
        <f t="shared" si="230"/>
        <v>0</v>
      </c>
      <c r="AA313" s="53">
        <f t="shared" si="192"/>
        <v>142148</v>
      </c>
      <c r="AB313" s="53">
        <f>SUM(AB314:AB324)</f>
        <v>0</v>
      </c>
      <c r="AC313" s="53">
        <f t="shared" si="193"/>
        <v>142148</v>
      </c>
      <c r="AD313" s="53">
        <f>SUM(AD314:AD324)</f>
        <v>15434</v>
      </c>
      <c r="AE313" s="53">
        <f t="shared" si="190"/>
        <v>157582</v>
      </c>
      <c r="AF313" s="53">
        <f>SUM(AF314:AF324)</f>
        <v>0</v>
      </c>
      <c r="AG313" s="53">
        <f t="shared" si="227"/>
        <v>157582</v>
      </c>
      <c r="AH313" s="53">
        <f>SUM(AH314:AH324)</f>
        <v>0</v>
      </c>
      <c r="AI313" s="53">
        <f t="shared" si="208"/>
        <v>157582</v>
      </c>
      <c r="AJ313" s="53">
        <f>SUM(AJ314:AJ324)</f>
        <v>0</v>
      </c>
      <c r="AK313" s="53">
        <f t="shared" si="205"/>
        <v>157582</v>
      </c>
      <c r="AL313" s="75"/>
      <c r="AM313" s="75"/>
    </row>
    <row r="314" spans="1:39" s="15" customFormat="1" ht="36">
      <c r="A314" s="41"/>
      <c r="B314" s="60"/>
      <c r="C314" s="59">
        <v>2630</v>
      </c>
      <c r="D314" s="27" t="s">
        <v>184</v>
      </c>
      <c r="E314" s="53">
        <v>73240</v>
      </c>
      <c r="F314" s="53"/>
      <c r="G314" s="53">
        <f>SUM(E314:F314)</f>
        <v>73240</v>
      </c>
      <c r="H314" s="53">
        <f>-55200-13200</f>
        <v>-68400</v>
      </c>
      <c r="I314" s="53">
        <f>SUM(G314:H314)</f>
        <v>4840</v>
      </c>
      <c r="J314" s="53"/>
      <c r="K314" s="53">
        <f>SUM(I314:J314)</f>
        <v>4840</v>
      </c>
      <c r="L314" s="53"/>
      <c r="M314" s="53">
        <f>SUM(K314:L314)</f>
        <v>4840</v>
      </c>
      <c r="N314" s="53"/>
      <c r="O314" s="53">
        <f>SUM(M314:N314)</f>
        <v>4840</v>
      </c>
      <c r="P314" s="53"/>
      <c r="Q314" s="53">
        <f>SUM(O314:P314)</f>
        <v>4840</v>
      </c>
      <c r="R314" s="53">
        <v>-4840</v>
      </c>
      <c r="S314" s="53">
        <f aca="true" t="shared" si="231" ref="S314:S324">SUM(Q314:R314)</f>
        <v>0</v>
      </c>
      <c r="T314" s="53"/>
      <c r="U314" s="53">
        <f aca="true" t="shared" si="232" ref="U314:U324">SUM(S314:T314)</f>
        <v>0</v>
      </c>
      <c r="V314" s="53"/>
      <c r="W314" s="53">
        <f aca="true" t="shared" si="233" ref="W314:W324">SUM(U314:V314)</f>
        <v>0</v>
      </c>
      <c r="X314" s="53"/>
      <c r="Y314" s="53">
        <f aca="true" t="shared" si="234" ref="Y314:Y324">SUM(W314:X314)</f>
        <v>0</v>
      </c>
      <c r="Z314" s="53"/>
      <c r="AA314" s="53">
        <f t="shared" si="192"/>
        <v>0</v>
      </c>
      <c r="AB314" s="53"/>
      <c r="AC314" s="53">
        <f t="shared" si="193"/>
        <v>0</v>
      </c>
      <c r="AD314" s="53"/>
      <c r="AE314" s="53">
        <f t="shared" si="190"/>
        <v>0</v>
      </c>
      <c r="AF314" s="53"/>
      <c r="AG314" s="53">
        <f t="shared" si="227"/>
        <v>0</v>
      </c>
      <c r="AH314" s="53"/>
      <c r="AI314" s="53">
        <f t="shared" si="208"/>
        <v>0</v>
      </c>
      <c r="AJ314" s="53"/>
      <c r="AK314" s="53">
        <f t="shared" si="205"/>
        <v>0</v>
      </c>
      <c r="AL314" s="75"/>
      <c r="AM314" s="75"/>
    </row>
    <row r="315" spans="1:39" s="15" customFormat="1" ht="36">
      <c r="A315" s="41"/>
      <c r="B315" s="60"/>
      <c r="C315" s="59">
        <v>2710</v>
      </c>
      <c r="D315" s="27" t="s">
        <v>235</v>
      </c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>
        <v>0</v>
      </c>
      <c r="R315" s="53">
        <v>9158</v>
      </c>
      <c r="S315" s="53">
        <f t="shared" si="231"/>
        <v>9158</v>
      </c>
      <c r="T315" s="53"/>
      <c r="U315" s="53">
        <f t="shared" si="232"/>
        <v>9158</v>
      </c>
      <c r="V315" s="53"/>
      <c r="W315" s="53">
        <f t="shared" si="233"/>
        <v>9158</v>
      </c>
      <c r="X315" s="53"/>
      <c r="Y315" s="53">
        <f t="shared" si="234"/>
        <v>9158</v>
      </c>
      <c r="Z315" s="53"/>
      <c r="AA315" s="53">
        <f t="shared" si="192"/>
        <v>9158</v>
      </c>
      <c r="AB315" s="53"/>
      <c r="AC315" s="53">
        <f t="shared" si="193"/>
        <v>9158</v>
      </c>
      <c r="AD315" s="53"/>
      <c r="AE315" s="53">
        <f t="shared" si="190"/>
        <v>9158</v>
      </c>
      <c r="AF315" s="53"/>
      <c r="AG315" s="53">
        <f t="shared" si="227"/>
        <v>9158</v>
      </c>
      <c r="AH315" s="53"/>
      <c r="AI315" s="53">
        <f t="shared" si="208"/>
        <v>9158</v>
      </c>
      <c r="AJ315" s="53"/>
      <c r="AK315" s="53">
        <f t="shared" si="205"/>
        <v>9158</v>
      </c>
      <c r="AL315" s="75"/>
      <c r="AM315" s="75"/>
    </row>
    <row r="316" spans="1:39" s="15" customFormat="1" ht="36">
      <c r="A316" s="41"/>
      <c r="B316" s="60"/>
      <c r="C316" s="59">
        <v>2820</v>
      </c>
      <c r="D316" s="27" t="s">
        <v>259</v>
      </c>
      <c r="E316" s="53"/>
      <c r="F316" s="53"/>
      <c r="G316" s="53">
        <v>0</v>
      </c>
      <c r="H316" s="53">
        <f>13200</f>
        <v>13200</v>
      </c>
      <c r="I316" s="53">
        <f aca="true" t="shared" si="235" ref="I316:I324">SUM(G316:H316)</f>
        <v>13200</v>
      </c>
      <c r="J316" s="53"/>
      <c r="K316" s="53">
        <f aca="true" t="shared" si="236" ref="K316:K324">SUM(I316:J316)</f>
        <v>13200</v>
      </c>
      <c r="L316" s="53"/>
      <c r="M316" s="53">
        <f aca="true" t="shared" si="237" ref="M316:M324">SUM(K316:L316)</f>
        <v>13200</v>
      </c>
      <c r="N316" s="53"/>
      <c r="O316" s="53">
        <f aca="true" t="shared" si="238" ref="O316:O324">SUM(M316:N316)</f>
        <v>13200</v>
      </c>
      <c r="P316" s="53"/>
      <c r="Q316" s="53">
        <f aca="true" t="shared" si="239" ref="Q316:Q324">SUM(O316:P316)</f>
        <v>13200</v>
      </c>
      <c r="R316" s="53"/>
      <c r="S316" s="53">
        <f t="shared" si="231"/>
        <v>13200</v>
      </c>
      <c r="T316" s="53"/>
      <c r="U316" s="53">
        <f t="shared" si="232"/>
        <v>13200</v>
      </c>
      <c r="V316" s="53"/>
      <c r="W316" s="53">
        <f t="shared" si="233"/>
        <v>13200</v>
      </c>
      <c r="X316" s="53"/>
      <c r="Y316" s="53">
        <f t="shared" si="234"/>
        <v>13200</v>
      </c>
      <c r="Z316" s="53"/>
      <c r="AA316" s="53">
        <f t="shared" si="192"/>
        <v>13200</v>
      </c>
      <c r="AB316" s="53"/>
      <c r="AC316" s="53">
        <f t="shared" si="193"/>
        <v>13200</v>
      </c>
      <c r="AD316" s="53"/>
      <c r="AE316" s="53">
        <f t="shared" si="190"/>
        <v>13200</v>
      </c>
      <c r="AF316" s="53"/>
      <c r="AG316" s="53">
        <f t="shared" si="227"/>
        <v>13200</v>
      </c>
      <c r="AH316" s="53"/>
      <c r="AI316" s="53">
        <f t="shared" si="208"/>
        <v>13200</v>
      </c>
      <c r="AJ316" s="53"/>
      <c r="AK316" s="53">
        <f t="shared" si="205"/>
        <v>13200</v>
      </c>
      <c r="AL316" s="75"/>
      <c r="AM316" s="75"/>
    </row>
    <row r="317" spans="1:39" s="15" customFormat="1" ht="48">
      <c r="A317" s="41"/>
      <c r="B317" s="60"/>
      <c r="C317" s="59">
        <v>2830</v>
      </c>
      <c r="D317" s="27" t="s">
        <v>260</v>
      </c>
      <c r="E317" s="53"/>
      <c r="F317" s="53"/>
      <c r="G317" s="53">
        <v>0</v>
      </c>
      <c r="H317" s="53">
        <f>46000+9200</f>
        <v>55200</v>
      </c>
      <c r="I317" s="53">
        <f t="shared" si="235"/>
        <v>55200</v>
      </c>
      <c r="J317" s="53"/>
      <c r="K317" s="53">
        <f t="shared" si="236"/>
        <v>55200</v>
      </c>
      <c r="L317" s="53"/>
      <c r="M317" s="53">
        <f t="shared" si="237"/>
        <v>55200</v>
      </c>
      <c r="N317" s="53"/>
      <c r="O317" s="53">
        <f t="shared" si="238"/>
        <v>55200</v>
      </c>
      <c r="P317" s="53"/>
      <c r="Q317" s="53">
        <f t="shared" si="239"/>
        <v>55200</v>
      </c>
      <c r="R317" s="53"/>
      <c r="S317" s="53">
        <f t="shared" si="231"/>
        <v>55200</v>
      </c>
      <c r="T317" s="53"/>
      <c r="U317" s="53">
        <f t="shared" si="232"/>
        <v>55200</v>
      </c>
      <c r="V317" s="53"/>
      <c r="W317" s="53">
        <f t="shared" si="233"/>
        <v>55200</v>
      </c>
      <c r="X317" s="53"/>
      <c r="Y317" s="53">
        <f t="shared" si="234"/>
        <v>55200</v>
      </c>
      <c r="Z317" s="53"/>
      <c r="AA317" s="53">
        <f t="shared" si="192"/>
        <v>55200</v>
      </c>
      <c r="AB317" s="53"/>
      <c r="AC317" s="53">
        <f t="shared" si="193"/>
        <v>55200</v>
      </c>
      <c r="AD317" s="53"/>
      <c r="AE317" s="53">
        <f t="shared" si="190"/>
        <v>55200</v>
      </c>
      <c r="AF317" s="53"/>
      <c r="AG317" s="53">
        <f t="shared" si="227"/>
        <v>55200</v>
      </c>
      <c r="AH317" s="53"/>
      <c r="AI317" s="53">
        <f t="shared" si="208"/>
        <v>55200</v>
      </c>
      <c r="AJ317" s="53"/>
      <c r="AK317" s="53">
        <f t="shared" si="205"/>
        <v>55200</v>
      </c>
      <c r="AL317" s="75"/>
      <c r="AM317" s="75"/>
    </row>
    <row r="318" spans="1:39" s="15" customFormat="1" ht="24.75" customHeight="1">
      <c r="A318" s="41"/>
      <c r="B318" s="60"/>
      <c r="C318" s="59">
        <v>4110</v>
      </c>
      <c r="D318" s="9" t="s">
        <v>76</v>
      </c>
      <c r="E318" s="53">
        <v>1758</v>
      </c>
      <c r="F318" s="53"/>
      <c r="G318" s="53">
        <f aca="true" t="shared" si="240" ref="G318:G324">SUM(E318:F318)</f>
        <v>1758</v>
      </c>
      <c r="H318" s="53"/>
      <c r="I318" s="53">
        <f t="shared" si="235"/>
        <v>1758</v>
      </c>
      <c r="J318" s="53"/>
      <c r="K318" s="53">
        <f t="shared" si="236"/>
        <v>1758</v>
      </c>
      <c r="L318" s="53"/>
      <c r="M318" s="53">
        <f t="shared" si="237"/>
        <v>1758</v>
      </c>
      <c r="N318" s="53"/>
      <c r="O318" s="53">
        <f t="shared" si="238"/>
        <v>1758</v>
      </c>
      <c r="P318" s="53"/>
      <c r="Q318" s="53">
        <f t="shared" si="239"/>
        <v>1758</v>
      </c>
      <c r="R318" s="53"/>
      <c r="S318" s="53">
        <f t="shared" si="231"/>
        <v>1758</v>
      </c>
      <c r="T318" s="53"/>
      <c r="U318" s="53">
        <f t="shared" si="232"/>
        <v>1758</v>
      </c>
      <c r="V318" s="53"/>
      <c r="W318" s="53">
        <f t="shared" si="233"/>
        <v>1758</v>
      </c>
      <c r="X318" s="53"/>
      <c r="Y318" s="53">
        <f t="shared" si="234"/>
        <v>1758</v>
      </c>
      <c r="Z318" s="53"/>
      <c r="AA318" s="53">
        <f t="shared" si="192"/>
        <v>1758</v>
      </c>
      <c r="AB318" s="53"/>
      <c r="AC318" s="53">
        <f t="shared" si="193"/>
        <v>1758</v>
      </c>
      <c r="AD318" s="53"/>
      <c r="AE318" s="53">
        <f t="shared" si="190"/>
        <v>1758</v>
      </c>
      <c r="AF318" s="53"/>
      <c r="AG318" s="53">
        <f t="shared" si="227"/>
        <v>1758</v>
      </c>
      <c r="AH318" s="53"/>
      <c r="AI318" s="53">
        <f t="shared" si="208"/>
        <v>1758</v>
      </c>
      <c r="AJ318" s="53"/>
      <c r="AK318" s="53">
        <f t="shared" si="205"/>
        <v>1758</v>
      </c>
      <c r="AL318" s="75"/>
      <c r="AM318" s="75"/>
    </row>
    <row r="319" spans="1:39" s="15" customFormat="1" ht="21" customHeight="1">
      <c r="A319" s="41"/>
      <c r="B319" s="60"/>
      <c r="C319" s="59">
        <v>4170</v>
      </c>
      <c r="D319" s="27" t="s">
        <v>162</v>
      </c>
      <c r="E319" s="53">
        <v>36800</v>
      </c>
      <c r="F319" s="53"/>
      <c r="G319" s="53">
        <f t="shared" si="240"/>
        <v>36800</v>
      </c>
      <c r="H319" s="53"/>
      <c r="I319" s="53">
        <f t="shared" si="235"/>
        <v>36800</v>
      </c>
      <c r="J319" s="53"/>
      <c r="K319" s="53">
        <f t="shared" si="236"/>
        <v>36800</v>
      </c>
      <c r="L319" s="53"/>
      <c r="M319" s="53">
        <f t="shared" si="237"/>
        <v>36800</v>
      </c>
      <c r="N319" s="53"/>
      <c r="O319" s="53">
        <f t="shared" si="238"/>
        <v>36800</v>
      </c>
      <c r="P319" s="53"/>
      <c r="Q319" s="53">
        <f t="shared" si="239"/>
        <v>36800</v>
      </c>
      <c r="R319" s="53"/>
      <c r="S319" s="53">
        <f t="shared" si="231"/>
        <v>36800</v>
      </c>
      <c r="T319" s="53"/>
      <c r="U319" s="53">
        <f t="shared" si="232"/>
        <v>36800</v>
      </c>
      <c r="V319" s="53"/>
      <c r="W319" s="53">
        <f t="shared" si="233"/>
        <v>36800</v>
      </c>
      <c r="X319" s="53"/>
      <c r="Y319" s="53">
        <f t="shared" si="234"/>
        <v>36800</v>
      </c>
      <c r="Z319" s="53"/>
      <c r="AA319" s="53">
        <f t="shared" si="192"/>
        <v>36800</v>
      </c>
      <c r="AB319" s="53"/>
      <c r="AC319" s="53">
        <f t="shared" si="193"/>
        <v>36800</v>
      </c>
      <c r="AD319" s="53"/>
      <c r="AE319" s="53">
        <f t="shared" si="190"/>
        <v>36800</v>
      </c>
      <c r="AF319" s="53"/>
      <c r="AG319" s="53">
        <f t="shared" si="227"/>
        <v>36800</v>
      </c>
      <c r="AH319" s="53"/>
      <c r="AI319" s="53">
        <f t="shared" si="208"/>
        <v>36800</v>
      </c>
      <c r="AJ319" s="53"/>
      <c r="AK319" s="53">
        <f t="shared" si="205"/>
        <v>36800</v>
      </c>
      <c r="AL319" s="75"/>
      <c r="AM319" s="75"/>
    </row>
    <row r="320" spans="1:39" s="15" customFormat="1" ht="21" customHeight="1">
      <c r="A320" s="41"/>
      <c r="B320" s="60"/>
      <c r="C320" s="59">
        <v>4210</v>
      </c>
      <c r="D320" s="9" t="s">
        <v>82</v>
      </c>
      <c r="E320" s="53">
        <v>7000</v>
      </c>
      <c r="F320" s="53"/>
      <c r="G320" s="53">
        <f t="shared" si="240"/>
        <v>7000</v>
      </c>
      <c r="H320" s="53"/>
      <c r="I320" s="53">
        <f t="shared" si="235"/>
        <v>7000</v>
      </c>
      <c r="J320" s="53"/>
      <c r="K320" s="53">
        <f t="shared" si="236"/>
        <v>7000</v>
      </c>
      <c r="L320" s="53"/>
      <c r="M320" s="53">
        <f t="shared" si="237"/>
        <v>7000</v>
      </c>
      <c r="N320" s="53"/>
      <c r="O320" s="53">
        <f t="shared" si="238"/>
        <v>7000</v>
      </c>
      <c r="P320" s="53"/>
      <c r="Q320" s="53">
        <f t="shared" si="239"/>
        <v>7000</v>
      </c>
      <c r="R320" s="53"/>
      <c r="S320" s="53">
        <f t="shared" si="231"/>
        <v>7000</v>
      </c>
      <c r="T320" s="53"/>
      <c r="U320" s="53">
        <f t="shared" si="232"/>
        <v>7000</v>
      </c>
      <c r="V320" s="53"/>
      <c r="W320" s="53">
        <f t="shared" si="233"/>
        <v>7000</v>
      </c>
      <c r="X320" s="53"/>
      <c r="Y320" s="53">
        <f t="shared" si="234"/>
        <v>7000</v>
      </c>
      <c r="Z320" s="53"/>
      <c r="AA320" s="53">
        <f t="shared" si="192"/>
        <v>7000</v>
      </c>
      <c r="AB320" s="53"/>
      <c r="AC320" s="53">
        <f t="shared" si="193"/>
        <v>7000</v>
      </c>
      <c r="AD320" s="53"/>
      <c r="AE320" s="53">
        <f t="shared" si="190"/>
        <v>7000</v>
      </c>
      <c r="AF320" s="53"/>
      <c r="AG320" s="53">
        <f t="shared" si="227"/>
        <v>7000</v>
      </c>
      <c r="AH320" s="53"/>
      <c r="AI320" s="53">
        <f t="shared" si="208"/>
        <v>7000</v>
      </c>
      <c r="AJ320" s="53"/>
      <c r="AK320" s="53">
        <f t="shared" si="205"/>
        <v>7000</v>
      </c>
      <c r="AL320" s="75"/>
      <c r="AM320" s="75"/>
    </row>
    <row r="321" spans="1:39" s="15" customFormat="1" ht="21" customHeight="1">
      <c r="A321" s="41"/>
      <c r="B321" s="60"/>
      <c r="C321" s="59">
        <v>4220</v>
      </c>
      <c r="D321" s="9" t="s">
        <v>150</v>
      </c>
      <c r="E321" s="53">
        <v>13500</v>
      </c>
      <c r="F321" s="53"/>
      <c r="G321" s="53">
        <f t="shared" si="240"/>
        <v>13500</v>
      </c>
      <c r="H321" s="53"/>
      <c r="I321" s="53">
        <f t="shared" si="235"/>
        <v>13500</v>
      </c>
      <c r="J321" s="53"/>
      <c r="K321" s="53">
        <f t="shared" si="236"/>
        <v>13500</v>
      </c>
      <c r="L321" s="53"/>
      <c r="M321" s="53">
        <f t="shared" si="237"/>
        <v>13500</v>
      </c>
      <c r="N321" s="53"/>
      <c r="O321" s="53">
        <f t="shared" si="238"/>
        <v>13500</v>
      </c>
      <c r="P321" s="53"/>
      <c r="Q321" s="53">
        <f t="shared" si="239"/>
        <v>13500</v>
      </c>
      <c r="R321" s="53"/>
      <c r="S321" s="53">
        <f t="shared" si="231"/>
        <v>13500</v>
      </c>
      <c r="T321" s="53"/>
      <c r="U321" s="53">
        <f t="shared" si="232"/>
        <v>13500</v>
      </c>
      <c r="V321" s="53"/>
      <c r="W321" s="53">
        <f t="shared" si="233"/>
        <v>13500</v>
      </c>
      <c r="X321" s="53"/>
      <c r="Y321" s="53">
        <f t="shared" si="234"/>
        <v>13500</v>
      </c>
      <c r="Z321" s="53"/>
      <c r="AA321" s="53">
        <f t="shared" si="192"/>
        <v>13500</v>
      </c>
      <c r="AB321" s="53"/>
      <c r="AC321" s="53">
        <f t="shared" si="193"/>
        <v>13500</v>
      </c>
      <c r="AD321" s="53"/>
      <c r="AE321" s="53">
        <f t="shared" si="190"/>
        <v>13500</v>
      </c>
      <c r="AF321" s="53"/>
      <c r="AG321" s="53">
        <f t="shared" si="227"/>
        <v>13500</v>
      </c>
      <c r="AH321" s="53"/>
      <c r="AI321" s="53">
        <f t="shared" si="208"/>
        <v>13500</v>
      </c>
      <c r="AJ321" s="53"/>
      <c r="AK321" s="53">
        <f t="shared" si="205"/>
        <v>13500</v>
      </c>
      <c r="AL321" s="75"/>
      <c r="AM321" s="75"/>
    </row>
    <row r="322" spans="1:39" s="15" customFormat="1" ht="21" customHeight="1">
      <c r="A322" s="41"/>
      <c r="B322" s="60"/>
      <c r="C322" s="59">
        <v>4300</v>
      </c>
      <c r="D322" s="27" t="s">
        <v>69</v>
      </c>
      <c r="E322" s="53">
        <v>3100</v>
      </c>
      <c r="F322" s="53"/>
      <c r="G322" s="53">
        <f t="shared" si="240"/>
        <v>3100</v>
      </c>
      <c r="H322" s="53"/>
      <c r="I322" s="53">
        <f t="shared" si="235"/>
        <v>3100</v>
      </c>
      <c r="J322" s="53"/>
      <c r="K322" s="53">
        <f t="shared" si="236"/>
        <v>3100</v>
      </c>
      <c r="L322" s="53"/>
      <c r="M322" s="53">
        <f t="shared" si="237"/>
        <v>3100</v>
      </c>
      <c r="N322" s="53"/>
      <c r="O322" s="53">
        <f t="shared" si="238"/>
        <v>3100</v>
      </c>
      <c r="P322" s="53"/>
      <c r="Q322" s="53">
        <f t="shared" si="239"/>
        <v>3100</v>
      </c>
      <c r="R322" s="53"/>
      <c r="S322" s="53">
        <f t="shared" si="231"/>
        <v>3100</v>
      </c>
      <c r="T322" s="53"/>
      <c r="U322" s="53">
        <f t="shared" si="232"/>
        <v>3100</v>
      </c>
      <c r="V322" s="53"/>
      <c r="W322" s="53">
        <f t="shared" si="233"/>
        <v>3100</v>
      </c>
      <c r="X322" s="53"/>
      <c r="Y322" s="53">
        <f t="shared" si="234"/>
        <v>3100</v>
      </c>
      <c r="Z322" s="53"/>
      <c r="AA322" s="53">
        <f t="shared" si="192"/>
        <v>3100</v>
      </c>
      <c r="AB322" s="53"/>
      <c r="AC322" s="53">
        <f t="shared" si="193"/>
        <v>3100</v>
      </c>
      <c r="AD322" s="53">
        <f>3000+11434</f>
        <v>14434</v>
      </c>
      <c r="AE322" s="53">
        <f t="shared" si="190"/>
        <v>17534</v>
      </c>
      <c r="AF322" s="53"/>
      <c r="AG322" s="53">
        <f t="shared" si="227"/>
        <v>17534</v>
      </c>
      <c r="AH322" s="53"/>
      <c r="AI322" s="53">
        <f t="shared" si="208"/>
        <v>17534</v>
      </c>
      <c r="AJ322" s="53"/>
      <c r="AK322" s="53">
        <f t="shared" si="205"/>
        <v>17534</v>
      </c>
      <c r="AL322" s="75"/>
      <c r="AM322" s="75"/>
    </row>
    <row r="323" spans="1:39" s="15" customFormat="1" ht="21" customHeight="1">
      <c r="A323" s="41"/>
      <c r="B323" s="60"/>
      <c r="C323" s="59">
        <v>4350</v>
      </c>
      <c r="D323" s="27" t="s">
        <v>182</v>
      </c>
      <c r="E323" s="53">
        <v>800</v>
      </c>
      <c r="F323" s="53"/>
      <c r="G323" s="53">
        <f t="shared" si="240"/>
        <v>800</v>
      </c>
      <c r="H323" s="53"/>
      <c r="I323" s="53">
        <f t="shared" si="235"/>
        <v>800</v>
      </c>
      <c r="J323" s="53"/>
      <c r="K323" s="53">
        <f t="shared" si="236"/>
        <v>800</v>
      </c>
      <c r="L323" s="53"/>
      <c r="M323" s="53">
        <f t="shared" si="237"/>
        <v>800</v>
      </c>
      <c r="N323" s="53"/>
      <c r="O323" s="53">
        <f t="shared" si="238"/>
        <v>800</v>
      </c>
      <c r="P323" s="53"/>
      <c r="Q323" s="53">
        <f t="shared" si="239"/>
        <v>800</v>
      </c>
      <c r="R323" s="53"/>
      <c r="S323" s="53">
        <f t="shared" si="231"/>
        <v>800</v>
      </c>
      <c r="T323" s="53"/>
      <c r="U323" s="53">
        <f t="shared" si="232"/>
        <v>800</v>
      </c>
      <c r="V323" s="53"/>
      <c r="W323" s="53">
        <f t="shared" si="233"/>
        <v>800</v>
      </c>
      <c r="X323" s="53">
        <v>432</v>
      </c>
      <c r="Y323" s="53">
        <f t="shared" si="234"/>
        <v>1232</v>
      </c>
      <c r="Z323" s="53"/>
      <c r="AA323" s="53">
        <f t="shared" si="192"/>
        <v>1232</v>
      </c>
      <c r="AB323" s="53"/>
      <c r="AC323" s="53">
        <f t="shared" si="193"/>
        <v>1232</v>
      </c>
      <c r="AD323" s="53"/>
      <c r="AE323" s="53">
        <f t="shared" si="190"/>
        <v>1232</v>
      </c>
      <c r="AF323" s="53"/>
      <c r="AG323" s="53">
        <f t="shared" si="227"/>
        <v>1232</v>
      </c>
      <c r="AH323" s="53"/>
      <c r="AI323" s="53">
        <f t="shared" si="208"/>
        <v>1232</v>
      </c>
      <c r="AJ323" s="53"/>
      <c r="AK323" s="53">
        <f t="shared" si="205"/>
        <v>1232</v>
      </c>
      <c r="AL323" s="75"/>
      <c r="AM323" s="75"/>
    </row>
    <row r="324" spans="1:39" s="15" customFormat="1" ht="21" customHeight="1">
      <c r="A324" s="41"/>
      <c r="B324" s="60"/>
      <c r="C324" s="59">
        <v>4410</v>
      </c>
      <c r="D324" s="27" t="s">
        <v>80</v>
      </c>
      <c r="E324" s="53">
        <v>1200</v>
      </c>
      <c r="F324" s="53"/>
      <c r="G324" s="53">
        <f t="shared" si="240"/>
        <v>1200</v>
      </c>
      <c r="H324" s="53"/>
      <c r="I324" s="53">
        <f t="shared" si="235"/>
        <v>1200</v>
      </c>
      <c r="J324" s="53"/>
      <c r="K324" s="53">
        <f t="shared" si="236"/>
        <v>1200</v>
      </c>
      <c r="L324" s="53"/>
      <c r="M324" s="53">
        <f t="shared" si="237"/>
        <v>1200</v>
      </c>
      <c r="N324" s="53"/>
      <c r="O324" s="53">
        <f t="shared" si="238"/>
        <v>1200</v>
      </c>
      <c r="P324" s="53"/>
      <c r="Q324" s="53">
        <f t="shared" si="239"/>
        <v>1200</v>
      </c>
      <c r="R324" s="53"/>
      <c r="S324" s="53">
        <f t="shared" si="231"/>
        <v>1200</v>
      </c>
      <c r="T324" s="53"/>
      <c r="U324" s="53">
        <f t="shared" si="232"/>
        <v>1200</v>
      </c>
      <c r="V324" s="53"/>
      <c r="W324" s="53">
        <f t="shared" si="233"/>
        <v>1200</v>
      </c>
      <c r="X324" s="53"/>
      <c r="Y324" s="53">
        <f t="shared" si="234"/>
        <v>1200</v>
      </c>
      <c r="Z324" s="53"/>
      <c r="AA324" s="53">
        <f t="shared" si="192"/>
        <v>1200</v>
      </c>
      <c r="AB324" s="53"/>
      <c r="AC324" s="53">
        <f t="shared" si="193"/>
        <v>1200</v>
      </c>
      <c r="AD324" s="53">
        <v>1000</v>
      </c>
      <c r="AE324" s="53">
        <f t="shared" si="190"/>
        <v>2200</v>
      </c>
      <c r="AF324" s="53"/>
      <c r="AG324" s="53">
        <f t="shared" si="227"/>
        <v>2200</v>
      </c>
      <c r="AH324" s="53"/>
      <c r="AI324" s="53">
        <f t="shared" si="208"/>
        <v>2200</v>
      </c>
      <c r="AJ324" s="53"/>
      <c r="AK324" s="53">
        <f t="shared" si="205"/>
        <v>2200</v>
      </c>
      <c r="AL324" s="75"/>
      <c r="AM324" s="75"/>
    </row>
    <row r="325" spans="1:39" s="15" customFormat="1" ht="21" customHeight="1">
      <c r="A325" s="41"/>
      <c r="B325" s="60">
        <v>85195</v>
      </c>
      <c r="C325" s="59"/>
      <c r="D325" s="27" t="s">
        <v>16</v>
      </c>
      <c r="E325" s="53">
        <f aca="true" t="shared" si="241" ref="E325:AJ325">SUM(E326)</f>
        <v>10000</v>
      </c>
      <c r="F325" s="53">
        <f t="shared" si="241"/>
        <v>0</v>
      </c>
      <c r="G325" s="53">
        <f t="shared" si="241"/>
        <v>10000</v>
      </c>
      <c r="H325" s="53">
        <f t="shared" si="241"/>
        <v>0</v>
      </c>
      <c r="I325" s="53">
        <f t="shared" si="241"/>
        <v>10000</v>
      </c>
      <c r="J325" s="53">
        <f t="shared" si="241"/>
        <v>0</v>
      </c>
      <c r="K325" s="53">
        <f t="shared" si="241"/>
        <v>10000</v>
      </c>
      <c r="L325" s="53">
        <f t="shared" si="241"/>
        <v>0</v>
      </c>
      <c r="M325" s="53">
        <f t="shared" si="241"/>
        <v>10000</v>
      </c>
      <c r="N325" s="53">
        <f t="shared" si="241"/>
        <v>0</v>
      </c>
      <c r="O325" s="53">
        <f t="shared" si="241"/>
        <v>10000</v>
      </c>
      <c r="P325" s="53">
        <f t="shared" si="241"/>
        <v>0</v>
      </c>
      <c r="Q325" s="53">
        <f t="shared" si="241"/>
        <v>10000</v>
      </c>
      <c r="R325" s="53">
        <f t="shared" si="241"/>
        <v>0</v>
      </c>
      <c r="S325" s="53">
        <f t="shared" si="241"/>
        <v>10000</v>
      </c>
      <c r="T325" s="53">
        <f t="shared" si="241"/>
        <v>0</v>
      </c>
      <c r="U325" s="53">
        <f t="shared" si="241"/>
        <v>10000</v>
      </c>
      <c r="V325" s="53">
        <f t="shared" si="241"/>
        <v>0</v>
      </c>
      <c r="W325" s="53">
        <f t="shared" si="241"/>
        <v>10000</v>
      </c>
      <c r="X325" s="53">
        <f t="shared" si="241"/>
        <v>0</v>
      </c>
      <c r="Y325" s="53">
        <f t="shared" si="241"/>
        <v>10000</v>
      </c>
      <c r="Z325" s="53">
        <f t="shared" si="241"/>
        <v>0</v>
      </c>
      <c r="AA325" s="53">
        <f t="shared" si="192"/>
        <v>10000</v>
      </c>
      <c r="AB325" s="53">
        <f t="shared" si="241"/>
        <v>0</v>
      </c>
      <c r="AC325" s="53">
        <f t="shared" si="193"/>
        <v>10000</v>
      </c>
      <c r="AD325" s="53">
        <f t="shared" si="241"/>
        <v>0</v>
      </c>
      <c r="AE325" s="53">
        <f t="shared" si="190"/>
        <v>10000</v>
      </c>
      <c r="AF325" s="53">
        <f t="shared" si="241"/>
        <v>0</v>
      </c>
      <c r="AG325" s="53">
        <f t="shared" si="227"/>
        <v>10000</v>
      </c>
      <c r="AH325" s="53">
        <f t="shared" si="241"/>
        <v>0</v>
      </c>
      <c r="AI325" s="53">
        <f t="shared" si="208"/>
        <v>10000</v>
      </c>
      <c r="AJ325" s="53">
        <f t="shared" si="241"/>
        <v>0</v>
      </c>
      <c r="AK325" s="53">
        <f t="shared" si="205"/>
        <v>10000</v>
      </c>
      <c r="AL325" s="75"/>
      <c r="AM325" s="75"/>
    </row>
    <row r="326" spans="1:39" s="15" customFormat="1" ht="21" customHeight="1">
      <c r="A326" s="41"/>
      <c r="B326" s="60"/>
      <c r="C326" s="59">
        <v>4430</v>
      </c>
      <c r="D326" s="27" t="s">
        <v>84</v>
      </c>
      <c r="E326" s="53">
        <v>10000</v>
      </c>
      <c r="F326" s="53"/>
      <c r="G326" s="53">
        <f>SUM(E326:F326)</f>
        <v>10000</v>
      </c>
      <c r="H326" s="53"/>
      <c r="I326" s="53">
        <f>SUM(G326:H326)</f>
        <v>10000</v>
      </c>
      <c r="J326" s="53"/>
      <c r="K326" s="53">
        <f>SUM(I326:J326)</f>
        <v>10000</v>
      </c>
      <c r="L326" s="53"/>
      <c r="M326" s="53">
        <f>SUM(K326:L326)</f>
        <v>10000</v>
      </c>
      <c r="N326" s="53"/>
      <c r="O326" s="53">
        <f>SUM(M326:N326)</f>
        <v>10000</v>
      </c>
      <c r="P326" s="53"/>
      <c r="Q326" s="53">
        <f>SUM(O326:P326)</f>
        <v>10000</v>
      </c>
      <c r="R326" s="53"/>
      <c r="S326" s="53">
        <f>SUM(Q326:R326)</f>
        <v>10000</v>
      </c>
      <c r="T326" s="53"/>
      <c r="U326" s="53">
        <f>SUM(S326:T326)</f>
        <v>10000</v>
      </c>
      <c r="V326" s="53"/>
      <c r="W326" s="53">
        <f>SUM(U326:V326)</f>
        <v>10000</v>
      </c>
      <c r="X326" s="53"/>
      <c r="Y326" s="53">
        <f>SUM(W326:X326)</f>
        <v>10000</v>
      </c>
      <c r="Z326" s="53"/>
      <c r="AA326" s="53">
        <f t="shared" si="192"/>
        <v>10000</v>
      </c>
      <c r="AB326" s="53"/>
      <c r="AC326" s="53">
        <f t="shared" si="193"/>
        <v>10000</v>
      </c>
      <c r="AD326" s="53"/>
      <c r="AE326" s="53">
        <f t="shared" si="190"/>
        <v>10000</v>
      </c>
      <c r="AF326" s="53"/>
      <c r="AG326" s="53">
        <f t="shared" si="227"/>
        <v>10000</v>
      </c>
      <c r="AH326" s="53"/>
      <c r="AI326" s="53">
        <f t="shared" si="208"/>
        <v>10000</v>
      </c>
      <c r="AJ326" s="53"/>
      <c r="AK326" s="53">
        <f t="shared" si="205"/>
        <v>10000</v>
      </c>
      <c r="AL326" s="75"/>
      <c r="AM326" s="75"/>
    </row>
    <row r="327" spans="1:39" s="3" customFormat="1" ht="24.75" customHeight="1">
      <c r="A327" s="37">
        <v>852</v>
      </c>
      <c r="B327" s="23"/>
      <c r="C327" s="24"/>
      <c r="D327" s="25" t="s">
        <v>158</v>
      </c>
      <c r="E327" s="26">
        <f aca="true" t="shared" si="242" ref="E327:Z327">SUM(E328,E351,E353,E356,E358,E384,E386,)</f>
        <v>11310148</v>
      </c>
      <c r="F327" s="26">
        <f t="shared" si="242"/>
        <v>0</v>
      </c>
      <c r="G327" s="26">
        <f t="shared" si="242"/>
        <v>11310148</v>
      </c>
      <c r="H327" s="26">
        <f t="shared" si="242"/>
        <v>0</v>
      </c>
      <c r="I327" s="26">
        <f t="shared" si="242"/>
        <v>11310148</v>
      </c>
      <c r="J327" s="26">
        <f t="shared" si="242"/>
        <v>0</v>
      </c>
      <c r="K327" s="26">
        <f t="shared" si="242"/>
        <v>11310148</v>
      </c>
      <c r="L327" s="26">
        <f t="shared" si="242"/>
        <v>165700</v>
      </c>
      <c r="M327" s="26">
        <f t="shared" si="242"/>
        <v>11475848</v>
      </c>
      <c r="N327" s="26">
        <f t="shared" si="242"/>
        <v>0</v>
      </c>
      <c r="O327" s="26">
        <f t="shared" si="242"/>
        <v>11475848</v>
      </c>
      <c r="P327" s="26">
        <f t="shared" si="242"/>
        <v>0</v>
      </c>
      <c r="Q327" s="26">
        <f t="shared" si="242"/>
        <v>11475848</v>
      </c>
      <c r="R327" s="26">
        <f t="shared" si="242"/>
        <v>0</v>
      </c>
      <c r="S327" s="26">
        <f t="shared" si="242"/>
        <v>11475848</v>
      </c>
      <c r="T327" s="26">
        <f t="shared" si="242"/>
        <v>338200</v>
      </c>
      <c r="U327" s="26">
        <f t="shared" si="242"/>
        <v>11814048</v>
      </c>
      <c r="V327" s="26">
        <f t="shared" si="242"/>
        <v>13050</v>
      </c>
      <c r="W327" s="26">
        <f t="shared" si="242"/>
        <v>11827098</v>
      </c>
      <c r="X327" s="26">
        <f t="shared" si="242"/>
        <v>13700</v>
      </c>
      <c r="Y327" s="26">
        <f t="shared" si="242"/>
        <v>11840798</v>
      </c>
      <c r="Z327" s="26">
        <f t="shared" si="242"/>
        <v>-12350</v>
      </c>
      <c r="AA327" s="26">
        <f t="shared" si="192"/>
        <v>11828448</v>
      </c>
      <c r="AB327" s="26">
        <f>SUM(AB328,AB351,AB353,AB356,AB358,AB384,AB386,)</f>
        <v>239100</v>
      </c>
      <c r="AC327" s="26">
        <f t="shared" si="193"/>
        <v>12067548</v>
      </c>
      <c r="AD327" s="26">
        <f>SUM(AD328,AD351,AD353,AD356,AD358,AD384,AD386,)</f>
        <v>73335</v>
      </c>
      <c r="AE327" s="26">
        <f t="shared" si="190"/>
        <v>12140883</v>
      </c>
      <c r="AF327" s="26">
        <f>SUM(AF328,AF351,AF353,AF356,AF358,AF384,AF386,)</f>
        <v>0</v>
      </c>
      <c r="AG327" s="26">
        <f t="shared" si="227"/>
        <v>12140883</v>
      </c>
      <c r="AH327" s="26">
        <f>SUM(AH328,AH351,AH353,AH356,AH358,AH384,AH386,)</f>
        <v>30000</v>
      </c>
      <c r="AI327" s="26">
        <f t="shared" si="208"/>
        <v>12170883</v>
      </c>
      <c r="AJ327" s="26">
        <f>SUM(AJ328,AJ351,AJ353,AJ356,AJ358,AJ384,AJ386,)</f>
        <v>0</v>
      </c>
      <c r="AK327" s="26">
        <f t="shared" si="205"/>
        <v>12170883</v>
      </c>
      <c r="AL327" s="92"/>
      <c r="AM327" s="92"/>
    </row>
    <row r="328" spans="1:39" s="15" customFormat="1" ht="36">
      <c r="A328" s="66"/>
      <c r="B328" s="31">
        <v>85212</v>
      </c>
      <c r="C328" s="51"/>
      <c r="D328" s="49" t="s">
        <v>243</v>
      </c>
      <c r="E328" s="44">
        <f aca="true" t="shared" si="243" ref="E328:V328">SUM(E330:E345)</f>
        <v>6416200</v>
      </c>
      <c r="F328" s="44">
        <f t="shared" si="243"/>
        <v>0</v>
      </c>
      <c r="G328" s="44">
        <f t="shared" si="243"/>
        <v>6416200</v>
      </c>
      <c r="H328" s="44">
        <f t="shared" si="243"/>
        <v>0</v>
      </c>
      <c r="I328" s="44">
        <f t="shared" si="243"/>
        <v>6416200</v>
      </c>
      <c r="J328" s="44">
        <f t="shared" si="243"/>
        <v>0</v>
      </c>
      <c r="K328" s="44">
        <f t="shared" si="243"/>
        <v>6416200</v>
      </c>
      <c r="L328" s="44">
        <f t="shared" si="243"/>
        <v>147200</v>
      </c>
      <c r="M328" s="44">
        <f t="shared" si="243"/>
        <v>6563400</v>
      </c>
      <c r="N328" s="44">
        <f t="shared" si="243"/>
        <v>0</v>
      </c>
      <c r="O328" s="44">
        <f t="shared" si="243"/>
        <v>6563400</v>
      </c>
      <c r="P328" s="44">
        <f t="shared" si="243"/>
        <v>0</v>
      </c>
      <c r="Q328" s="44">
        <f t="shared" si="243"/>
        <v>6563400</v>
      </c>
      <c r="R328" s="44">
        <f t="shared" si="243"/>
        <v>0</v>
      </c>
      <c r="S328" s="44">
        <f t="shared" si="243"/>
        <v>6563400</v>
      </c>
      <c r="T328" s="44">
        <f t="shared" si="243"/>
        <v>0</v>
      </c>
      <c r="U328" s="44">
        <f t="shared" si="243"/>
        <v>6563400</v>
      </c>
      <c r="V328" s="44">
        <f t="shared" si="243"/>
        <v>0</v>
      </c>
      <c r="W328" s="44">
        <f>SUM(W330:W350)</f>
        <v>6563400</v>
      </c>
      <c r="X328" s="44">
        <f>SUM(X330:X350)</f>
        <v>52500</v>
      </c>
      <c r="Y328" s="44">
        <f>SUM(Y330:Y350)</f>
        <v>6615900</v>
      </c>
      <c r="Z328" s="44">
        <f>SUM(Z330:Z350)</f>
        <v>0</v>
      </c>
      <c r="AA328" s="53">
        <f t="shared" si="192"/>
        <v>6615900</v>
      </c>
      <c r="AB328" s="44">
        <f>SUM(AB330:AB350)</f>
        <v>0</v>
      </c>
      <c r="AC328" s="53">
        <f t="shared" si="193"/>
        <v>6615900</v>
      </c>
      <c r="AD328" s="44">
        <f aca="true" t="shared" si="244" ref="AD328:AI328">SUM(AD329:AD350)</f>
        <v>142800</v>
      </c>
      <c r="AE328" s="44">
        <f t="shared" si="244"/>
        <v>6758700</v>
      </c>
      <c r="AF328" s="44">
        <f t="shared" si="244"/>
        <v>0</v>
      </c>
      <c r="AG328" s="44">
        <f t="shared" si="244"/>
        <v>6758700</v>
      </c>
      <c r="AH328" s="44">
        <f t="shared" si="244"/>
        <v>0</v>
      </c>
      <c r="AI328" s="44">
        <f t="shared" si="244"/>
        <v>6758700</v>
      </c>
      <c r="AJ328" s="44">
        <f>SUM(AJ329:AJ350)</f>
        <v>0</v>
      </c>
      <c r="AK328" s="44">
        <f>SUM(AK329:AK350)</f>
        <v>6758700</v>
      </c>
      <c r="AL328" s="75"/>
      <c r="AM328" s="75"/>
    </row>
    <row r="329" spans="1:39" s="15" customFormat="1" ht="23.25" customHeight="1">
      <c r="A329" s="66"/>
      <c r="B329" s="31"/>
      <c r="C329" s="51">
        <v>3020</v>
      </c>
      <c r="D329" s="27" t="s">
        <v>161</v>
      </c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53"/>
      <c r="AB329" s="44"/>
      <c r="AC329" s="53">
        <v>0</v>
      </c>
      <c r="AD329" s="44">
        <v>2000</v>
      </c>
      <c r="AE329" s="53">
        <f t="shared" si="190"/>
        <v>2000</v>
      </c>
      <c r="AF329" s="44"/>
      <c r="AG329" s="53">
        <f aca="true" t="shared" si="245" ref="AG329:AG357">SUM(AE329:AF329)</f>
        <v>2000</v>
      </c>
      <c r="AH329" s="44"/>
      <c r="AI329" s="53">
        <f aca="true" t="shared" si="246" ref="AI329:AI357">SUM(AG329:AH329)</f>
        <v>2000</v>
      </c>
      <c r="AJ329" s="44"/>
      <c r="AK329" s="53">
        <f aca="true" t="shared" si="247" ref="AK329:AK357">SUM(AI329:AJ329)</f>
        <v>2000</v>
      </c>
      <c r="AL329" s="75"/>
      <c r="AM329" s="75"/>
    </row>
    <row r="330" spans="1:39" s="15" customFormat="1" ht="21" customHeight="1">
      <c r="A330" s="66"/>
      <c r="B330" s="31"/>
      <c r="C330" s="51">
        <v>3110</v>
      </c>
      <c r="D330" s="49" t="s">
        <v>105</v>
      </c>
      <c r="E330" s="44">
        <f>6223714-47700</f>
        <v>6176014</v>
      </c>
      <c r="F330" s="44"/>
      <c r="G330" s="44">
        <f>SUM(E330:F330)</f>
        <v>6176014</v>
      </c>
      <c r="H330" s="44"/>
      <c r="I330" s="44">
        <f>SUM(G330:H330)</f>
        <v>6176014</v>
      </c>
      <c r="J330" s="44"/>
      <c r="K330" s="44">
        <f>SUM(I330:J330)</f>
        <v>6176014</v>
      </c>
      <c r="L330" s="44">
        <f>147200-4416</f>
        <v>142784</v>
      </c>
      <c r="M330" s="44">
        <f aca="true" t="shared" si="248" ref="M330:M335">SUM(K330:L330)</f>
        <v>6318798</v>
      </c>
      <c r="N330" s="44"/>
      <c r="O330" s="44">
        <f aca="true" t="shared" si="249" ref="O330:O335">SUM(M330:N330)</f>
        <v>6318798</v>
      </c>
      <c r="P330" s="44"/>
      <c r="Q330" s="44">
        <f aca="true" t="shared" si="250" ref="Q330:Q335">SUM(O330:P330)</f>
        <v>6318798</v>
      </c>
      <c r="R330" s="44"/>
      <c r="S330" s="44">
        <f aca="true" t="shared" si="251" ref="S330:S335">SUM(Q330:R330)</f>
        <v>6318798</v>
      </c>
      <c r="T330" s="44"/>
      <c r="U330" s="44">
        <f aca="true" t="shared" si="252" ref="U330:U335">SUM(S330:T330)</f>
        <v>6318798</v>
      </c>
      <c r="V330" s="44"/>
      <c r="W330" s="44">
        <f aca="true" t="shared" si="253" ref="W330:W335">SUM(U330:V330)</f>
        <v>6318798</v>
      </c>
      <c r="X330" s="44"/>
      <c r="Y330" s="44">
        <f aca="true" t="shared" si="254" ref="Y330:Y335">SUM(W330:X330)</f>
        <v>6318798</v>
      </c>
      <c r="Z330" s="44"/>
      <c r="AA330" s="53">
        <f t="shared" si="192"/>
        <v>6318798</v>
      </c>
      <c r="AB330" s="44"/>
      <c r="AC330" s="53">
        <f t="shared" si="193"/>
        <v>6318798</v>
      </c>
      <c r="AD330" s="44">
        <v>99425</v>
      </c>
      <c r="AE330" s="53">
        <f t="shared" si="190"/>
        <v>6418223</v>
      </c>
      <c r="AF330" s="44"/>
      <c r="AG330" s="53">
        <f t="shared" si="245"/>
        <v>6418223</v>
      </c>
      <c r="AH330" s="44"/>
      <c r="AI330" s="53">
        <f t="shared" si="246"/>
        <v>6418223</v>
      </c>
      <c r="AJ330" s="44"/>
      <c r="AK330" s="53">
        <f t="shared" si="247"/>
        <v>6418223</v>
      </c>
      <c r="AL330" s="75"/>
      <c r="AM330" s="75"/>
    </row>
    <row r="331" spans="1:39" s="15" customFormat="1" ht="21" customHeight="1">
      <c r="A331" s="66"/>
      <c r="B331" s="31"/>
      <c r="C331" s="31">
        <v>4010</v>
      </c>
      <c r="D331" s="9" t="s">
        <v>74</v>
      </c>
      <c r="E331" s="44">
        <v>147161</v>
      </c>
      <c r="F331" s="44"/>
      <c r="G331" s="44">
        <f>SUM(E331:F331)</f>
        <v>147161</v>
      </c>
      <c r="H331" s="44">
        <v>2071</v>
      </c>
      <c r="I331" s="44">
        <f>SUM(G331:H331)</f>
        <v>149232</v>
      </c>
      <c r="J331" s="44"/>
      <c r="K331" s="44">
        <f>SUM(I331:J331)</f>
        <v>149232</v>
      </c>
      <c r="L331" s="44"/>
      <c r="M331" s="44">
        <f t="shared" si="248"/>
        <v>149232</v>
      </c>
      <c r="N331" s="44"/>
      <c r="O331" s="44">
        <f t="shared" si="249"/>
        <v>149232</v>
      </c>
      <c r="P331" s="44"/>
      <c r="Q331" s="44">
        <f t="shared" si="250"/>
        <v>149232</v>
      </c>
      <c r="R331" s="44"/>
      <c r="S331" s="44">
        <f t="shared" si="251"/>
        <v>149232</v>
      </c>
      <c r="T331" s="44"/>
      <c r="U331" s="44">
        <f t="shared" si="252"/>
        <v>149232</v>
      </c>
      <c r="V331" s="44"/>
      <c r="W331" s="44">
        <f t="shared" si="253"/>
        <v>149232</v>
      </c>
      <c r="X331" s="44"/>
      <c r="Y331" s="44">
        <f t="shared" si="254"/>
        <v>149232</v>
      </c>
      <c r="Z331" s="44"/>
      <c r="AA331" s="53">
        <f t="shared" si="192"/>
        <v>149232</v>
      </c>
      <c r="AB331" s="44"/>
      <c r="AC331" s="53">
        <f t="shared" si="193"/>
        <v>149232</v>
      </c>
      <c r="AD331" s="44"/>
      <c r="AE331" s="53">
        <f t="shared" si="190"/>
        <v>149232</v>
      </c>
      <c r="AF331" s="44"/>
      <c r="AG331" s="53">
        <f t="shared" si="245"/>
        <v>149232</v>
      </c>
      <c r="AH331" s="44"/>
      <c r="AI331" s="53">
        <f t="shared" si="246"/>
        <v>149232</v>
      </c>
      <c r="AJ331" s="44"/>
      <c r="AK331" s="53">
        <f t="shared" si="247"/>
        <v>149232</v>
      </c>
      <c r="AL331" s="75"/>
      <c r="AM331" s="75"/>
    </row>
    <row r="332" spans="1:39" s="15" customFormat="1" ht="21" customHeight="1">
      <c r="A332" s="66"/>
      <c r="B332" s="31"/>
      <c r="C332" s="31">
        <v>4040</v>
      </c>
      <c r="D332" s="9" t="s">
        <v>75</v>
      </c>
      <c r="E332" s="44">
        <v>12000</v>
      </c>
      <c r="F332" s="44"/>
      <c r="G332" s="44">
        <f>SUM(E332:F332)</f>
        <v>12000</v>
      </c>
      <c r="H332" s="44">
        <v>-2071</v>
      </c>
      <c r="I332" s="44">
        <f>SUM(G332:H332)</f>
        <v>9929</v>
      </c>
      <c r="J332" s="44"/>
      <c r="K332" s="44">
        <f>SUM(I332:J332)</f>
        <v>9929</v>
      </c>
      <c r="L332" s="44"/>
      <c r="M332" s="44">
        <f t="shared" si="248"/>
        <v>9929</v>
      </c>
      <c r="N332" s="44"/>
      <c r="O332" s="44">
        <f t="shared" si="249"/>
        <v>9929</v>
      </c>
      <c r="P332" s="44"/>
      <c r="Q332" s="44">
        <f t="shared" si="250"/>
        <v>9929</v>
      </c>
      <c r="R332" s="44"/>
      <c r="S332" s="44">
        <f t="shared" si="251"/>
        <v>9929</v>
      </c>
      <c r="T332" s="44"/>
      <c r="U332" s="44">
        <f t="shared" si="252"/>
        <v>9929</v>
      </c>
      <c r="V332" s="44"/>
      <c r="W332" s="44">
        <f t="shared" si="253"/>
        <v>9929</v>
      </c>
      <c r="X332" s="44"/>
      <c r="Y332" s="44">
        <f t="shared" si="254"/>
        <v>9929</v>
      </c>
      <c r="Z332" s="44"/>
      <c r="AA332" s="53">
        <f t="shared" si="192"/>
        <v>9929</v>
      </c>
      <c r="AB332" s="44"/>
      <c r="AC332" s="53">
        <f t="shared" si="193"/>
        <v>9929</v>
      </c>
      <c r="AD332" s="44"/>
      <c r="AE332" s="53">
        <f t="shared" si="190"/>
        <v>9929</v>
      </c>
      <c r="AF332" s="44"/>
      <c r="AG332" s="53">
        <f t="shared" si="245"/>
        <v>9929</v>
      </c>
      <c r="AH332" s="44"/>
      <c r="AI332" s="53">
        <f t="shared" si="246"/>
        <v>9929</v>
      </c>
      <c r="AJ332" s="44"/>
      <c r="AK332" s="53">
        <f t="shared" si="247"/>
        <v>9929</v>
      </c>
      <c r="AL332" s="75"/>
      <c r="AM332" s="75"/>
    </row>
    <row r="333" spans="1:39" s="15" customFormat="1" ht="21" customHeight="1">
      <c r="A333" s="66"/>
      <c r="B333" s="31"/>
      <c r="C333" s="31">
        <v>4110</v>
      </c>
      <c r="D333" s="9" t="s">
        <v>76</v>
      </c>
      <c r="E333" s="44">
        <f>25600+47700</f>
        <v>73300</v>
      </c>
      <c r="F333" s="44"/>
      <c r="G333" s="44">
        <f>SUM(E333:F333)</f>
        <v>73300</v>
      </c>
      <c r="H333" s="44"/>
      <c r="I333" s="44">
        <f>SUM(G333:H333)</f>
        <v>73300</v>
      </c>
      <c r="J333" s="44"/>
      <c r="K333" s="44">
        <f>SUM(I333:J333)</f>
        <v>73300</v>
      </c>
      <c r="L333" s="44"/>
      <c r="M333" s="44">
        <f t="shared" si="248"/>
        <v>73300</v>
      </c>
      <c r="N333" s="44"/>
      <c r="O333" s="44">
        <f t="shared" si="249"/>
        <v>73300</v>
      </c>
      <c r="P333" s="44"/>
      <c r="Q333" s="44">
        <f t="shared" si="250"/>
        <v>73300</v>
      </c>
      <c r="R333" s="44"/>
      <c r="S333" s="44">
        <f t="shared" si="251"/>
        <v>73300</v>
      </c>
      <c r="T333" s="44"/>
      <c r="U333" s="44">
        <f t="shared" si="252"/>
        <v>73300</v>
      </c>
      <c r="V333" s="44"/>
      <c r="W333" s="44">
        <f t="shared" si="253"/>
        <v>73300</v>
      </c>
      <c r="X333" s="44"/>
      <c r="Y333" s="44">
        <f t="shared" si="254"/>
        <v>73300</v>
      </c>
      <c r="Z333" s="44"/>
      <c r="AA333" s="53">
        <f t="shared" si="192"/>
        <v>73300</v>
      </c>
      <c r="AB333" s="44"/>
      <c r="AC333" s="53">
        <f t="shared" si="193"/>
        <v>73300</v>
      </c>
      <c r="AD333" s="44"/>
      <c r="AE333" s="53">
        <f t="shared" si="190"/>
        <v>73300</v>
      </c>
      <c r="AF333" s="44"/>
      <c r="AG333" s="53">
        <f t="shared" si="245"/>
        <v>73300</v>
      </c>
      <c r="AH333" s="44"/>
      <c r="AI333" s="53">
        <f t="shared" si="246"/>
        <v>73300</v>
      </c>
      <c r="AJ333" s="44"/>
      <c r="AK333" s="53">
        <f t="shared" si="247"/>
        <v>73300</v>
      </c>
      <c r="AL333" s="75"/>
      <c r="AM333" s="75"/>
    </row>
    <row r="334" spans="1:39" s="15" customFormat="1" ht="21" customHeight="1">
      <c r="A334" s="66"/>
      <c r="B334" s="31"/>
      <c r="C334" s="31">
        <v>4120</v>
      </c>
      <c r="D334" s="9" t="s">
        <v>77</v>
      </c>
      <c r="E334" s="44">
        <v>3600</v>
      </c>
      <c r="F334" s="44"/>
      <c r="G334" s="44">
        <f>SUM(E334:F334)</f>
        <v>3600</v>
      </c>
      <c r="H334" s="44"/>
      <c r="I334" s="44">
        <f>SUM(G334:H334)</f>
        <v>3600</v>
      </c>
      <c r="J334" s="44"/>
      <c r="K334" s="44">
        <f>SUM(I334:J334)</f>
        <v>3600</v>
      </c>
      <c r="L334" s="44"/>
      <c r="M334" s="44">
        <f t="shared" si="248"/>
        <v>3600</v>
      </c>
      <c r="N334" s="44"/>
      <c r="O334" s="44">
        <f t="shared" si="249"/>
        <v>3600</v>
      </c>
      <c r="P334" s="44"/>
      <c r="Q334" s="44">
        <f t="shared" si="250"/>
        <v>3600</v>
      </c>
      <c r="R334" s="44"/>
      <c r="S334" s="44">
        <f t="shared" si="251"/>
        <v>3600</v>
      </c>
      <c r="T334" s="44"/>
      <c r="U334" s="44">
        <f t="shared" si="252"/>
        <v>3600</v>
      </c>
      <c r="V334" s="44"/>
      <c r="W334" s="44">
        <f t="shared" si="253"/>
        <v>3600</v>
      </c>
      <c r="X334" s="44"/>
      <c r="Y334" s="44">
        <f t="shared" si="254"/>
        <v>3600</v>
      </c>
      <c r="Z334" s="44"/>
      <c r="AA334" s="53">
        <f t="shared" si="192"/>
        <v>3600</v>
      </c>
      <c r="AB334" s="44"/>
      <c r="AC334" s="53">
        <f t="shared" si="193"/>
        <v>3600</v>
      </c>
      <c r="AD334" s="44"/>
      <c r="AE334" s="53">
        <f t="shared" si="190"/>
        <v>3600</v>
      </c>
      <c r="AF334" s="44"/>
      <c r="AG334" s="53">
        <f t="shared" si="245"/>
        <v>3600</v>
      </c>
      <c r="AH334" s="44"/>
      <c r="AI334" s="53">
        <f t="shared" si="246"/>
        <v>3600</v>
      </c>
      <c r="AJ334" s="44"/>
      <c r="AK334" s="53">
        <f t="shared" si="247"/>
        <v>3600</v>
      </c>
      <c r="AL334" s="75"/>
      <c r="AM334" s="75"/>
    </row>
    <row r="335" spans="1:39" s="15" customFormat="1" ht="21" customHeight="1">
      <c r="A335" s="66"/>
      <c r="B335" s="50"/>
      <c r="C335" s="31">
        <v>4210</v>
      </c>
      <c r="D335" s="27" t="s">
        <v>82</v>
      </c>
      <c r="E335" s="44"/>
      <c r="F335" s="44"/>
      <c r="G335" s="44"/>
      <c r="H335" s="44"/>
      <c r="I335" s="44"/>
      <c r="J335" s="44"/>
      <c r="K335" s="44">
        <v>0</v>
      </c>
      <c r="L335" s="44">
        <v>4416</v>
      </c>
      <c r="M335" s="44">
        <f t="shared" si="248"/>
        <v>4416</v>
      </c>
      <c r="N335" s="44"/>
      <c r="O335" s="44">
        <f t="shared" si="249"/>
        <v>4416</v>
      </c>
      <c r="P335" s="44"/>
      <c r="Q335" s="44">
        <f t="shared" si="250"/>
        <v>4416</v>
      </c>
      <c r="R335" s="44"/>
      <c r="S335" s="44">
        <f t="shared" si="251"/>
        <v>4416</v>
      </c>
      <c r="T335" s="44"/>
      <c r="U335" s="44">
        <f t="shared" si="252"/>
        <v>4416</v>
      </c>
      <c r="V335" s="44"/>
      <c r="W335" s="44">
        <f t="shared" si="253"/>
        <v>4416</v>
      </c>
      <c r="X335" s="44">
        <v>43500</v>
      </c>
      <c r="Y335" s="44">
        <f t="shared" si="254"/>
        <v>47916</v>
      </c>
      <c r="Z335" s="44">
        <v>-15500</v>
      </c>
      <c r="AA335" s="53">
        <f t="shared" si="192"/>
        <v>32416</v>
      </c>
      <c r="AB335" s="44">
        <v>7000</v>
      </c>
      <c r="AC335" s="53">
        <f t="shared" si="193"/>
        <v>39416</v>
      </c>
      <c r="AD335" s="44">
        <f>3075+8000</f>
        <v>11075</v>
      </c>
      <c r="AE335" s="53">
        <f t="shared" si="190"/>
        <v>50491</v>
      </c>
      <c r="AF335" s="44"/>
      <c r="AG335" s="53">
        <f t="shared" si="245"/>
        <v>50491</v>
      </c>
      <c r="AH335" s="44"/>
      <c r="AI335" s="53">
        <f t="shared" si="246"/>
        <v>50491</v>
      </c>
      <c r="AJ335" s="44">
        <f>-774-5585</f>
        <v>-6359</v>
      </c>
      <c r="AK335" s="53">
        <f t="shared" si="247"/>
        <v>44132</v>
      </c>
      <c r="AL335" s="75"/>
      <c r="AM335" s="75"/>
    </row>
    <row r="336" spans="1:39" s="15" customFormat="1" ht="21" customHeight="1">
      <c r="A336" s="66"/>
      <c r="B336" s="50"/>
      <c r="C336" s="31">
        <v>4260</v>
      </c>
      <c r="D336" s="27" t="s">
        <v>85</v>
      </c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53"/>
      <c r="AB336" s="44"/>
      <c r="AC336" s="53">
        <v>0</v>
      </c>
      <c r="AD336" s="44">
        <v>3000</v>
      </c>
      <c r="AE336" s="53">
        <f t="shared" si="190"/>
        <v>3000</v>
      </c>
      <c r="AF336" s="44"/>
      <c r="AG336" s="53">
        <f t="shared" si="245"/>
        <v>3000</v>
      </c>
      <c r="AH336" s="44"/>
      <c r="AI336" s="53">
        <f t="shared" si="246"/>
        <v>3000</v>
      </c>
      <c r="AJ336" s="44">
        <v>500</v>
      </c>
      <c r="AK336" s="53">
        <f t="shared" si="247"/>
        <v>3500</v>
      </c>
      <c r="AL336" s="75"/>
      <c r="AM336" s="75"/>
    </row>
    <row r="337" spans="1:39" s="15" customFormat="1" ht="21" customHeight="1">
      <c r="A337" s="66"/>
      <c r="B337" s="50"/>
      <c r="C337" s="31">
        <v>4270</v>
      </c>
      <c r="D337" s="27" t="s">
        <v>68</v>
      </c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53"/>
      <c r="AB337" s="44"/>
      <c r="AC337" s="53">
        <v>0</v>
      </c>
      <c r="AD337" s="44">
        <v>2000</v>
      </c>
      <c r="AE337" s="53">
        <f t="shared" si="190"/>
        <v>2000</v>
      </c>
      <c r="AF337" s="44"/>
      <c r="AG337" s="53">
        <f t="shared" si="245"/>
        <v>2000</v>
      </c>
      <c r="AH337" s="44"/>
      <c r="AI337" s="53">
        <f t="shared" si="246"/>
        <v>2000</v>
      </c>
      <c r="AJ337" s="44"/>
      <c r="AK337" s="53">
        <f t="shared" si="247"/>
        <v>2000</v>
      </c>
      <c r="AL337" s="75"/>
      <c r="AM337" s="75"/>
    </row>
    <row r="338" spans="1:39" s="15" customFormat="1" ht="21" customHeight="1">
      <c r="A338" s="66"/>
      <c r="B338" s="50"/>
      <c r="C338" s="31">
        <v>4280</v>
      </c>
      <c r="D338" s="27" t="s">
        <v>166</v>
      </c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53"/>
      <c r="AB338" s="44"/>
      <c r="AC338" s="53">
        <v>0</v>
      </c>
      <c r="AD338" s="44">
        <v>1000</v>
      </c>
      <c r="AE338" s="53">
        <f t="shared" si="190"/>
        <v>1000</v>
      </c>
      <c r="AF338" s="44"/>
      <c r="AG338" s="53">
        <f t="shared" si="245"/>
        <v>1000</v>
      </c>
      <c r="AH338" s="44"/>
      <c r="AI338" s="53">
        <f t="shared" si="246"/>
        <v>1000</v>
      </c>
      <c r="AJ338" s="44"/>
      <c r="AK338" s="53">
        <f t="shared" si="247"/>
        <v>1000</v>
      </c>
      <c r="AL338" s="75"/>
      <c r="AM338" s="75"/>
    </row>
    <row r="339" spans="1:39" s="15" customFormat="1" ht="21" customHeight="1">
      <c r="A339" s="66"/>
      <c r="B339" s="50"/>
      <c r="C339" s="31">
        <v>4300</v>
      </c>
      <c r="D339" s="27" t="s">
        <v>69</v>
      </c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53"/>
      <c r="AB339" s="44"/>
      <c r="AC339" s="53">
        <v>0</v>
      </c>
      <c r="AD339" s="44">
        <v>8000</v>
      </c>
      <c r="AE339" s="53">
        <f t="shared" si="190"/>
        <v>8000</v>
      </c>
      <c r="AF339" s="44"/>
      <c r="AG339" s="53">
        <f t="shared" si="245"/>
        <v>8000</v>
      </c>
      <c r="AH339" s="44"/>
      <c r="AI339" s="53">
        <f t="shared" si="246"/>
        <v>8000</v>
      </c>
      <c r="AJ339" s="44">
        <f>1866-4000</f>
        <v>-2134</v>
      </c>
      <c r="AK339" s="53">
        <f t="shared" si="247"/>
        <v>5866</v>
      </c>
      <c r="AL339" s="75"/>
      <c r="AM339" s="75"/>
    </row>
    <row r="340" spans="1:39" s="15" customFormat="1" ht="21" customHeight="1">
      <c r="A340" s="66"/>
      <c r="B340" s="50"/>
      <c r="C340" s="31">
        <v>4350</v>
      </c>
      <c r="D340" s="27" t="s">
        <v>182</v>
      </c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53"/>
      <c r="AB340" s="44"/>
      <c r="AC340" s="53">
        <v>0</v>
      </c>
      <c r="AD340" s="44">
        <v>1500</v>
      </c>
      <c r="AE340" s="53">
        <f t="shared" si="190"/>
        <v>1500</v>
      </c>
      <c r="AF340" s="44"/>
      <c r="AG340" s="53">
        <f t="shared" si="245"/>
        <v>1500</v>
      </c>
      <c r="AH340" s="44"/>
      <c r="AI340" s="53">
        <f t="shared" si="246"/>
        <v>1500</v>
      </c>
      <c r="AJ340" s="44">
        <v>976</v>
      </c>
      <c r="AK340" s="53">
        <f t="shared" si="247"/>
        <v>2476</v>
      </c>
      <c r="AL340" s="75"/>
      <c r="AM340" s="75"/>
    </row>
    <row r="341" spans="1:39" s="15" customFormat="1" ht="21" customHeight="1">
      <c r="A341" s="66"/>
      <c r="B341" s="50"/>
      <c r="C341" s="31">
        <v>4360</v>
      </c>
      <c r="D341" s="27" t="s">
        <v>195</v>
      </c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53"/>
      <c r="AB341" s="44"/>
      <c r="AC341" s="53">
        <v>0</v>
      </c>
      <c r="AD341" s="44">
        <v>1500</v>
      </c>
      <c r="AE341" s="53">
        <f t="shared" si="190"/>
        <v>1500</v>
      </c>
      <c r="AF341" s="44"/>
      <c r="AG341" s="53">
        <f t="shared" si="245"/>
        <v>1500</v>
      </c>
      <c r="AH341" s="44"/>
      <c r="AI341" s="53">
        <f t="shared" si="246"/>
        <v>1500</v>
      </c>
      <c r="AJ341" s="44">
        <v>800</v>
      </c>
      <c r="AK341" s="53">
        <f t="shared" si="247"/>
        <v>2300</v>
      </c>
      <c r="AL341" s="75"/>
      <c r="AM341" s="75"/>
    </row>
    <row r="342" spans="1:39" s="15" customFormat="1" ht="24">
      <c r="A342" s="66"/>
      <c r="B342" s="50"/>
      <c r="C342" s="31">
        <v>4370</v>
      </c>
      <c r="D342" s="9" t="s">
        <v>188</v>
      </c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53"/>
      <c r="AB342" s="44"/>
      <c r="AC342" s="53"/>
      <c r="AD342" s="44"/>
      <c r="AE342" s="53"/>
      <c r="AF342" s="44"/>
      <c r="AG342" s="53"/>
      <c r="AH342" s="44"/>
      <c r="AI342" s="53">
        <v>0</v>
      </c>
      <c r="AJ342" s="44">
        <f>2400+1000</f>
        <v>3400</v>
      </c>
      <c r="AK342" s="53">
        <f t="shared" si="247"/>
        <v>3400</v>
      </c>
      <c r="AL342" s="75"/>
      <c r="AM342" s="75"/>
    </row>
    <row r="343" spans="1:39" s="15" customFormat="1" ht="21" customHeight="1">
      <c r="A343" s="66"/>
      <c r="B343" s="50"/>
      <c r="C343" s="31">
        <v>4410</v>
      </c>
      <c r="D343" s="27" t="s">
        <v>80</v>
      </c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>
        <v>0</v>
      </c>
      <c r="Z343" s="44">
        <v>1000</v>
      </c>
      <c r="AA343" s="53">
        <f t="shared" si="192"/>
        <v>1000</v>
      </c>
      <c r="AB343" s="44"/>
      <c r="AC343" s="53">
        <f t="shared" si="193"/>
        <v>1000</v>
      </c>
      <c r="AD343" s="44">
        <v>3000</v>
      </c>
      <c r="AE343" s="53">
        <f t="shared" si="190"/>
        <v>4000</v>
      </c>
      <c r="AF343" s="44"/>
      <c r="AG343" s="53">
        <f t="shared" si="245"/>
        <v>4000</v>
      </c>
      <c r="AH343" s="44"/>
      <c r="AI343" s="53">
        <f t="shared" si="246"/>
        <v>4000</v>
      </c>
      <c r="AJ343" s="44">
        <f>368+1000</f>
        <v>1368</v>
      </c>
      <c r="AK343" s="53">
        <f t="shared" si="247"/>
        <v>5368</v>
      </c>
      <c r="AL343" s="75"/>
      <c r="AM343" s="75"/>
    </row>
    <row r="344" spans="1:39" s="15" customFormat="1" ht="21" customHeight="1">
      <c r="A344" s="66"/>
      <c r="B344" s="50"/>
      <c r="C344" s="31">
        <v>4430</v>
      </c>
      <c r="D344" s="27" t="s">
        <v>84</v>
      </c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53"/>
      <c r="AB344" s="44"/>
      <c r="AC344" s="53">
        <v>0</v>
      </c>
      <c r="AD344" s="44">
        <v>1000</v>
      </c>
      <c r="AE344" s="53">
        <f t="shared" si="190"/>
        <v>1000</v>
      </c>
      <c r="AF344" s="44"/>
      <c r="AG344" s="53">
        <f t="shared" si="245"/>
        <v>1000</v>
      </c>
      <c r="AH344" s="44"/>
      <c r="AI344" s="53">
        <f t="shared" si="246"/>
        <v>1000</v>
      </c>
      <c r="AJ344" s="44">
        <v>2500</v>
      </c>
      <c r="AK344" s="53">
        <f t="shared" si="247"/>
        <v>3500</v>
      </c>
      <c r="AL344" s="75"/>
      <c r="AM344" s="75"/>
    </row>
    <row r="345" spans="1:39" s="15" customFormat="1" ht="21" customHeight="1">
      <c r="A345" s="66"/>
      <c r="B345" s="50"/>
      <c r="C345" s="31">
        <v>4440</v>
      </c>
      <c r="D345" s="9" t="s">
        <v>78</v>
      </c>
      <c r="E345" s="44">
        <v>4125</v>
      </c>
      <c r="F345" s="44"/>
      <c r="G345" s="44">
        <f>SUM(E345:F345)</f>
        <v>4125</v>
      </c>
      <c r="H345" s="44"/>
      <c r="I345" s="44">
        <f>SUM(G345:H345)</f>
        <v>4125</v>
      </c>
      <c r="J345" s="44"/>
      <c r="K345" s="44">
        <f>SUM(I345:J345)</f>
        <v>4125</v>
      </c>
      <c r="L345" s="44"/>
      <c r="M345" s="44">
        <f>SUM(K345:L345)</f>
        <v>4125</v>
      </c>
      <c r="N345" s="44"/>
      <c r="O345" s="44">
        <f>SUM(M345:N345)</f>
        <v>4125</v>
      </c>
      <c r="P345" s="44"/>
      <c r="Q345" s="44">
        <f>SUM(O345:P345)</f>
        <v>4125</v>
      </c>
      <c r="R345" s="44"/>
      <c r="S345" s="44">
        <f>SUM(Q345:R345)</f>
        <v>4125</v>
      </c>
      <c r="T345" s="44"/>
      <c r="U345" s="44">
        <f>SUM(S345:T345)</f>
        <v>4125</v>
      </c>
      <c r="V345" s="44"/>
      <c r="W345" s="44">
        <f>SUM(U345:V345)</f>
        <v>4125</v>
      </c>
      <c r="X345" s="44"/>
      <c r="Y345" s="44">
        <f>SUM(W345:X345)</f>
        <v>4125</v>
      </c>
      <c r="Z345" s="44"/>
      <c r="AA345" s="53">
        <f t="shared" si="192"/>
        <v>4125</v>
      </c>
      <c r="AB345" s="44"/>
      <c r="AC345" s="53">
        <f t="shared" si="193"/>
        <v>4125</v>
      </c>
      <c r="AD345" s="44"/>
      <c r="AE345" s="53">
        <f t="shared" si="190"/>
        <v>4125</v>
      </c>
      <c r="AF345" s="44"/>
      <c r="AG345" s="53">
        <f t="shared" si="245"/>
        <v>4125</v>
      </c>
      <c r="AH345" s="44"/>
      <c r="AI345" s="53">
        <f t="shared" si="246"/>
        <v>4125</v>
      </c>
      <c r="AJ345" s="44">
        <v>409</v>
      </c>
      <c r="AK345" s="53">
        <f t="shared" si="247"/>
        <v>4534</v>
      </c>
      <c r="AL345" s="75"/>
      <c r="AM345" s="75"/>
    </row>
    <row r="346" spans="1:39" s="15" customFormat="1" ht="21" customHeight="1">
      <c r="A346" s="66"/>
      <c r="B346" s="50"/>
      <c r="C346" s="31">
        <v>4580</v>
      </c>
      <c r="D346" s="27" t="s">
        <v>20</v>
      </c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53"/>
      <c r="AB346" s="44"/>
      <c r="AC346" s="53">
        <v>0</v>
      </c>
      <c r="AD346" s="44">
        <v>300</v>
      </c>
      <c r="AE346" s="53">
        <f t="shared" si="190"/>
        <v>300</v>
      </c>
      <c r="AF346" s="44"/>
      <c r="AG346" s="53">
        <f t="shared" si="245"/>
        <v>300</v>
      </c>
      <c r="AH346" s="44"/>
      <c r="AI346" s="53">
        <f t="shared" si="246"/>
        <v>300</v>
      </c>
      <c r="AJ346" s="44"/>
      <c r="AK346" s="53">
        <f t="shared" si="247"/>
        <v>300</v>
      </c>
      <c r="AL346" s="75"/>
      <c r="AM346" s="75"/>
    </row>
    <row r="347" spans="1:39" s="15" customFormat="1" ht="21" customHeight="1">
      <c r="A347" s="66"/>
      <c r="B347" s="50"/>
      <c r="C347" s="31">
        <v>4700</v>
      </c>
      <c r="D347" s="27" t="s">
        <v>233</v>
      </c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>
        <v>0</v>
      </c>
      <c r="Z347" s="44">
        <v>2000</v>
      </c>
      <c r="AA347" s="53">
        <f t="shared" si="192"/>
        <v>2000</v>
      </c>
      <c r="AB347" s="44"/>
      <c r="AC347" s="53">
        <f t="shared" si="193"/>
        <v>2000</v>
      </c>
      <c r="AD347" s="44">
        <v>3000</v>
      </c>
      <c r="AE347" s="53">
        <f aca="true" t="shared" si="255" ref="AE347:AE388">SUM(AC347:AD347)</f>
        <v>5000</v>
      </c>
      <c r="AF347" s="44"/>
      <c r="AG347" s="53">
        <f t="shared" si="245"/>
        <v>5000</v>
      </c>
      <c r="AH347" s="44"/>
      <c r="AI347" s="53">
        <f t="shared" si="246"/>
        <v>5000</v>
      </c>
      <c r="AJ347" s="44">
        <v>-1460</v>
      </c>
      <c r="AK347" s="53">
        <f t="shared" si="247"/>
        <v>3540</v>
      </c>
      <c r="AL347" s="75"/>
      <c r="AM347" s="75"/>
    </row>
    <row r="348" spans="1:39" s="15" customFormat="1" ht="21" customHeight="1">
      <c r="A348" s="66"/>
      <c r="B348" s="50"/>
      <c r="C348" s="31">
        <v>4740</v>
      </c>
      <c r="D348" s="9" t="s">
        <v>189</v>
      </c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>
        <v>0</v>
      </c>
      <c r="Z348" s="44">
        <v>5000</v>
      </c>
      <c r="AA348" s="53">
        <f aca="true" t="shared" si="256" ref="AA348:AA418">SUM(Y348:Z348)</f>
        <v>5000</v>
      </c>
      <c r="AB348" s="44">
        <v>-2000</v>
      </c>
      <c r="AC348" s="53">
        <f aca="true" t="shared" si="257" ref="AC348:AC418">SUM(AA348:AB348)</f>
        <v>3000</v>
      </c>
      <c r="AD348" s="44">
        <v>3000</v>
      </c>
      <c r="AE348" s="53">
        <f t="shared" si="255"/>
        <v>6000</v>
      </c>
      <c r="AF348" s="44"/>
      <c r="AG348" s="53">
        <f t="shared" si="245"/>
        <v>6000</v>
      </c>
      <c r="AH348" s="44"/>
      <c r="AI348" s="53">
        <f t="shared" si="246"/>
        <v>6000</v>
      </c>
      <c r="AJ348" s="44"/>
      <c r="AK348" s="53">
        <f t="shared" si="247"/>
        <v>6000</v>
      </c>
      <c r="AL348" s="75"/>
      <c r="AM348" s="75"/>
    </row>
    <row r="349" spans="1:39" s="15" customFormat="1" ht="21" customHeight="1">
      <c r="A349" s="66"/>
      <c r="B349" s="50"/>
      <c r="C349" s="31">
        <v>4750</v>
      </c>
      <c r="D349" s="9" t="s">
        <v>270</v>
      </c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>
        <v>0</v>
      </c>
      <c r="Z349" s="44">
        <v>7500</v>
      </c>
      <c r="AA349" s="53">
        <f t="shared" si="256"/>
        <v>7500</v>
      </c>
      <c r="AB349" s="44">
        <v>-5000</v>
      </c>
      <c r="AC349" s="53">
        <f t="shared" si="257"/>
        <v>2500</v>
      </c>
      <c r="AD349" s="44">
        <v>3000</v>
      </c>
      <c r="AE349" s="53">
        <f t="shared" si="255"/>
        <v>5500</v>
      </c>
      <c r="AF349" s="44"/>
      <c r="AG349" s="53">
        <f t="shared" si="245"/>
        <v>5500</v>
      </c>
      <c r="AH349" s="44"/>
      <c r="AI349" s="53">
        <f t="shared" si="246"/>
        <v>5500</v>
      </c>
      <c r="AJ349" s="44"/>
      <c r="AK349" s="53">
        <f t="shared" si="247"/>
        <v>5500</v>
      </c>
      <c r="AL349" s="75"/>
      <c r="AM349" s="75"/>
    </row>
    <row r="350" spans="1:41" s="15" customFormat="1" ht="21" customHeight="1">
      <c r="A350" s="66"/>
      <c r="B350" s="50"/>
      <c r="C350" s="31">
        <v>6060</v>
      </c>
      <c r="D350" s="27" t="s">
        <v>86</v>
      </c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>
        <v>0</v>
      </c>
      <c r="X350" s="44">
        <v>9000</v>
      </c>
      <c r="Y350" s="44">
        <f>SUM(W350:X350)</f>
        <v>9000</v>
      </c>
      <c r="Z350" s="44"/>
      <c r="AA350" s="53">
        <f t="shared" si="256"/>
        <v>9000</v>
      </c>
      <c r="AB350" s="44"/>
      <c r="AC350" s="53">
        <f t="shared" si="257"/>
        <v>9000</v>
      </c>
      <c r="AD350" s="44"/>
      <c r="AE350" s="53">
        <f t="shared" si="255"/>
        <v>9000</v>
      </c>
      <c r="AF350" s="44"/>
      <c r="AG350" s="53">
        <f t="shared" si="245"/>
        <v>9000</v>
      </c>
      <c r="AH350" s="44"/>
      <c r="AI350" s="53">
        <f t="shared" si="246"/>
        <v>9000</v>
      </c>
      <c r="AJ350" s="44"/>
      <c r="AK350" s="53">
        <f t="shared" si="247"/>
        <v>9000</v>
      </c>
      <c r="AL350" s="75"/>
      <c r="AM350" s="75"/>
      <c r="AN350" s="75"/>
      <c r="AO350" s="75"/>
    </row>
    <row r="351" spans="1:39" s="15" customFormat="1" ht="60">
      <c r="A351" s="41"/>
      <c r="B351" s="60">
        <v>85213</v>
      </c>
      <c r="C351" s="59"/>
      <c r="D351" s="27" t="s">
        <v>239</v>
      </c>
      <c r="E351" s="53">
        <f aca="true" t="shared" si="258" ref="E351:AJ351">SUM(E352)</f>
        <v>71100</v>
      </c>
      <c r="F351" s="53">
        <f t="shared" si="258"/>
        <v>0</v>
      </c>
      <c r="G351" s="53">
        <f t="shared" si="258"/>
        <v>71100</v>
      </c>
      <c r="H351" s="53">
        <f t="shared" si="258"/>
        <v>0</v>
      </c>
      <c r="I351" s="53">
        <f t="shared" si="258"/>
        <v>71100</v>
      </c>
      <c r="J351" s="53">
        <f t="shared" si="258"/>
        <v>0</v>
      </c>
      <c r="K351" s="53">
        <f t="shared" si="258"/>
        <v>71100</v>
      </c>
      <c r="L351" s="53">
        <f t="shared" si="258"/>
        <v>0</v>
      </c>
      <c r="M351" s="53">
        <f t="shared" si="258"/>
        <v>71100</v>
      </c>
      <c r="N351" s="53">
        <f t="shared" si="258"/>
        <v>0</v>
      </c>
      <c r="O351" s="53">
        <f t="shared" si="258"/>
        <v>71100</v>
      </c>
      <c r="P351" s="53">
        <f t="shared" si="258"/>
        <v>0</v>
      </c>
      <c r="Q351" s="53">
        <f t="shared" si="258"/>
        <v>71100</v>
      </c>
      <c r="R351" s="53">
        <f t="shared" si="258"/>
        <v>0</v>
      </c>
      <c r="S351" s="53">
        <f t="shared" si="258"/>
        <v>71100</v>
      </c>
      <c r="T351" s="53">
        <f t="shared" si="258"/>
        <v>0</v>
      </c>
      <c r="U351" s="53">
        <f t="shared" si="258"/>
        <v>71100</v>
      </c>
      <c r="V351" s="53">
        <f t="shared" si="258"/>
        <v>0</v>
      </c>
      <c r="W351" s="53">
        <f t="shared" si="258"/>
        <v>71100</v>
      </c>
      <c r="X351" s="53">
        <f t="shared" si="258"/>
        <v>0</v>
      </c>
      <c r="Y351" s="53">
        <f t="shared" si="258"/>
        <v>71100</v>
      </c>
      <c r="Z351" s="53">
        <f t="shared" si="258"/>
        <v>-23300</v>
      </c>
      <c r="AA351" s="53">
        <f t="shared" si="256"/>
        <v>47800</v>
      </c>
      <c r="AB351" s="53">
        <f t="shared" si="258"/>
        <v>0</v>
      </c>
      <c r="AC351" s="53">
        <f t="shared" si="257"/>
        <v>47800</v>
      </c>
      <c r="AD351" s="53">
        <f t="shared" si="258"/>
        <v>0</v>
      </c>
      <c r="AE351" s="53">
        <f t="shared" si="255"/>
        <v>47800</v>
      </c>
      <c r="AF351" s="53">
        <f t="shared" si="258"/>
        <v>0</v>
      </c>
      <c r="AG351" s="53">
        <f t="shared" si="245"/>
        <v>47800</v>
      </c>
      <c r="AH351" s="53">
        <f t="shared" si="258"/>
        <v>0</v>
      </c>
      <c r="AI351" s="53">
        <f t="shared" si="246"/>
        <v>47800</v>
      </c>
      <c r="AJ351" s="53">
        <f t="shared" si="258"/>
        <v>0</v>
      </c>
      <c r="AK351" s="53">
        <f t="shared" si="247"/>
        <v>47800</v>
      </c>
      <c r="AL351" s="75"/>
      <c r="AM351" s="75"/>
    </row>
    <row r="352" spans="1:39" s="15" customFormat="1" ht="21" customHeight="1">
      <c r="A352" s="41"/>
      <c r="B352" s="60"/>
      <c r="C352" s="59">
        <v>4130</v>
      </c>
      <c r="D352" s="27" t="s">
        <v>113</v>
      </c>
      <c r="E352" s="53">
        <f>7800+63300</f>
        <v>71100</v>
      </c>
      <c r="F352" s="53"/>
      <c r="G352" s="53">
        <f>SUM(E352:F352)</f>
        <v>71100</v>
      </c>
      <c r="H352" s="53"/>
      <c r="I352" s="53">
        <f>SUM(G352:H352)</f>
        <v>71100</v>
      </c>
      <c r="J352" s="53"/>
      <c r="K352" s="53">
        <f>SUM(I352:J352)</f>
        <v>71100</v>
      </c>
      <c r="L352" s="53"/>
      <c r="M352" s="53">
        <f>SUM(K352:L352)</f>
        <v>71100</v>
      </c>
      <c r="N352" s="53"/>
      <c r="O352" s="53">
        <f>SUM(M352:N352)</f>
        <v>71100</v>
      </c>
      <c r="P352" s="53"/>
      <c r="Q352" s="53">
        <f>SUM(O352:P352)</f>
        <v>71100</v>
      </c>
      <c r="R352" s="53"/>
      <c r="S352" s="53">
        <f>SUM(Q352:R352)</f>
        <v>71100</v>
      </c>
      <c r="T352" s="53"/>
      <c r="U352" s="53">
        <f>SUM(S352:T352)</f>
        <v>71100</v>
      </c>
      <c r="V352" s="53"/>
      <c r="W352" s="53">
        <f>SUM(U352:V352)</f>
        <v>71100</v>
      </c>
      <c r="X352" s="53"/>
      <c r="Y352" s="53">
        <f>SUM(W352:X352)</f>
        <v>71100</v>
      </c>
      <c r="Z352" s="53">
        <v>-23300</v>
      </c>
      <c r="AA352" s="53">
        <f t="shared" si="256"/>
        <v>47800</v>
      </c>
      <c r="AB352" s="53"/>
      <c r="AC352" s="53">
        <f t="shared" si="257"/>
        <v>47800</v>
      </c>
      <c r="AD352" s="53"/>
      <c r="AE352" s="53">
        <f t="shared" si="255"/>
        <v>47800</v>
      </c>
      <c r="AF352" s="53"/>
      <c r="AG352" s="53">
        <f t="shared" si="245"/>
        <v>47800</v>
      </c>
      <c r="AH352" s="53"/>
      <c r="AI352" s="53">
        <f t="shared" si="246"/>
        <v>47800</v>
      </c>
      <c r="AJ352" s="53"/>
      <c r="AK352" s="53">
        <f t="shared" si="247"/>
        <v>47800</v>
      </c>
      <c r="AL352" s="75"/>
      <c r="AM352" s="75"/>
    </row>
    <row r="353" spans="1:39" s="15" customFormat="1" ht="24">
      <c r="A353" s="41"/>
      <c r="B353" s="55">
        <v>85214</v>
      </c>
      <c r="C353" s="59"/>
      <c r="D353" s="27" t="s">
        <v>174</v>
      </c>
      <c r="E353" s="53">
        <f aca="true" t="shared" si="259" ref="E353:Z353">SUM(E354:E355)</f>
        <v>1702401</v>
      </c>
      <c r="F353" s="53">
        <f t="shared" si="259"/>
        <v>0</v>
      </c>
      <c r="G353" s="53">
        <f t="shared" si="259"/>
        <v>1702401</v>
      </c>
      <c r="H353" s="53">
        <f t="shared" si="259"/>
        <v>0</v>
      </c>
      <c r="I353" s="53">
        <f t="shared" si="259"/>
        <v>1702401</v>
      </c>
      <c r="J353" s="53">
        <f t="shared" si="259"/>
        <v>0</v>
      </c>
      <c r="K353" s="53">
        <f t="shared" si="259"/>
        <v>1702401</v>
      </c>
      <c r="L353" s="53">
        <f t="shared" si="259"/>
        <v>18500</v>
      </c>
      <c r="M353" s="53">
        <f t="shared" si="259"/>
        <v>1720901</v>
      </c>
      <c r="N353" s="53">
        <f t="shared" si="259"/>
        <v>0</v>
      </c>
      <c r="O353" s="53">
        <f t="shared" si="259"/>
        <v>1720901</v>
      </c>
      <c r="P353" s="53">
        <f t="shared" si="259"/>
        <v>0</v>
      </c>
      <c r="Q353" s="53">
        <f t="shared" si="259"/>
        <v>1720901</v>
      </c>
      <c r="R353" s="53">
        <f t="shared" si="259"/>
        <v>0</v>
      </c>
      <c r="S353" s="53">
        <f t="shared" si="259"/>
        <v>1720901</v>
      </c>
      <c r="T353" s="53">
        <f t="shared" si="259"/>
        <v>0</v>
      </c>
      <c r="U353" s="53">
        <f t="shared" si="259"/>
        <v>1720901</v>
      </c>
      <c r="V353" s="53">
        <f t="shared" si="259"/>
        <v>0</v>
      </c>
      <c r="W353" s="53">
        <f t="shared" si="259"/>
        <v>1720901</v>
      </c>
      <c r="X353" s="53">
        <f t="shared" si="259"/>
        <v>0</v>
      </c>
      <c r="Y353" s="53">
        <f t="shared" si="259"/>
        <v>1720901</v>
      </c>
      <c r="Z353" s="53">
        <f t="shared" si="259"/>
        <v>-3000</v>
      </c>
      <c r="AA353" s="53">
        <f t="shared" si="256"/>
        <v>1717901</v>
      </c>
      <c r="AB353" s="53">
        <f>SUM(AB354:AB355)</f>
        <v>152500</v>
      </c>
      <c r="AC353" s="53">
        <f t="shared" si="257"/>
        <v>1870401</v>
      </c>
      <c r="AD353" s="53">
        <f>SUM(AD354:AD355)</f>
        <v>0</v>
      </c>
      <c r="AE353" s="53">
        <f t="shared" si="255"/>
        <v>1870401</v>
      </c>
      <c r="AF353" s="53">
        <f>SUM(AF354:AF355)</f>
        <v>0</v>
      </c>
      <c r="AG353" s="53">
        <f t="shared" si="245"/>
        <v>1870401</v>
      </c>
      <c r="AH353" s="53">
        <f>SUM(AH354:AH355)</f>
        <v>30000</v>
      </c>
      <c r="AI353" s="53">
        <f t="shared" si="246"/>
        <v>1900401</v>
      </c>
      <c r="AJ353" s="53">
        <f>SUM(AJ354:AJ355)</f>
        <v>0</v>
      </c>
      <c r="AK353" s="53">
        <f t="shared" si="247"/>
        <v>1900401</v>
      </c>
      <c r="AL353" s="75"/>
      <c r="AM353" s="75"/>
    </row>
    <row r="354" spans="1:39" s="15" customFormat="1" ht="21" customHeight="1">
      <c r="A354" s="41"/>
      <c r="B354" s="55"/>
      <c r="C354" s="59">
        <v>3110</v>
      </c>
      <c r="D354" s="27" t="s">
        <v>105</v>
      </c>
      <c r="E354" s="53">
        <f>709400+510901+482100-3000</f>
        <v>1699401</v>
      </c>
      <c r="F354" s="53"/>
      <c r="G354" s="53">
        <f>SUM(E354:F354)</f>
        <v>1699401</v>
      </c>
      <c r="H354" s="53"/>
      <c r="I354" s="53">
        <f>SUM(G354:H354)</f>
        <v>1699401</v>
      </c>
      <c r="J354" s="53"/>
      <c r="K354" s="53">
        <f>SUM(I354:J354)</f>
        <v>1699401</v>
      </c>
      <c r="L354" s="53">
        <f>7900+10600</f>
        <v>18500</v>
      </c>
      <c r="M354" s="53">
        <f>SUM(K354:L354)</f>
        <v>1717901</v>
      </c>
      <c r="N354" s="53"/>
      <c r="O354" s="53">
        <f>SUM(M354:N354)</f>
        <v>1717901</v>
      </c>
      <c r="P354" s="53"/>
      <c r="Q354" s="53">
        <f>SUM(O354:P354)</f>
        <v>1717901</v>
      </c>
      <c r="R354" s="53"/>
      <c r="S354" s="53">
        <f>SUM(Q354:R354)</f>
        <v>1717901</v>
      </c>
      <c r="T354" s="53"/>
      <c r="U354" s="53">
        <f>SUM(S354:T354)</f>
        <v>1717901</v>
      </c>
      <c r="V354" s="53"/>
      <c r="W354" s="53">
        <f>SUM(U354:V354)</f>
        <v>1717901</v>
      </c>
      <c r="X354" s="53"/>
      <c r="Y354" s="53">
        <f>SUM(W354:X354)</f>
        <v>1717901</v>
      </c>
      <c r="Z354" s="53">
        <v>-3000</v>
      </c>
      <c r="AA354" s="53">
        <f t="shared" si="256"/>
        <v>1714901</v>
      </c>
      <c r="AB354" s="53">
        <v>152500</v>
      </c>
      <c r="AC354" s="53">
        <f t="shared" si="257"/>
        <v>1867401</v>
      </c>
      <c r="AD354" s="53">
        <v>1925</v>
      </c>
      <c r="AE354" s="53">
        <f t="shared" si="255"/>
        <v>1869326</v>
      </c>
      <c r="AF354" s="53"/>
      <c r="AG354" s="53">
        <f t="shared" si="245"/>
        <v>1869326</v>
      </c>
      <c r="AH354" s="53">
        <v>30000</v>
      </c>
      <c r="AI354" s="53">
        <f t="shared" si="246"/>
        <v>1899326</v>
      </c>
      <c r="AJ354" s="53"/>
      <c r="AK354" s="53">
        <f t="shared" si="247"/>
        <v>1899326</v>
      </c>
      <c r="AL354" s="75"/>
      <c r="AM354" s="75"/>
    </row>
    <row r="355" spans="1:39" s="15" customFormat="1" ht="21" customHeight="1">
      <c r="A355" s="41"/>
      <c r="B355" s="55"/>
      <c r="C355" s="31">
        <v>4110</v>
      </c>
      <c r="D355" s="9" t="s">
        <v>76</v>
      </c>
      <c r="E355" s="53">
        <v>3000</v>
      </c>
      <c r="F355" s="53"/>
      <c r="G355" s="53">
        <f>SUM(E355:F355)</f>
        <v>3000</v>
      </c>
      <c r="H355" s="53"/>
      <c r="I355" s="53">
        <f>SUM(G355:H355)</f>
        <v>3000</v>
      </c>
      <c r="J355" s="53"/>
      <c r="K355" s="53">
        <f>SUM(I355:J355)</f>
        <v>3000</v>
      </c>
      <c r="L355" s="53"/>
      <c r="M355" s="53">
        <f>SUM(K355:L355)</f>
        <v>3000</v>
      </c>
      <c r="N355" s="53"/>
      <c r="O355" s="53">
        <f>SUM(M355:N355)</f>
        <v>3000</v>
      </c>
      <c r="P355" s="53"/>
      <c r="Q355" s="53">
        <f>SUM(O355:P355)</f>
        <v>3000</v>
      </c>
      <c r="R355" s="53"/>
      <c r="S355" s="53">
        <f>SUM(Q355:R355)</f>
        <v>3000</v>
      </c>
      <c r="T355" s="53"/>
      <c r="U355" s="53">
        <f>SUM(S355:T355)</f>
        <v>3000</v>
      </c>
      <c r="V355" s="53"/>
      <c r="W355" s="53">
        <f>SUM(U355:V355)</f>
        <v>3000</v>
      </c>
      <c r="X355" s="53"/>
      <c r="Y355" s="53">
        <f>SUM(W355:X355)</f>
        <v>3000</v>
      </c>
      <c r="Z355" s="53"/>
      <c r="AA355" s="53">
        <f t="shared" si="256"/>
        <v>3000</v>
      </c>
      <c r="AB355" s="53"/>
      <c r="AC355" s="53">
        <f t="shared" si="257"/>
        <v>3000</v>
      </c>
      <c r="AD355" s="53">
        <v>-1925</v>
      </c>
      <c r="AE355" s="53">
        <f t="shared" si="255"/>
        <v>1075</v>
      </c>
      <c r="AF355" s="53"/>
      <c r="AG355" s="53">
        <f t="shared" si="245"/>
        <v>1075</v>
      </c>
      <c r="AH355" s="53"/>
      <c r="AI355" s="53">
        <f t="shared" si="246"/>
        <v>1075</v>
      </c>
      <c r="AJ355" s="53"/>
      <c r="AK355" s="53">
        <f t="shared" si="247"/>
        <v>1075</v>
      </c>
      <c r="AL355" s="75"/>
      <c r="AM355" s="75"/>
    </row>
    <row r="356" spans="1:39" s="15" customFormat="1" ht="21.75" customHeight="1">
      <c r="A356" s="41"/>
      <c r="B356" s="55">
        <v>85215</v>
      </c>
      <c r="C356" s="59"/>
      <c r="D356" s="27" t="s">
        <v>47</v>
      </c>
      <c r="E356" s="53">
        <f aca="true" t="shared" si="260" ref="E356:AJ356">SUM(E357)</f>
        <v>1250000</v>
      </c>
      <c r="F356" s="53">
        <f t="shared" si="260"/>
        <v>0</v>
      </c>
      <c r="G356" s="53">
        <f t="shared" si="260"/>
        <v>1250000</v>
      </c>
      <c r="H356" s="53">
        <f t="shared" si="260"/>
        <v>0</v>
      </c>
      <c r="I356" s="53">
        <f t="shared" si="260"/>
        <v>1250000</v>
      </c>
      <c r="J356" s="53">
        <f t="shared" si="260"/>
        <v>0</v>
      </c>
      <c r="K356" s="53">
        <f t="shared" si="260"/>
        <v>1250000</v>
      </c>
      <c r="L356" s="53">
        <f t="shared" si="260"/>
        <v>0</v>
      </c>
      <c r="M356" s="53">
        <f t="shared" si="260"/>
        <v>1250000</v>
      </c>
      <c r="N356" s="53">
        <f t="shared" si="260"/>
        <v>0</v>
      </c>
      <c r="O356" s="53">
        <f t="shared" si="260"/>
        <v>1250000</v>
      </c>
      <c r="P356" s="53">
        <f t="shared" si="260"/>
        <v>0</v>
      </c>
      <c r="Q356" s="53">
        <f t="shared" si="260"/>
        <v>1250000</v>
      </c>
      <c r="R356" s="53">
        <f t="shared" si="260"/>
        <v>0</v>
      </c>
      <c r="S356" s="53">
        <f t="shared" si="260"/>
        <v>1250000</v>
      </c>
      <c r="T356" s="53">
        <f t="shared" si="260"/>
        <v>0</v>
      </c>
      <c r="U356" s="53">
        <f t="shared" si="260"/>
        <v>1250000</v>
      </c>
      <c r="V356" s="53">
        <f t="shared" si="260"/>
        <v>0</v>
      </c>
      <c r="W356" s="53">
        <f t="shared" si="260"/>
        <v>1250000</v>
      </c>
      <c r="X356" s="53">
        <f t="shared" si="260"/>
        <v>-212000</v>
      </c>
      <c r="Y356" s="53">
        <f t="shared" si="260"/>
        <v>1038000</v>
      </c>
      <c r="Z356" s="53">
        <f t="shared" si="260"/>
        <v>0</v>
      </c>
      <c r="AA356" s="53">
        <f t="shared" si="256"/>
        <v>1038000</v>
      </c>
      <c r="AB356" s="53">
        <f t="shared" si="260"/>
        <v>0</v>
      </c>
      <c r="AC356" s="53">
        <f t="shared" si="257"/>
        <v>1038000</v>
      </c>
      <c r="AD356" s="53">
        <f t="shared" si="260"/>
        <v>-170000</v>
      </c>
      <c r="AE356" s="53">
        <f t="shared" si="255"/>
        <v>868000</v>
      </c>
      <c r="AF356" s="53">
        <f t="shared" si="260"/>
        <v>0</v>
      </c>
      <c r="AG356" s="53">
        <f t="shared" si="245"/>
        <v>868000</v>
      </c>
      <c r="AH356" s="53">
        <f t="shared" si="260"/>
        <v>0</v>
      </c>
      <c r="AI356" s="53">
        <f t="shared" si="246"/>
        <v>868000</v>
      </c>
      <c r="AJ356" s="53">
        <f t="shared" si="260"/>
        <v>0</v>
      </c>
      <c r="AK356" s="53">
        <f t="shared" si="247"/>
        <v>868000</v>
      </c>
      <c r="AL356" s="75"/>
      <c r="AM356" s="75"/>
    </row>
    <row r="357" spans="1:39" s="15" customFormat="1" ht="21" customHeight="1">
      <c r="A357" s="41"/>
      <c r="B357" s="55"/>
      <c r="C357" s="59">
        <v>3110</v>
      </c>
      <c r="D357" s="27" t="s">
        <v>105</v>
      </c>
      <c r="E357" s="53">
        <v>1250000</v>
      </c>
      <c r="F357" s="53"/>
      <c r="G357" s="53">
        <f>SUM(E357:F357)</f>
        <v>1250000</v>
      </c>
      <c r="H357" s="53"/>
      <c r="I357" s="53">
        <f>SUM(G357:H357)</f>
        <v>1250000</v>
      </c>
      <c r="J357" s="53"/>
      <c r="K357" s="53">
        <f>SUM(I357:J357)</f>
        <v>1250000</v>
      </c>
      <c r="L357" s="53"/>
      <c r="M357" s="53">
        <f>SUM(K357:L357)</f>
        <v>1250000</v>
      </c>
      <c r="N357" s="53"/>
      <c r="O357" s="53">
        <f>SUM(M357:N357)</f>
        <v>1250000</v>
      </c>
      <c r="P357" s="53"/>
      <c r="Q357" s="53">
        <f>SUM(O357:P357)</f>
        <v>1250000</v>
      </c>
      <c r="R357" s="53"/>
      <c r="S357" s="53">
        <f>SUM(Q357:R357)</f>
        <v>1250000</v>
      </c>
      <c r="T357" s="53"/>
      <c r="U357" s="53">
        <f>SUM(S357:T357)</f>
        <v>1250000</v>
      </c>
      <c r="V357" s="53"/>
      <c r="W357" s="53">
        <f>SUM(U357:V357)</f>
        <v>1250000</v>
      </c>
      <c r="X357" s="53">
        <v>-212000</v>
      </c>
      <c r="Y357" s="53">
        <f>SUM(W357:X357)</f>
        <v>1038000</v>
      </c>
      <c r="Z357" s="53"/>
      <c r="AA357" s="53">
        <f t="shared" si="256"/>
        <v>1038000</v>
      </c>
      <c r="AB357" s="53"/>
      <c r="AC357" s="53">
        <f t="shared" si="257"/>
        <v>1038000</v>
      </c>
      <c r="AD357" s="53">
        <v>-170000</v>
      </c>
      <c r="AE357" s="53">
        <f t="shared" si="255"/>
        <v>868000</v>
      </c>
      <c r="AF357" s="53"/>
      <c r="AG357" s="53">
        <f t="shared" si="245"/>
        <v>868000</v>
      </c>
      <c r="AH357" s="53"/>
      <c r="AI357" s="53">
        <f t="shared" si="246"/>
        <v>868000</v>
      </c>
      <c r="AJ357" s="53"/>
      <c r="AK357" s="53">
        <f t="shared" si="247"/>
        <v>868000</v>
      </c>
      <c r="AL357" s="75"/>
      <c r="AM357" s="75"/>
    </row>
    <row r="358" spans="1:39" s="15" customFormat="1" ht="21.75" customHeight="1">
      <c r="A358" s="41"/>
      <c r="B358" s="55">
        <v>85219</v>
      </c>
      <c r="C358" s="59"/>
      <c r="D358" s="27" t="s">
        <v>48</v>
      </c>
      <c r="E358" s="53">
        <f aca="true" t="shared" si="261" ref="E358:Z358">SUM(E359:E382)</f>
        <v>1203727</v>
      </c>
      <c r="F358" s="53">
        <f t="shared" si="261"/>
        <v>0</v>
      </c>
      <c r="G358" s="53">
        <f t="shared" si="261"/>
        <v>1203727</v>
      </c>
      <c r="H358" s="53">
        <f t="shared" si="261"/>
        <v>0</v>
      </c>
      <c r="I358" s="53">
        <f t="shared" si="261"/>
        <v>1203727</v>
      </c>
      <c r="J358" s="53">
        <f t="shared" si="261"/>
        <v>0</v>
      </c>
      <c r="K358" s="53">
        <f t="shared" si="261"/>
        <v>1203727</v>
      </c>
      <c r="L358" s="53">
        <f t="shared" si="261"/>
        <v>0</v>
      </c>
      <c r="M358" s="53">
        <f t="shared" si="261"/>
        <v>1203727</v>
      </c>
      <c r="N358" s="53">
        <f t="shared" si="261"/>
        <v>0</v>
      </c>
      <c r="O358" s="53">
        <f t="shared" si="261"/>
        <v>1203727</v>
      </c>
      <c r="P358" s="53">
        <f t="shared" si="261"/>
        <v>0</v>
      </c>
      <c r="Q358" s="53">
        <f t="shared" si="261"/>
        <v>1203727</v>
      </c>
      <c r="R358" s="53">
        <f t="shared" si="261"/>
        <v>0</v>
      </c>
      <c r="S358" s="53">
        <f t="shared" si="261"/>
        <v>1203727</v>
      </c>
      <c r="T358" s="53">
        <f t="shared" si="261"/>
        <v>25000</v>
      </c>
      <c r="U358" s="53">
        <f t="shared" si="261"/>
        <v>1228727</v>
      </c>
      <c r="V358" s="53">
        <f t="shared" si="261"/>
        <v>13050</v>
      </c>
      <c r="W358" s="53">
        <f t="shared" si="261"/>
        <v>1241777</v>
      </c>
      <c r="X358" s="53">
        <f t="shared" si="261"/>
        <v>0</v>
      </c>
      <c r="Y358" s="53">
        <f t="shared" si="261"/>
        <v>1241777</v>
      </c>
      <c r="Z358" s="53">
        <f t="shared" si="261"/>
        <v>13950</v>
      </c>
      <c r="AA358" s="53">
        <f t="shared" si="256"/>
        <v>1255727</v>
      </c>
      <c r="AB358" s="53">
        <f>SUM(AB359:AB382)</f>
        <v>0</v>
      </c>
      <c r="AC358" s="53">
        <f t="shared" si="257"/>
        <v>1255727</v>
      </c>
      <c r="AD358" s="53">
        <f aca="true" t="shared" si="262" ref="AD358:AI358">SUM(AD359:AD383)</f>
        <v>89535</v>
      </c>
      <c r="AE358" s="53">
        <f t="shared" si="262"/>
        <v>1345262</v>
      </c>
      <c r="AF358" s="53">
        <f t="shared" si="262"/>
        <v>0</v>
      </c>
      <c r="AG358" s="53">
        <f t="shared" si="262"/>
        <v>1345262</v>
      </c>
      <c r="AH358" s="53">
        <f t="shared" si="262"/>
        <v>0</v>
      </c>
      <c r="AI358" s="53">
        <f t="shared" si="262"/>
        <v>1345262</v>
      </c>
      <c r="AJ358" s="53">
        <f>SUM(AJ359:AJ383)</f>
        <v>0</v>
      </c>
      <c r="AK358" s="53">
        <f>SUM(AK359:AK383)</f>
        <v>1345262</v>
      </c>
      <c r="AL358" s="75"/>
      <c r="AM358" s="75"/>
    </row>
    <row r="359" spans="1:39" s="15" customFormat="1" ht="21" customHeight="1">
      <c r="A359" s="41"/>
      <c r="B359" s="55"/>
      <c r="C359" s="59">
        <v>3020</v>
      </c>
      <c r="D359" s="27" t="s">
        <v>179</v>
      </c>
      <c r="E359" s="53">
        <v>3427</v>
      </c>
      <c r="F359" s="53"/>
      <c r="G359" s="53">
        <f aca="true" t="shared" si="263" ref="G359:G378">SUM(E359:F359)</f>
        <v>3427</v>
      </c>
      <c r="H359" s="53"/>
      <c r="I359" s="53">
        <f aca="true" t="shared" si="264" ref="I359:I378">SUM(G359:H359)</f>
        <v>3427</v>
      </c>
      <c r="J359" s="53"/>
      <c r="K359" s="53">
        <f aca="true" t="shared" si="265" ref="K359:K378">SUM(I359:J359)</f>
        <v>3427</v>
      </c>
      <c r="L359" s="53"/>
      <c r="M359" s="53">
        <f aca="true" t="shared" si="266" ref="M359:M378">SUM(K359:L359)</f>
        <v>3427</v>
      </c>
      <c r="N359" s="53"/>
      <c r="O359" s="53">
        <f aca="true" t="shared" si="267" ref="O359:O378">SUM(M359:N359)</f>
        <v>3427</v>
      </c>
      <c r="P359" s="53"/>
      <c r="Q359" s="53">
        <f aca="true" t="shared" si="268" ref="Q359:Q378">SUM(O359:P359)</f>
        <v>3427</v>
      </c>
      <c r="R359" s="53"/>
      <c r="S359" s="53">
        <f aca="true" t="shared" si="269" ref="S359:S378">SUM(Q359:R359)</f>
        <v>3427</v>
      </c>
      <c r="T359" s="53"/>
      <c r="U359" s="53">
        <f aca="true" t="shared" si="270" ref="U359:U378">SUM(S359:T359)</f>
        <v>3427</v>
      </c>
      <c r="V359" s="53"/>
      <c r="W359" s="53">
        <f aca="true" t="shared" si="271" ref="W359:W382">SUM(U359:V359)</f>
        <v>3427</v>
      </c>
      <c r="X359" s="53"/>
      <c r="Y359" s="53">
        <f aca="true" t="shared" si="272" ref="Y359:Y382">SUM(W359:X359)</f>
        <v>3427</v>
      </c>
      <c r="Z359" s="53"/>
      <c r="AA359" s="53">
        <f t="shared" si="256"/>
        <v>3427</v>
      </c>
      <c r="AB359" s="53"/>
      <c r="AC359" s="53">
        <f t="shared" si="257"/>
        <v>3427</v>
      </c>
      <c r="AD359" s="53"/>
      <c r="AE359" s="53">
        <f t="shared" si="255"/>
        <v>3427</v>
      </c>
      <c r="AF359" s="53"/>
      <c r="AG359" s="53">
        <f aca="true" t="shared" si="273" ref="AG359:AG388">SUM(AE359:AF359)</f>
        <v>3427</v>
      </c>
      <c r="AH359" s="53"/>
      <c r="AI359" s="53">
        <f aca="true" t="shared" si="274" ref="AI359:AI388">SUM(AG359:AH359)</f>
        <v>3427</v>
      </c>
      <c r="AJ359" s="53"/>
      <c r="AK359" s="53">
        <f aca="true" t="shared" si="275" ref="AK359:AK388">SUM(AI359:AJ359)</f>
        <v>3427</v>
      </c>
      <c r="AL359" s="75"/>
      <c r="AM359" s="75"/>
    </row>
    <row r="360" spans="1:39" s="15" customFormat="1" ht="21" customHeight="1">
      <c r="A360" s="41"/>
      <c r="B360" s="55"/>
      <c r="C360" s="59">
        <v>4010</v>
      </c>
      <c r="D360" s="27" t="s">
        <v>74</v>
      </c>
      <c r="E360" s="53">
        <f>26495+579137</f>
        <v>605632</v>
      </c>
      <c r="F360" s="53"/>
      <c r="G360" s="53">
        <f t="shared" si="263"/>
        <v>605632</v>
      </c>
      <c r="H360" s="53"/>
      <c r="I360" s="53">
        <f t="shared" si="264"/>
        <v>605632</v>
      </c>
      <c r="J360" s="53"/>
      <c r="K360" s="53">
        <f t="shared" si="265"/>
        <v>605632</v>
      </c>
      <c r="L360" s="53"/>
      <c r="M360" s="53">
        <f t="shared" si="266"/>
        <v>605632</v>
      </c>
      <c r="N360" s="53"/>
      <c r="O360" s="53">
        <f t="shared" si="267"/>
        <v>605632</v>
      </c>
      <c r="P360" s="53"/>
      <c r="Q360" s="53">
        <f t="shared" si="268"/>
        <v>605632</v>
      </c>
      <c r="R360" s="53"/>
      <c r="S360" s="53">
        <f t="shared" si="269"/>
        <v>605632</v>
      </c>
      <c r="T360" s="53"/>
      <c r="U360" s="53">
        <f t="shared" si="270"/>
        <v>605632</v>
      </c>
      <c r="V360" s="53">
        <v>13050</v>
      </c>
      <c r="W360" s="53">
        <f t="shared" si="271"/>
        <v>618682</v>
      </c>
      <c r="X360" s="53"/>
      <c r="Y360" s="53">
        <f t="shared" si="272"/>
        <v>618682</v>
      </c>
      <c r="Z360" s="53">
        <v>11803</v>
      </c>
      <c r="AA360" s="53">
        <f t="shared" si="256"/>
        <v>630485</v>
      </c>
      <c r="AB360" s="53"/>
      <c r="AC360" s="53">
        <f t="shared" si="257"/>
        <v>630485</v>
      </c>
      <c r="AD360" s="53">
        <f>25000+2298</f>
        <v>27298</v>
      </c>
      <c r="AE360" s="53">
        <f t="shared" si="255"/>
        <v>657783</v>
      </c>
      <c r="AF360" s="53"/>
      <c r="AG360" s="53">
        <f t="shared" si="273"/>
        <v>657783</v>
      </c>
      <c r="AH360" s="53"/>
      <c r="AI360" s="53">
        <f t="shared" si="274"/>
        <v>657783</v>
      </c>
      <c r="AJ360" s="53"/>
      <c r="AK360" s="53">
        <f t="shared" si="275"/>
        <v>657783</v>
      </c>
      <c r="AL360" s="75"/>
      <c r="AM360" s="75"/>
    </row>
    <row r="361" spans="1:39" s="15" customFormat="1" ht="21" customHeight="1">
      <c r="A361" s="41"/>
      <c r="B361" s="55"/>
      <c r="C361" s="59">
        <v>4040</v>
      </c>
      <c r="D361" s="27" t="s">
        <v>75</v>
      </c>
      <c r="E361" s="53">
        <f>1830+43000</f>
        <v>44830</v>
      </c>
      <c r="F361" s="53"/>
      <c r="G361" s="53">
        <f t="shared" si="263"/>
        <v>44830</v>
      </c>
      <c r="H361" s="53"/>
      <c r="I361" s="53">
        <f t="shared" si="264"/>
        <v>44830</v>
      </c>
      <c r="J361" s="53"/>
      <c r="K361" s="53">
        <f t="shared" si="265"/>
        <v>44830</v>
      </c>
      <c r="L361" s="53"/>
      <c r="M361" s="53">
        <f t="shared" si="266"/>
        <v>44830</v>
      </c>
      <c r="N361" s="53"/>
      <c r="O361" s="53">
        <f t="shared" si="267"/>
        <v>44830</v>
      </c>
      <c r="P361" s="53"/>
      <c r="Q361" s="53">
        <f t="shared" si="268"/>
        <v>44830</v>
      </c>
      <c r="R361" s="53"/>
      <c r="S361" s="53">
        <f t="shared" si="269"/>
        <v>44830</v>
      </c>
      <c r="T361" s="53"/>
      <c r="U361" s="53">
        <f t="shared" si="270"/>
        <v>44830</v>
      </c>
      <c r="V361" s="53"/>
      <c r="W361" s="53">
        <f t="shared" si="271"/>
        <v>44830</v>
      </c>
      <c r="X361" s="53"/>
      <c r="Y361" s="53">
        <f t="shared" si="272"/>
        <v>44830</v>
      </c>
      <c r="Z361" s="53"/>
      <c r="AA361" s="53">
        <f t="shared" si="256"/>
        <v>44830</v>
      </c>
      <c r="AB361" s="53"/>
      <c r="AC361" s="53">
        <f t="shared" si="257"/>
        <v>44830</v>
      </c>
      <c r="AD361" s="53">
        <v>-1255</v>
      </c>
      <c r="AE361" s="53">
        <f t="shared" si="255"/>
        <v>43575</v>
      </c>
      <c r="AF361" s="53"/>
      <c r="AG361" s="53">
        <f t="shared" si="273"/>
        <v>43575</v>
      </c>
      <c r="AH361" s="53"/>
      <c r="AI361" s="53">
        <f t="shared" si="274"/>
        <v>43575</v>
      </c>
      <c r="AJ361" s="53"/>
      <c r="AK361" s="53">
        <f t="shared" si="275"/>
        <v>43575</v>
      </c>
      <c r="AL361" s="75"/>
      <c r="AM361" s="75"/>
    </row>
    <row r="362" spans="1:39" s="15" customFormat="1" ht="21" customHeight="1">
      <c r="A362" s="41"/>
      <c r="B362" s="55"/>
      <c r="C362" s="59">
        <v>4110</v>
      </c>
      <c r="D362" s="27" t="s">
        <v>76</v>
      </c>
      <c r="E362" s="53">
        <f>5563+95530</f>
        <v>101093</v>
      </c>
      <c r="F362" s="53"/>
      <c r="G362" s="53">
        <f t="shared" si="263"/>
        <v>101093</v>
      </c>
      <c r="H362" s="53"/>
      <c r="I362" s="53">
        <f t="shared" si="264"/>
        <v>101093</v>
      </c>
      <c r="J362" s="53"/>
      <c r="K362" s="53">
        <f t="shared" si="265"/>
        <v>101093</v>
      </c>
      <c r="L362" s="53"/>
      <c r="M362" s="53">
        <f t="shared" si="266"/>
        <v>101093</v>
      </c>
      <c r="N362" s="53"/>
      <c r="O362" s="53">
        <f t="shared" si="267"/>
        <v>101093</v>
      </c>
      <c r="P362" s="53"/>
      <c r="Q362" s="53">
        <f t="shared" si="268"/>
        <v>101093</v>
      </c>
      <c r="R362" s="53"/>
      <c r="S362" s="53">
        <f t="shared" si="269"/>
        <v>101093</v>
      </c>
      <c r="T362" s="53"/>
      <c r="U362" s="53">
        <f t="shared" si="270"/>
        <v>101093</v>
      </c>
      <c r="V362" s="53"/>
      <c r="W362" s="53">
        <f t="shared" si="271"/>
        <v>101093</v>
      </c>
      <c r="X362" s="53"/>
      <c r="Y362" s="53">
        <f t="shared" si="272"/>
        <v>101093</v>
      </c>
      <c r="Z362" s="53">
        <v>1857</v>
      </c>
      <c r="AA362" s="53">
        <f t="shared" si="256"/>
        <v>102950</v>
      </c>
      <c r="AB362" s="53"/>
      <c r="AC362" s="53">
        <f t="shared" si="257"/>
        <v>102950</v>
      </c>
      <c r="AD362" s="53">
        <f>6759+391</f>
        <v>7150</v>
      </c>
      <c r="AE362" s="53">
        <f t="shared" si="255"/>
        <v>110100</v>
      </c>
      <c r="AF362" s="53"/>
      <c r="AG362" s="53">
        <f t="shared" si="273"/>
        <v>110100</v>
      </c>
      <c r="AH362" s="53"/>
      <c r="AI362" s="53">
        <f t="shared" si="274"/>
        <v>110100</v>
      </c>
      <c r="AJ362" s="53"/>
      <c r="AK362" s="53">
        <f t="shared" si="275"/>
        <v>110100</v>
      </c>
      <c r="AL362" s="75"/>
      <c r="AM362" s="75"/>
    </row>
    <row r="363" spans="1:39" s="15" customFormat="1" ht="21" customHeight="1">
      <c r="A363" s="41"/>
      <c r="B363" s="55"/>
      <c r="C363" s="59">
        <v>4120</v>
      </c>
      <c r="D363" s="27" t="s">
        <v>77</v>
      </c>
      <c r="E363" s="53">
        <f>694+14880</f>
        <v>15574</v>
      </c>
      <c r="F363" s="53"/>
      <c r="G363" s="53">
        <f t="shared" si="263"/>
        <v>15574</v>
      </c>
      <c r="H363" s="53"/>
      <c r="I363" s="53">
        <f t="shared" si="264"/>
        <v>15574</v>
      </c>
      <c r="J363" s="53"/>
      <c r="K363" s="53">
        <f t="shared" si="265"/>
        <v>15574</v>
      </c>
      <c r="L363" s="53"/>
      <c r="M363" s="53">
        <f t="shared" si="266"/>
        <v>15574</v>
      </c>
      <c r="N363" s="53"/>
      <c r="O363" s="53">
        <f t="shared" si="267"/>
        <v>15574</v>
      </c>
      <c r="P363" s="53"/>
      <c r="Q363" s="53">
        <f t="shared" si="268"/>
        <v>15574</v>
      </c>
      <c r="R363" s="53"/>
      <c r="S363" s="53">
        <f t="shared" si="269"/>
        <v>15574</v>
      </c>
      <c r="T363" s="53"/>
      <c r="U363" s="53">
        <f t="shared" si="270"/>
        <v>15574</v>
      </c>
      <c r="V363" s="53"/>
      <c r="W363" s="53">
        <f t="shared" si="271"/>
        <v>15574</v>
      </c>
      <c r="X363" s="53"/>
      <c r="Y363" s="53">
        <f t="shared" si="272"/>
        <v>15574</v>
      </c>
      <c r="Z363" s="53">
        <v>290</v>
      </c>
      <c r="AA363" s="53">
        <f t="shared" si="256"/>
        <v>15864</v>
      </c>
      <c r="AB363" s="53"/>
      <c r="AC363" s="53">
        <f t="shared" si="257"/>
        <v>15864</v>
      </c>
      <c r="AD363" s="53">
        <f>620+44</f>
        <v>664</v>
      </c>
      <c r="AE363" s="53">
        <f t="shared" si="255"/>
        <v>16528</v>
      </c>
      <c r="AF363" s="53"/>
      <c r="AG363" s="53">
        <f t="shared" si="273"/>
        <v>16528</v>
      </c>
      <c r="AH363" s="53"/>
      <c r="AI363" s="53">
        <f t="shared" si="274"/>
        <v>16528</v>
      </c>
      <c r="AJ363" s="53"/>
      <c r="AK363" s="53">
        <f t="shared" si="275"/>
        <v>16528</v>
      </c>
      <c r="AL363" s="75"/>
      <c r="AM363" s="75"/>
    </row>
    <row r="364" spans="1:39" s="15" customFormat="1" ht="21" customHeight="1">
      <c r="A364" s="41"/>
      <c r="B364" s="55"/>
      <c r="C364" s="59">
        <v>4170</v>
      </c>
      <c r="D364" s="27" t="s">
        <v>162</v>
      </c>
      <c r="E364" s="53">
        <f>6600+9528</f>
        <v>16128</v>
      </c>
      <c r="F364" s="53"/>
      <c r="G364" s="53">
        <f t="shared" si="263"/>
        <v>16128</v>
      </c>
      <c r="H364" s="53"/>
      <c r="I364" s="53">
        <f t="shared" si="264"/>
        <v>16128</v>
      </c>
      <c r="J364" s="53"/>
      <c r="K364" s="53">
        <f t="shared" si="265"/>
        <v>16128</v>
      </c>
      <c r="L364" s="53"/>
      <c r="M364" s="53">
        <f t="shared" si="266"/>
        <v>16128</v>
      </c>
      <c r="N364" s="53"/>
      <c r="O364" s="53">
        <f t="shared" si="267"/>
        <v>16128</v>
      </c>
      <c r="P364" s="53"/>
      <c r="Q364" s="53">
        <f t="shared" si="268"/>
        <v>16128</v>
      </c>
      <c r="R364" s="53"/>
      <c r="S364" s="53">
        <f t="shared" si="269"/>
        <v>16128</v>
      </c>
      <c r="T364" s="53"/>
      <c r="U364" s="53">
        <f t="shared" si="270"/>
        <v>16128</v>
      </c>
      <c r="V364" s="53"/>
      <c r="W364" s="53">
        <f t="shared" si="271"/>
        <v>16128</v>
      </c>
      <c r="X364" s="53"/>
      <c r="Y364" s="53">
        <f t="shared" si="272"/>
        <v>16128</v>
      </c>
      <c r="Z364" s="53"/>
      <c r="AA364" s="53">
        <f t="shared" si="256"/>
        <v>16128</v>
      </c>
      <c r="AB364" s="53"/>
      <c r="AC364" s="53">
        <f t="shared" si="257"/>
        <v>16128</v>
      </c>
      <c r="AD364" s="53">
        <f>400-3135</f>
        <v>-2735</v>
      </c>
      <c r="AE364" s="53">
        <f t="shared" si="255"/>
        <v>13393</v>
      </c>
      <c r="AF364" s="53"/>
      <c r="AG364" s="53">
        <f t="shared" si="273"/>
        <v>13393</v>
      </c>
      <c r="AH364" s="53"/>
      <c r="AI364" s="53">
        <f t="shared" si="274"/>
        <v>13393</v>
      </c>
      <c r="AJ364" s="53"/>
      <c r="AK364" s="53">
        <f t="shared" si="275"/>
        <v>13393</v>
      </c>
      <c r="AL364" s="75"/>
      <c r="AM364" s="75"/>
    </row>
    <row r="365" spans="1:39" s="15" customFormat="1" ht="21" customHeight="1">
      <c r="A365" s="41"/>
      <c r="B365" s="55"/>
      <c r="C365" s="59">
        <v>4210</v>
      </c>
      <c r="D365" s="27" t="s">
        <v>82</v>
      </c>
      <c r="E365" s="53">
        <f>10100+31880</f>
        <v>41980</v>
      </c>
      <c r="F365" s="53"/>
      <c r="G365" s="53">
        <f t="shared" si="263"/>
        <v>41980</v>
      </c>
      <c r="H365" s="53"/>
      <c r="I365" s="53">
        <f t="shared" si="264"/>
        <v>41980</v>
      </c>
      <c r="J365" s="53"/>
      <c r="K365" s="53">
        <f t="shared" si="265"/>
        <v>41980</v>
      </c>
      <c r="L365" s="53"/>
      <c r="M365" s="53">
        <f t="shared" si="266"/>
        <v>41980</v>
      </c>
      <c r="N365" s="53"/>
      <c r="O365" s="53">
        <f t="shared" si="267"/>
        <v>41980</v>
      </c>
      <c r="P365" s="53"/>
      <c r="Q365" s="53">
        <f t="shared" si="268"/>
        <v>41980</v>
      </c>
      <c r="R365" s="53"/>
      <c r="S365" s="53">
        <f t="shared" si="269"/>
        <v>41980</v>
      </c>
      <c r="T365" s="53"/>
      <c r="U365" s="53">
        <f t="shared" si="270"/>
        <v>41980</v>
      </c>
      <c r="V365" s="53">
        <v>-636</v>
      </c>
      <c r="W365" s="53">
        <f t="shared" si="271"/>
        <v>41344</v>
      </c>
      <c r="X365" s="53"/>
      <c r="Y365" s="53">
        <f t="shared" si="272"/>
        <v>41344</v>
      </c>
      <c r="Z365" s="53"/>
      <c r="AA365" s="53">
        <f t="shared" si="256"/>
        <v>41344</v>
      </c>
      <c r="AB365" s="53"/>
      <c r="AC365" s="53">
        <f t="shared" si="257"/>
        <v>41344</v>
      </c>
      <c r="AD365" s="53">
        <f>71000+10782</f>
        <v>81782</v>
      </c>
      <c r="AE365" s="53">
        <f t="shared" si="255"/>
        <v>123126</v>
      </c>
      <c r="AF365" s="53"/>
      <c r="AG365" s="53">
        <f t="shared" si="273"/>
        <v>123126</v>
      </c>
      <c r="AH365" s="53">
        <v>-84</v>
      </c>
      <c r="AI365" s="53">
        <f t="shared" si="274"/>
        <v>123042</v>
      </c>
      <c r="AJ365" s="53"/>
      <c r="AK365" s="53">
        <f t="shared" si="275"/>
        <v>123042</v>
      </c>
      <c r="AL365" s="75"/>
      <c r="AM365" s="75"/>
    </row>
    <row r="366" spans="1:39" s="15" customFormat="1" ht="21" customHeight="1">
      <c r="A366" s="41"/>
      <c r="B366" s="55"/>
      <c r="C366" s="59">
        <v>4220</v>
      </c>
      <c r="D366" s="27" t="s">
        <v>150</v>
      </c>
      <c r="E366" s="53">
        <v>150000</v>
      </c>
      <c r="F366" s="53"/>
      <c r="G366" s="53">
        <f t="shared" si="263"/>
        <v>150000</v>
      </c>
      <c r="H366" s="53"/>
      <c r="I366" s="53">
        <f t="shared" si="264"/>
        <v>150000</v>
      </c>
      <c r="J366" s="53"/>
      <c r="K366" s="53">
        <f t="shared" si="265"/>
        <v>150000</v>
      </c>
      <c r="L366" s="53"/>
      <c r="M366" s="53">
        <f t="shared" si="266"/>
        <v>150000</v>
      </c>
      <c r="N366" s="53"/>
      <c r="O366" s="53">
        <f t="shared" si="267"/>
        <v>150000</v>
      </c>
      <c r="P366" s="53"/>
      <c r="Q366" s="53">
        <f t="shared" si="268"/>
        <v>150000</v>
      </c>
      <c r="R366" s="53"/>
      <c r="S366" s="53">
        <f t="shared" si="269"/>
        <v>150000</v>
      </c>
      <c r="T366" s="53"/>
      <c r="U366" s="53">
        <f t="shared" si="270"/>
        <v>150000</v>
      </c>
      <c r="V366" s="53"/>
      <c r="W366" s="53">
        <f t="shared" si="271"/>
        <v>150000</v>
      </c>
      <c r="X366" s="53"/>
      <c r="Y366" s="53">
        <f t="shared" si="272"/>
        <v>150000</v>
      </c>
      <c r="Z366" s="53"/>
      <c r="AA366" s="53">
        <f t="shared" si="256"/>
        <v>150000</v>
      </c>
      <c r="AB366" s="53"/>
      <c r="AC366" s="53">
        <f t="shared" si="257"/>
        <v>150000</v>
      </c>
      <c r="AD366" s="53"/>
      <c r="AE366" s="53">
        <f t="shared" si="255"/>
        <v>150000</v>
      </c>
      <c r="AF366" s="53"/>
      <c r="AG366" s="53">
        <f t="shared" si="273"/>
        <v>150000</v>
      </c>
      <c r="AH366" s="53"/>
      <c r="AI366" s="53">
        <f t="shared" si="274"/>
        <v>150000</v>
      </c>
      <c r="AJ366" s="53"/>
      <c r="AK366" s="53">
        <f t="shared" si="275"/>
        <v>150000</v>
      </c>
      <c r="AL366" s="75"/>
      <c r="AM366" s="75"/>
    </row>
    <row r="367" spans="1:39" s="15" customFormat="1" ht="27" customHeight="1">
      <c r="A367" s="41"/>
      <c r="B367" s="55"/>
      <c r="C367" s="59">
        <v>4230</v>
      </c>
      <c r="D367" s="27" t="s">
        <v>231</v>
      </c>
      <c r="E367" s="53">
        <v>200</v>
      </c>
      <c r="F367" s="53"/>
      <c r="G367" s="53">
        <f t="shared" si="263"/>
        <v>200</v>
      </c>
      <c r="H367" s="53"/>
      <c r="I367" s="53">
        <f t="shared" si="264"/>
        <v>200</v>
      </c>
      <c r="J367" s="53"/>
      <c r="K367" s="53">
        <f t="shared" si="265"/>
        <v>200</v>
      </c>
      <c r="L367" s="53"/>
      <c r="M367" s="53">
        <f t="shared" si="266"/>
        <v>200</v>
      </c>
      <c r="N367" s="53"/>
      <c r="O367" s="53">
        <f t="shared" si="267"/>
        <v>200</v>
      </c>
      <c r="P367" s="53"/>
      <c r="Q367" s="53">
        <f t="shared" si="268"/>
        <v>200</v>
      </c>
      <c r="R367" s="53"/>
      <c r="S367" s="53">
        <f t="shared" si="269"/>
        <v>200</v>
      </c>
      <c r="T367" s="53"/>
      <c r="U367" s="53">
        <f t="shared" si="270"/>
        <v>200</v>
      </c>
      <c r="V367" s="53"/>
      <c r="W367" s="53">
        <f t="shared" si="271"/>
        <v>200</v>
      </c>
      <c r="X367" s="53"/>
      <c r="Y367" s="53">
        <f t="shared" si="272"/>
        <v>200</v>
      </c>
      <c r="Z367" s="53"/>
      <c r="AA367" s="53">
        <f t="shared" si="256"/>
        <v>200</v>
      </c>
      <c r="AB367" s="53"/>
      <c r="AC367" s="53">
        <f t="shared" si="257"/>
        <v>200</v>
      </c>
      <c r="AD367" s="53">
        <v>-112</v>
      </c>
      <c r="AE367" s="53">
        <f t="shared" si="255"/>
        <v>88</v>
      </c>
      <c r="AF367" s="53"/>
      <c r="AG367" s="53">
        <f t="shared" si="273"/>
        <v>88</v>
      </c>
      <c r="AH367" s="53"/>
      <c r="AI367" s="53">
        <f t="shared" si="274"/>
        <v>88</v>
      </c>
      <c r="AJ367" s="53"/>
      <c r="AK367" s="53">
        <f t="shared" si="275"/>
        <v>88</v>
      </c>
      <c r="AL367" s="75"/>
      <c r="AM367" s="75"/>
    </row>
    <row r="368" spans="1:39" s="15" customFormat="1" ht="21" customHeight="1">
      <c r="A368" s="41"/>
      <c r="B368" s="55"/>
      <c r="C368" s="59">
        <v>4260</v>
      </c>
      <c r="D368" s="27" t="s">
        <v>85</v>
      </c>
      <c r="E368" s="53">
        <v>11960</v>
      </c>
      <c r="F368" s="53"/>
      <c r="G368" s="53">
        <f t="shared" si="263"/>
        <v>11960</v>
      </c>
      <c r="H368" s="53"/>
      <c r="I368" s="53">
        <f t="shared" si="264"/>
        <v>11960</v>
      </c>
      <c r="J368" s="53"/>
      <c r="K368" s="53">
        <f t="shared" si="265"/>
        <v>11960</v>
      </c>
      <c r="L368" s="53"/>
      <c r="M368" s="53">
        <f t="shared" si="266"/>
        <v>11960</v>
      </c>
      <c r="N368" s="53"/>
      <c r="O368" s="53">
        <f t="shared" si="267"/>
        <v>11960</v>
      </c>
      <c r="P368" s="53"/>
      <c r="Q368" s="53">
        <f t="shared" si="268"/>
        <v>11960</v>
      </c>
      <c r="R368" s="53"/>
      <c r="S368" s="53">
        <f t="shared" si="269"/>
        <v>11960</v>
      </c>
      <c r="T368" s="53"/>
      <c r="U368" s="53">
        <f t="shared" si="270"/>
        <v>11960</v>
      </c>
      <c r="V368" s="53">
        <v>1500</v>
      </c>
      <c r="W368" s="53">
        <f t="shared" si="271"/>
        <v>13460</v>
      </c>
      <c r="X368" s="53"/>
      <c r="Y368" s="53">
        <f t="shared" si="272"/>
        <v>13460</v>
      </c>
      <c r="Z368" s="53"/>
      <c r="AA368" s="53">
        <f t="shared" si="256"/>
        <v>13460</v>
      </c>
      <c r="AB368" s="53"/>
      <c r="AC368" s="53">
        <f t="shared" si="257"/>
        <v>13460</v>
      </c>
      <c r="AD368" s="53">
        <v>-1479</v>
      </c>
      <c r="AE368" s="53">
        <f t="shared" si="255"/>
        <v>11981</v>
      </c>
      <c r="AF368" s="53"/>
      <c r="AG368" s="53">
        <f t="shared" si="273"/>
        <v>11981</v>
      </c>
      <c r="AH368" s="53"/>
      <c r="AI368" s="53">
        <f t="shared" si="274"/>
        <v>11981</v>
      </c>
      <c r="AJ368" s="53"/>
      <c r="AK368" s="53">
        <f t="shared" si="275"/>
        <v>11981</v>
      </c>
      <c r="AL368" s="75"/>
      <c r="AM368" s="75"/>
    </row>
    <row r="369" spans="1:39" s="15" customFormat="1" ht="21" customHeight="1">
      <c r="A369" s="41"/>
      <c r="B369" s="55"/>
      <c r="C369" s="59">
        <v>4270</v>
      </c>
      <c r="D369" s="27" t="s">
        <v>68</v>
      </c>
      <c r="E369" s="53">
        <v>4000</v>
      </c>
      <c r="F369" s="53"/>
      <c r="G369" s="53">
        <f t="shared" si="263"/>
        <v>4000</v>
      </c>
      <c r="H369" s="53"/>
      <c r="I369" s="53">
        <f t="shared" si="264"/>
        <v>4000</v>
      </c>
      <c r="J369" s="53"/>
      <c r="K369" s="53">
        <f t="shared" si="265"/>
        <v>4000</v>
      </c>
      <c r="L369" s="53"/>
      <c r="M369" s="53">
        <f t="shared" si="266"/>
        <v>4000</v>
      </c>
      <c r="N369" s="53"/>
      <c r="O369" s="53">
        <f t="shared" si="267"/>
        <v>4000</v>
      </c>
      <c r="P369" s="53"/>
      <c r="Q369" s="53">
        <f t="shared" si="268"/>
        <v>4000</v>
      </c>
      <c r="R369" s="53"/>
      <c r="S369" s="53">
        <f t="shared" si="269"/>
        <v>4000</v>
      </c>
      <c r="T369" s="44">
        <v>25000</v>
      </c>
      <c r="U369" s="53">
        <f t="shared" si="270"/>
        <v>29000</v>
      </c>
      <c r="V369" s="44"/>
      <c r="W369" s="53">
        <f t="shared" si="271"/>
        <v>29000</v>
      </c>
      <c r="X369" s="44"/>
      <c r="Y369" s="53">
        <f t="shared" si="272"/>
        <v>29000</v>
      </c>
      <c r="Z369" s="44"/>
      <c r="AA369" s="53">
        <f t="shared" si="256"/>
        <v>29000</v>
      </c>
      <c r="AB369" s="44"/>
      <c r="AC369" s="53">
        <f t="shared" si="257"/>
        <v>29000</v>
      </c>
      <c r="AD369" s="44">
        <f>-3362-25000</f>
        <v>-28362</v>
      </c>
      <c r="AE369" s="53">
        <f t="shared" si="255"/>
        <v>638</v>
      </c>
      <c r="AF369" s="44"/>
      <c r="AG369" s="53">
        <f t="shared" si="273"/>
        <v>638</v>
      </c>
      <c r="AH369" s="44"/>
      <c r="AI369" s="53">
        <f t="shared" si="274"/>
        <v>638</v>
      </c>
      <c r="AJ369" s="44"/>
      <c r="AK369" s="53">
        <f t="shared" si="275"/>
        <v>638</v>
      </c>
      <c r="AL369" s="75"/>
      <c r="AM369" s="75"/>
    </row>
    <row r="370" spans="1:39" s="15" customFormat="1" ht="21" customHeight="1">
      <c r="A370" s="41"/>
      <c r="B370" s="55"/>
      <c r="C370" s="59">
        <v>4280</v>
      </c>
      <c r="D370" s="27" t="s">
        <v>166</v>
      </c>
      <c r="E370" s="53">
        <v>1050</v>
      </c>
      <c r="F370" s="53"/>
      <c r="G370" s="53">
        <f t="shared" si="263"/>
        <v>1050</v>
      </c>
      <c r="H370" s="53"/>
      <c r="I370" s="53">
        <f t="shared" si="264"/>
        <v>1050</v>
      </c>
      <c r="J370" s="53"/>
      <c r="K370" s="53">
        <f t="shared" si="265"/>
        <v>1050</v>
      </c>
      <c r="L370" s="53"/>
      <c r="M370" s="53">
        <f t="shared" si="266"/>
        <v>1050</v>
      </c>
      <c r="N370" s="53"/>
      <c r="O370" s="53">
        <f t="shared" si="267"/>
        <v>1050</v>
      </c>
      <c r="P370" s="53"/>
      <c r="Q370" s="53">
        <f t="shared" si="268"/>
        <v>1050</v>
      </c>
      <c r="R370" s="53"/>
      <c r="S370" s="53">
        <f t="shared" si="269"/>
        <v>1050</v>
      </c>
      <c r="T370" s="53"/>
      <c r="U370" s="53">
        <f t="shared" si="270"/>
        <v>1050</v>
      </c>
      <c r="V370" s="53"/>
      <c r="W370" s="53">
        <f t="shared" si="271"/>
        <v>1050</v>
      </c>
      <c r="X370" s="53"/>
      <c r="Y370" s="53">
        <f t="shared" si="272"/>
        <v>1050</v>
      </c>
      <c r="Z370" s="53"/>
      <c r="AA370" s="53">
        <f t="shared" si="256"/>
        <v>1050</v>
      </c>
      <c r="AB370" s="53"/>
      <c r="AC370" s="53">
        <f t="shared" si="257"/>
        <v>1050</v>
      </c>
      <c r="AD370" s="53">
        <v>-40</v>
      </c>
      <c r="AE370" s="53">
        <f t="shared" si="255"/>
        <v>1010</v>
      </c>
      <c r="AF370" s="53"/>
      <c r="AG370" s="53">
        <f t="shared" si="273"/>
        <v>1010</v>
      </c>
      <c r="AH370" s="53"/>
      <c r="AI370" s="53">
        <f t="shared" si="274"/>
        <v>1010</v>
      </c>
      <c r="AJ370" s="53"/>
      <c r="AK370" s="53">
        <f t="shared" si="275"/>
        <v>1010</v>
      </c>
      <c r="AL370" s="75"/>
      <c r="AM370" s="75"/>
    </row>
    <row r="371" spans="1:39" s="15" customFormat="1" ht="21" customHeight="1">
      <c r="A371" s="41"/>
      <c r="B371" s="55"/>
      <c r="C371" s="59">
        <v>4300</v>
      </c>
      <c r="D371" s="27" t="s">
        <v>69</v>
      </c>
      <c r="E371" s="53">
        <f>34000+42675</f>
        <v>76675</v>
      </c>
      <c r="F371" s="53"/>
      <c r="G371" s="53">
        <f t="shared" si="263"/>
        <v>76675</v>
      </c>
      <c r="H371" s="53"/>
      <c r="I371" s="53">
        <f t="shared" si="264"/>
        <v>76675</v>
      </c>
      <c r="J371" s="53"/>
      <c r="K371" s="53">
        <f t="shared" si="265"/>
        <v>76675</v>
      </c>
      <c r="L371" s="53"/>
      <c r="M371" s="53">
        <f t="shared" si="266"/>
        <v>76675</v>
      </c>
      <c r="N371" s="53"/>
      <c r="O371" s="53">
        <f t="shared" si="267"/>
        <v>76675</v>
      </c>
      <c r="P371" s="53"/>
      <c r="Q371" s="53">
        <f t="shared" si="268"/>
        <v>76675</v>
      </c>
      <c r="R371" s="53"/>
      <c r="S371" s="53">
        <f t="shared" si="269"/>
        <v>76675</v>
      </c>
      <c r="T371" s="53"/>
      <c r="U371" s="53">
        <f t="shared" si="270"/>
        <v>76675</v>
      </c>
      <c r="V371" s="53">
        <v>-800</v>
      </c>
      <c r="W371" s="53">
        <f t="shared" si="271"/>
        <v>75875</v>
      </c>
      <c r="X371" s="53"/>
      <c r="Y371" s="53">
        <f t="shared" si="272"/>
        <v>75875</v>
      </c>
      <c r="Z371" s="53"/>
      <c r="AA371" s="53">
        <f t="shared" si="256"/>
        <v>75875</v>
      </c>
      <c r="AB371" s="53"/>
      <c r="AC371" s="53">
        <f t="shared" si="257"/>
        <v>75875</v>
      </c>
      <c r="AD371" s="53">
        <f>1000-4040</f>
        <v>-3040</v>
      </c>
      <c r="AE371" s="53">
        <f t="shared" si="255"/>
        <v>72835</v>
      </c>
      <c r="AF371" s="53"/>
      <c r="AG371" s="53">
        <f t="shared" si="273"/>
        <v>72835</v>
      </c>
      <c r="AH371" s="53">
        <v>2329</v>
      </c>
      <c r="AI371" s="53">
        <f t="shared" si="274"/>
        <v>75164</v>
      </c>
      <c r="AJ371" s="53"/>
      <c r="AK371" s="53">
        <f t="shared" si="275"/>
        <v>75164</v>
      </c>
      <c r="AL371" s="75"/>
      <c r="AM371" s="75"/>
    </row>
    <row r="372" spans="1:39" s="15" customFormat="1" ht="21" customHeight="1">
      <c r="A372" s="41"/>
      <c r="B372" s="55"/>
      <c r="C372" s="59">
        <v>4350</v>
      </c>
      <c r="D372" s="27" t="s">
        <v>175</v>
      </c>
      <c r="E372" s="53">
        <f>550+627</f>
        <v>1177</v>
      </c>
      <c r="F372" s="53"/>
      <c r="G372" s="53">
        <f t="shared" si="263"/>
        <v>1177</v>
      </c>
      <c r="H372" s="53"/>
      <c r="I372" s="53">
        <f t="shared" si="264"/>
        <v>1177</v>
      </c>
      <c r="J372" s="53"/>
      <c r="K372" s="53">
        <f t="shared" si="265"/>
        <v>1177</v>
      </c>
      <c r="L372" s="53"/>
      <c r="M372" s="53">
        <f t="shared" si="266"/>
        <v>1177</v>
      </c>
      <c r="N372" s="53"/>
      <c r="O372" s="53">
        <f t="shared" si="267"/>
        <v>1177</v>
      </c>
      <c r="P372" s="53"/>
      <c r="Q372" s="53">
        <f t="shared" si="268"/>
        <v>1177</v>
      </c>
      <c r="R372" s="53"/>
      <c r="S372" s="53">
        <f t="shared" si="269"/>
        <v>1177</v>
      </c>
      <c r="T372" s="53"/>
      <c r="U372" s="53">
        <f t="shared" si="270"/>
        <v>1177</v>
      </c>
      <c r="V372" s="53"/>
      <c r="W372" s="53">
        <f t="shared" si="271"/>
        <v>1177</v>
      </c>
      <c r="X372" s="53"/>
      <c r="Y372" s="53">
        <f t="shared" si="272"/>
        <v>1177</v>
      </c>
      <c r="Z372" s="53"/>
      <c r="AA372" s="53">
        <f t="shared" si="256"/>
        <v>1177</v>
      </c>
      <c r="AB372" s="53"/>
      <c r="AC372" s="53">
        <f t="shared" si="257"/>
        <v>1177</v>
      </c>
      <c r="AD372" s="53"/>
      <c r="AE372" s="53">
        <f t="shared" si="255"/>
        <v>1177</v>
      </c>
      <c r="AF372" s="53"/>
      <c r="AG372" s="53">
        <f t="shared" si="273"/>
        <v>1177</v>
      </c>
      <c r="AH372" s="53"/>
      <c r="AI372" s="53">
        <f t="shared" si="274"/>
        <v>1177</v>
      </c>
      <c r="AJ372" s="53"/>
      <c r="AK372" s="53">
        <f t="shared" si="275"/>
        <v>1177</v>
      </c>
      <c r="AL372" s="75"/>
      <c r="AM372" s="75"/>
    </row>
    <row r="373" spans="1:39" s="15" customFormat="1" ht="24">
      <c r="A373" s="41"/>
      <c r="B373" s="55"/>
      <c r="C373" s="59">
        <v>4360</v>
      </c>
      <c r="D373" s="27" t="s">
        <v>188</v>
      </c>
      <c r="E373" s="53">
        <v>732</v>
      </c>
      <c r="F373" s="53"/>
      <c r="G373" s="53">
        <f t="shared" si="263"/>
        <v>732</v>
      </c>
      <c r="H373" s="53"/>
      <c r="I373" s="53">
        <f t="shared" si="264"/>
        <v>732</v>
      </c>
      <c r="J373" s="53"/>
      <c r="K373" s="53">
        <f t="shared" si="265"/>
        <v>732</v>
      </c>
      <c r="L373" s="53"/>
      <c r="M373" s="53">
        <f t="shared" si="266"/>
        <v>732</v>
      </c>
      <c r="N373" s="53"/>
      <c r="O373" s="53">
        <f t="shared" si="267"/>
        <v>732</v>
      </c>
      <c r="P373" s="53"/>
      <c r="Q373" s="53">
        <f t="shared" si="268"/>
        <v>732</v>
      </c>
      <c r="R373" s="53"/>
      <c r="S373" s="53">
        <f t="shared" si="269"/>
        <v>732</v>
      </c>
      <c r="T373" s="53"/>
      <c r="U373" s="53">
        <f t="shared" si="270"/>
        <v>732</v>
      </c>
      <c r="V373" s="53"/>
      <c r="W373" s="53">
        <f t="shared" si="271"/>
        <v>732</v>
      </c>
      <c r="X373" s="53"/>
      <c r="Y373" s="53">
        <f t="shared" si="272"/>
        <v>732</v>
      </c>
      <c r="Z373" s="53"/>
      <c r="AA373" s="53">
        <f t="shared" si="256"/>
        <v>732</v>
      </c>
      <c r="AB373" s="53"/>
      <c r="AC373" s="53">
        <f t="shared" si="257"/>
        <v>732</v>
      </c>
      <c r="AD373" s="53"/>
      <c r="AE373" s="53">
        <f t="shared" si="255"/>
        <v>732</v>
      </c>
      <c r="AF373" s="53"/>
      <c r="AG373" s="53">
        <f t="shared" si="273"/>
        <v>732</v>
      </c>
      <c r="AH373" s="53"/>
      <c r="AI373" s="53">
        <f t="shared" si="274"/>
        <v>732</v>
      </c>
      <c r="AJ373" s="53"/>
      <c r="AK373" s="53">
        <f t="shared" si="275"/>
        <v>732</v>
      </c>
      <c r="AL373" s="75"/>
      <c r="AM373" s="75"/>
    </row>
    <row r="374" spans="1:41" s="15" customFormat="1" ht="24">
      <c r="A374" s="41"/>
      <c r="B374" s="55"/>
      <c r="C374" s="59">
        <v>4370</v>
      </c>
      <c r="D374" s="27" t="s">
        <v>188</v>
      </c>
      <c r="E374" s="53">
        <f>2500+8280</f>
        <v>10780</v>
      </c>
      <c r="F374" s="53"/>
      <c r="G374" s="53">
        <f t="shared" si="263"/>
        <v>10780</v>
      </c>
      <c r="H374" s="53"/>
      <c r="I374" s="53">
        <f t="shared" si="264"/>
        <v>10780</v>
      </c>
      <c r="J374" s="53"/>
      <c r="K374" s="53">
        <f t="shared" si="265"/>
        <v>10780</v>
      </c>
      <c r="L374" s="53"/>
      <c r="M374" s="53">
        <f t="shared" si="266"/>
        <v>10780</v>
      </c>
      <c r="N374" s="53"/>
      <c r="O374" s="53">
        <f t="shared" si="267"/>
        <v>10780</v>
      </c>
      <c r="P374" s="53"/>
      <c r="Q374" s="53">
        <f t="shared" si="268"/>
        <v>10780</v>
      </c>
      <c r="R374" s="53"/>
      <c r="S374" s="53">
        <f t="shared" si="269"/>
        <v>10780</v>
      </c>
      <c r="T374" s="53"/>
      <c r="U374" s="53">
        <f t="shared" si="270"/>
        <v>10780</v>
      </c>
      <c r="V374" s="53"/>
      <c r="W374" s="53">
        <f t="shared" si="271"/>
        <v>10780</v>
      </c>
      <c r="X374" s="53"/>
      <c r="Y374" s="53">
        <f t="shared" si="272"/>
        <v>10780</v>
      </c>
      <c r="Z374" s="53"/>
      <c r="AA374" s="53">
        <f t="shared" si="256"/>
        <v>10780</v>
      </c>
      <c r="AB374" s="53"/>
      <c r="AC374" s="53">
        <f t="shared" si="257"/>
        <v>10780</v>
      </c>
      <c r="AD374" s="53">
        <v>-800</v>
      </c>
      <c r="AE374" s="53">
        <f t="shared" si="255"/>
        <v>9980</v>
      </c>
      <c r="AF374" s="53"/>
      <c r="AG374" s="53">
        <f t="shared" si="273"/>
        <v>9980</v>
      </c>
      <c r="AH374" s="53">
        <v>-408</v>
      </c>
      <c r="AI374" s="53">
        <f t="shared" si="274"/>
        <v>9572</v>
      </c>
      <c r="AJ374" s="53"/>
      <c r="AK374" s="53">
        <f t="shared" si="275"/>
        <v>9572</v>
      </c>
      <c r="AL374" s="75"/>
      <c r="AM374" s="75"/>
      <c r="AO374" s="96"/>
    </row>
    <row r="375" spans="1:39" s="15" customFormat="1" ht="24">
      <c r="A375" s="41"/>
      <c r="B375" s="55"/>
      <c r="C375" s="59">
        <v>4400</v>
      </c>
      <c r="D375" s="27" t="s">
        <v>203</v>
      </c>
      <c r="E375" s="53">
        <f>2070+70607</f>
        <v>72677</v>
      </c>
      <c r="F375" s="53"/>
      <c r="G375" s="53">
        <f t="shared" si="263"/>
        <v>72677</v>
      </c>
      <c r="H375" s="53"/>
      <c r="I375" s="53">
        <f t="shared" si="264"/>
        <v>72677</v>
      </c>
      <c r="J375" s="53"/>
      <c r="K375" s="53">
        <f t="shared" si="265"/>
        <v>72677</v>
      </c>
      <c r="L375" s="53"/>
      <c r="M375" s="53">
        <f t="shared" si="266"/>
        <v>72677</v>
      </c>
      <c r="N375" s="53"/>
      <c r="O375" s="53">
        <f t="shared" si="267"/>
        <v>72677</v>
      </c>
      <c r="P375" s="53"/>
      <c r="Q375" s="53">
        <f t="shared" si="268"/>
        <v>72677</v>
      </c>
      <c r="R375" s="53"/>
      <c r="S375" s="53">
        <f t="shared" si="269"/>
        <v>72677</v>
      </c>
      <c r="T375" s="53"/>
      <c r="U375" s="53">
        <f t="shared" si="270"/>
        <v>72677</v>
      </c>
      <c r="V375" s="53">
        <v>-1500</v>
      </c>
      <c r="W375" s="53">
        <f t="shared" si="271"/>
        <v>71177</v>
      </c>
      <c r="X375" s="53"/>
      <c r="Y375" s="53">
        <f t="shared" si="272"/>
        <v>71177</v>
      </c>
      <c r="Z375" s="53"/>
      <c r="AA375" s="53">
        <f t="shared" si="256"/>
        <v>71177</v>
      </c>
      <c r="AB375" s="53"/>
      <c r="AC375" s="53">
        <f t="shared" si="257"/>
        <v>71177</v>
      </c>
      <c r="AD375" s="53">
        <v>-4127</v>
      </c>
      <c r="AE375" s="53">
        <f t="shared" si="255"/>
        <v>67050</v>
      </c>
      <c r="AF375" s="53"/>
      <c r="AG375" s="53">
        <f t="shared" si="273"/>
        <v>67050</v>
      </c>
      <c r="AH375" s="53"/>
      <c r="AI375" s="53">
        <f t="shared" si="274"/>
        <v>67050</v>
      </c>
      <c r="AJ375" s="53"/>
      <c r="AK375" s="53">
        <f t="shared" si="275"/>
        <v>67050</v>
      </c>
      <c r="AL375" s="75"/>
      <c r="AM375" s="75"/>
    </row>
    <row r="376" spans="1:39" s="15" customFormat="1" ht="21" customHeight="1">
      <c r="A376" s="41"/>
      <c r="B376" s="55"/>
      <c r="C376" s="59">
        <v>4410</v>
      </c>
      <c r="D376" s="27" t="s">
        <v>80</v>
      </c>
      <c r="E376" s="53">
        <f>1620+9955</f>
        <v>11575</v>
      </c>
      <c r="F376" s="53"/>
      <c r="G376" s="53">
        <f t="shared" si="263"/>
        <v>11575</v>
      </c>
      <c r="H376" s="53"/>
      <c r="I376" s="53">
        <f t="shared" si="264"/>
        <v>11575</v>
      </c>
      <c r="J376" s="53"/>
      <c r="K376" s="53">
        <f t="shared" si="265"/>
        <v>11575</v>
      </c>
      <c r="L376" s="53"/>
      <c r="M376" s="53">
        <f t="shared" si="266"/>
        <v>11575</v>
      </c>
      <c r="N376" s="53"/>
      <c r="O376" s="53">
        <f t="shared" si="267"/>
        <v>11575</v>
      </c>
      <c r="P376" s="53"/>
      <c r="Q376" s="53">
        <f t="shared" si="268"/>
        <v>11575</v>
      </c>
      <c r="R376" s="53"/>
      <c r="S376" s="53">
        <f t="shared" si="269"/>
        <v>11575</v>
      </c>
      <c r="T376" s="53"/>
      <c r="U376" s="53">
        <f t="shared" si="270"/>
        <v>11575</v>
      </c>
      <c r="V376" s="53"/>
      <c r="W376" s="53">
        <f t="shared" si="271"/>
        <v>11575</v>
      </c>
      <c r="X376" s="53"/>
      <c r="Y376" s="53">
        <f t="shared" si="272"/>
        <v>11575</v>
      </c>
      <c r="Z376" s="53"/>
      <c r="AA376" s="53">
        <f t="shared" si="256"/>
        <v>11575</v>
      </c>
      <c r="AB376" s="53"/>
      <c r="AC376" s="53">
        <f t="shared" si="257"/>
        <v>11575</v>
      </c>
      <c r="AD376" s="53">
        <f>75+1445</f>
        <v>1520</v>
      </c>
      <c r="AE376" s="53">
        <f t="shared" si="255"/>
        <v>13095</v>
      </c>
      <c r="AF376" s="53"/>
      <c r="AG376" s="53">
        <f t="shared" si="273"/>
        <v>13095</v>
      </c>
      <c r="AH376" s="53">
        <v>-142</v>
      </c>
      <c r="AI376" s="53">
        <f t="shared" si="274"/>
        <v>12953</v>
      </c>
      <c r="AJ376" s="53"/>
      <c r="AK376" s="53">
        <f t="shared" si="275"/>
        <v>12953</v>
      </c>
      <c r="AL376" s="75"/>
      <c r="AM376" s="75"/>
    </row>
    <row r="377" spans="1:39" s="15" customFormat="1" ht="21" customHeight="1">
      <c r="A377" s="41"/>
      <c r="B377" s="55"/>
      <c r="C377" s="59">
        <v>4430</v>
      </c>
      <c r="D377" s="27" t="s">
        <v>84</v>
      </c>
      <c r="E377" s="53">
        <v>2800</v>
      </c>
      <c r="F377" s="53"/>
      <c r="G377" s="53">
        <f t="shared" si="263"/>
        <v>2800</v>
      </c>
      <c r="H377" s="53"/>
      <c r="I377" s="53">
        <f t="shared" si="264"/>
        <v>2800</v>
      </c>
      <c r="J377" s="53"/>
      <c r="K377" s="53">
        <f t="shared" si="265"/>
        <v>2800</v>
      </c>
      <c r="L377" s="53"/>
      <c r="M377" s="53">
        <f t="shared" si="266"/>
        <v>2800</v>
      </c>
      <c r="N377" s="53"/>
      <c r="O377" s="53">
        <f t="shared" si="267"/>
        <v>2800</v>
      </c>
      <c r="P377" s="53"/>
      <c r="Q377" s="53">
        <f t="shared" si="268"/>
        <v>2800</v>
      </c>
      <c r="R377" s="53"/>
      <c r="S377" s="53">
        <f t="shared" si="269"/>
        <v>2800</v>
      </c>
      <c r="T377" s="53"/>
      <c r="U377" s="53">
        <f t="shared" si="270"/>
        <v>2800</v>
      </c>
      <c r="V377" s="53"/>
      <c r="W377" s="53">
        <f t="shared" si="271"/>
        <v>2800</v>
      </c>
      <c r="X377" s="53"/>
      <c r="Y377" s="53">
        <f t="shared" si="272"/>
        <v>2800</v>
      </c>
      <c r="Z377" s="53"/>
      <c r="AA377" s="53">
        <f t="shared" si="256"/>
        <v>2800</v>
      </c>
      <c r="AB377" s="53"/>
      <c r="AC377" s="53">
        <f t="shared" si="257"/>
        <v>2800</v>
      </c>
      <c r="AD377" s="53">
        <v>-543</v>
      </c>
      <c r="AE377" s="53">
        <f t="shared" si="255"/>
        <v>2257</v>
      </c>
      <c r="AF377" s="53"/>
      <c r="AG377" s="53">
        <f t="shared" si="273"/>
        <v>2257</v>
      </c>
      <c r="AH377" s="53"/>
      <c r="AI377" s="53">
        <f t="shared" si="274"/>
        <v>2257</v>
      </c>
      <c r="AJ377" s="53"/>
      <c r="AK377" s="53">
        <f t="shared" si="275"/>
        <v>2257</v>
      </c>
      <c r="AL377" s="75"/>
      <c r="AM377" s="75"/>
    </row>
    <row r="378" spans="1:39" s="15" customFormat="1" ht="21" customHeight="1">
      <c r="A378" s="41"/>
      <c r="B378" s="55"/>
      <c r="C378" s="59">
        <v>4440</v>
      </c>
      <c r="D378" s="27" t="s">
        <v>78</v>
      </c>
      <c r="E378" s="53">
        <f>1680+18585</f>
        <v>20265</v>
      </c>
      <c r="F378" s="53"/>
      <c r="G378" s="53">
        <f t="shared" si="263"/>
        <v>20265</v>
      </c>
      <c r="H378" s="53"/>
      <c r="I378" s="53">
        <f t="shared" si="264"/>
        <v>20265</v>
      </c>
      <c r="J378" s="53"/>
      <c r="K378" s="53">
        <f t="shared" si="265"/>
        <v>20265</v>
      </c>
      <c r="L378" s="53"/>
      <c r="M378" s="53">
        <f t="shared" si="266"/>
        <v>20265</v>
      </c>
      <c r="N378" s="53"/>
      <c r="O378" s="53">
        <f t="shared" si="267"/>
        <v>20265</v>
      </c>
      <c r="P378" s="53"/>
      <c r="Q378" s="53">
        <f t="shared" si="268"/>
        <v>20265</v>
      </c>
      <c r="R378" s="53"/>
      <c r="S378" s="53">
        <f t="shared" si="269"/>
        <v>20265</v>
      </c>
      <c r="T378" s="53"/>
      <c r="U378" s="53">
        <f t="shared" si="270"/>
        <v>20265</v>
      </c>
      <c r="V378" s="53"/>
      <c r="W378" s="53">
        <f t="shared" si="271"/>
        <v>20265</v>
      </c>
      <c r="X378" s="53"/>
      <c r="Y378" s="53">
        <f t="shared" si="272"/>
        <v>20265</v>
      </c>
      <c r="Z378" s="53"/>
      <c r="AA378" s="53">
        <f t="shared" si="256"/>
        <v>20265</v>
      </c>
      <c r="AB378" s="53"/>
      <c r="AC378" s="53">
        <f t="shared" si="257"/>
        <v>20265</v>
      </c>
      <c r="AD378" s="53">
        <v>1533</v>
      </c>
      <c r="AE378" s="53">
        <f t="shared" si="255"/>
        <v>21798</v>
      </c>
      <c r="AF378" s="53"/>
      <c r="AG378" s="53">
        <f t="shared" si="273"/>
        <v>21798</v>
      </c>
      <c r="AH378" s="53">
        <v>133</v>
      </c>
      <c r="AI378" s="53">
        <f t="shared" si="274"/>
        <v>21931</v>
      </c>
      <c r="AJ378" s="53"/>
      <c r="AK378" s="53">
        <f t="shared" si="275"/>
        <v>21931</v>
      </c>
      <c r="AL378" s="75"/>
      <c r="AM378" s="75"/>
    </row>
    <row r="379" spans="1:39" s="15" customFormat="1" ht="21" customHeight="1">
      <c r="A379" s="41"/>
      <c r="B379" s="55"/>
      <c r="C379" s="59">
        <v>4610</v>
      </c>
      <c r="D379" s="27" t="s">
        <v>155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>
        <v>0</v>
      </c>
      <c r="V379" s="53">
        <v>800</v>
      </c>
      <c r="W379" s="53">
        <f t="shared" si="271"/>
        <v>800</v>
      </c>
      <c r="X379" s="53"/>
      <c r="Y379" s="53">
        <f t="shared" si="272"/>
        <v>800</v>
      </c>
      <c r="Z379" s="53"/>
      <c r="AA379" s="53">
        <f t="shared" si="256"/>
        <v>800</v>
      </c>
      <c r="AB379" s="53"/>
      <c r="AC379" s="53">
        <f t="shared" si="257"/>
        <v>800</v>
      </c>
      <c r="AD379" s="53">
        <v>800</v>
      </c>
      <c r="AE379" s="53">
        <f t="shared" si="255"/>
        <v>1600</v>
      </c>
      <c r="AF379" s="53"/>
      <c r="AG379" s="53">
        <f t="shared" si="273"/>
        <v>1600</v>
      </c>
      <c r="AH379" s="53">
        <v>-923</v>
      </c>
      <c r="AI379" s="53">
        <f t="shared" si="274"/>
        <v>677</v>
      </c>
      <c r="AJ379" s="53"/>
      <c r="AK379" s="53">
        <f t="shared" si="275"/>
        <v>677</v>
      </c>
      <c r="AL379" s="75"/>
      <c r="AM379" s="75"/>
    </row>
    <row r="380" spans="1:39" s="15" customFormat="1" ht="24">
      <c r="A380" s="41"/>
      <c r="B380" s="55"/>
      <c r="C380" s="59">
        <v>4700</v>
      </c>
      <c r="D380" s="27" t="s">
        <v>233</v>
      </c>
      <c r="E380" s="53">
        <v>3500</v>
      </c>
      <c r="F380" s="53"/>
      <c r="G380" s="53">
        <f>SUM(E380:F380)</f>
        <v>3500</v>
      </c>
      <c r="H380" s="53"/>
      <c r="I380" s="53">
        <f>SUM(G380:H380)</f>
        <v>3500</v>
      </c>
      <c r="J380" s="53"/>
      <c r="K380" s="53">
        <f>SUM(I380:J380)</f>
        <v>3500</v>
      </c>
      <c r="L380" s="53"/>
      <c r="M380" s="53">
        <f>SUM(K380:L380)</f>
        <v>3500</v>
      </c>
      <c r="N380" s="53"/>
      <c r="O380" s="53">
        <f>SUM(M380:N380)</f>
        <v>3500</v>
      </c>
      <c r="P380" s="53"/>
      <c r="Q380" s="53">
        <f>SUM(O380:P380)</f>
        <v>3500</v>
      </c>
      <c r="R380" s="53"/>
      <c r="S380" s="53">
        <f>SUM(Q380:R380)</f>
        <v>3500</v>
      </c>
      <c r="T380" s="53"/>
      <c r="U380" s="53">
        <f>SUM(S380:T380)</f>
        <v>3500</v>
      </c>
      <c r="V380" s="53"/>
      <c r="W380" s="53">
        <f t="shared" si="271"/>
        <v>3500</v>
      </c>
      <c r="X380" s="53"/>
      <c r="Y380" s="53">
        <f t="shared" si="272"/>
        <v>3500</v>
      </c>
      <c r="Z380" s="53"/>
      <c r="AA380" s="53">
        <f t="shared" si="256"/>
        <v>3500</v>
      </c>
      <c r="AB380" s="53"/>
      <c r="AC380" s="53">
        <f t="shared" si="257"/>
        <v>3500</v>
      </c>
      <c r="AD380" s="53"/>
      <c r="AE380" s="53">
        <f t="shared" si="255"/>
        <v>3500</v>
      </c>
      <c r="AF380" s="53"/>
      <c r="AG380" s="53">
        <f t="shared" si="273"/>
        <v>3500</v>
      </c>
      <c r="AH380" s="53"/>
      <c r="AI380" s="53">
        <f t="shared" si="274"/>
        <v>3500</v>
      </c>
      <c r="AJ380" s="53"/>
      <c r="AK380" s="53">
        <f t="shared" si="275"/>
        <v>3500</v>
      </c>
      <c r="AL380" s="75"/>
      <c r="AM380" s="75"/>
    </row>
    <row r="381" spans="1:39" s="15" customFormat="1" ht="24">
      <c r="A381" s="41"/>
      <c r="B381" s="55"/>
      <c r="C381" s="59">
        <v>4740</v>
      </c>
      <c r="D381" s="27" t="s">
        <v>189</v>
      </c>
      <c r="E381" s="53">
        <f>300+1872</f>
        <v>2172</v>
      </c>
      <c r="F381" s="53"/>
      <c r="G381" s="53">
        <f>SUM(E381:F381)</f>
        <v>2172</v>
      </c>
      <c r="H381" s="53"/>
      <c r="I381" s="53">
        <f>SUM(G381:H381)</f>
        <v>2172</v>
      </c>
      <c r="J381" s="53"/>
      <c r="K381" s="53">
        <f>SUM(I381:J381)</f>
        <v>2172</v>
      </c>
      <c r="L381" s="53"/>
      <c r="M381" s="53">
        <f>SUM(K381:L381)</f>
        <v>2172</v>
      </c>
      <c r="N381" s="53"/>
      <c r="O381" s="53">
        <f>SUM(M381:N381)</f>
        <v>2172</v>
      </c>
      <c r="P381" s="53"/>
      <c r="Q381" s="53">
        <f>SUM(O381:P381)</f>
        <v>2172</v>
      </c>
      <c r="R381" s="53"/>
      <c r="S381" s="53">
        <f>SUM(Q381:R381)</f>
        <v>2172</v>
      </c>
      <c r="T381" s="53"/>
      <c r="U381" s="53">
        <f>SUM(S381:T381)</f>
        <v>2172</v>
      </c>
      <c r="V381" s="53">
        <v>533</v>
      </c>
      <c r="W381" s="53">
        <f t="shared" si="271"/>
        <v>2705</v>
      </c>
      <c r="X381" s="53"/>
      <c r="Y381" s="53">
        <f t="shared" si="272"/>
        <v>2705</v>
      </c>
      <c r="Z381" s="53"/>
      <c r="AA381" s="53">
        <f t="shared" si="256"/>
        <v>2705</v>
      </c>
      <c r="AB381" s="53"/>
      <c r="AC381" s="53">
        <f t="shared" si="257"/>
        <v>2705</v>
      </c>
      <c r="AD381" s="53">
        <v>458</v>
      </c>
      <c r="AE381" s="53">
        <f t="shared" si="255"/>
        <v>3163</v>
      </c>
      <c r="AF381" s="53"/>
      <c r="AG381" s="53">
        <f t="shared" si="273"/>
        <v>3163</v>
      </c>
      <c r="AH381" s="53">
        <v>-757</v>
      </c>
      <c r="AI381" s="53">
        <f t="shared" si="274"/>
        <v>2406</v>
      </c>
      <c r="AJ381" s="53"/>
      <c r="AK381" s="53">
        <f t="shared" si="275"/>
        <v>2406</v>
      </c>
      <c r="AL381" s="75"/>
      <c r="AM381" s="75"/>
    </row>
    <row r="382" spans="1:39" s="15" customFormat="1" ht="24">
      <c r="A382" s="41"/>
      <c r="B382" s="55"/>
      <c r="C382" s="59">
        <v>4750</v>
      </c>
      <c r="D382" s="27" t="s">
        <v>270</v>
      </c>
      <c r="E382" s="53">
        <f>1000+4500</f>
        <v>5500</v>
      </c>
      <c r="F382" s="53"/>
      <c r="G382" s="53">
        <f>SUM(E382:F382)</f>
        <v>5500</v>
      </c>
      <c r="H382" s="53"/>
      <c r="I382" s="53">
        <f>SUM(G382:H382)</f>
        <v>5500</v>
      </c>
      <c r="J382" s="53"/>
      <c r="K382" s="53">
        <f>SUM(I382:J382)</f>
        <v>5500</v>
      </c>
      <c r="L382" s="53"/>
      <c r="M382" s="53">
        <f>SUM(K382:L382)</f>
        <v>5500</v>
      </c>
      <c r="N382" s="53"/>
      <c r="O382" s="53">
        <f>SUM(M382:N382)</f>
        <v>5500</v>
      </c>
      <c r="P382" s="53"/>
      <c r="Q382" s="53">
        <f>SUM(O382:P382)</f>
        <v>5500</v>
      </c>
      <c r="R382" s="53"/>
      <c r="S382" s="53">
        <f>SUM(Q382:R382)</f>
        <v>5500</v>
      </c>
      <c r="T382" s="53"/>
      <c r="U382" s="53">
        <f>SUM(S382:T382)</f>
        <v>5500</v>
      </c>
      <c r="V382" s="53">
        <v>103</v>
      </c>
      <c r="W382" s="53">
        <f t="shared" si="271"/>
        <v>5603</v>
      </c>
      <c r="X382" s="53"/>
      <c r="Y382" s="53">
        <f t="shared" si="272"/>
        <v>5603</v>
      </c>
      <c r="Z382" s="53"/>
      <c r="AA382" s="53">
        <f t="shared" si="256"/>
        <v>5603</v>
      </c>
      <c r="AB382" s="53"/>
      <c r="AC382" s="53">
        <f t="shared" si="257"/>
        <v>5603</v>
      </c>
      <c r="AD382" s="53">
        <f>103+1500+4220</f>
        <v>5823</v>
      </c>
      <c r="AE382" s="53">
        <f t="shared" si="255"/>
        <v>11426</v>
      </c>
      <c r="AF382" s="53"/>
      <c r="AG382" s="53">
        <f t="shared" si="273"/>
        <v>11426</v>
      </c>
      <c r="AH382" s="53">
        <v>-148</v>
      </c>
      <c r="AI382" s="53">
        <f t="shared" si="274"/>
        <v>11278</v>
      </c>
      <c r="AJ382" s="53"/>
      <c r="AK382" s="53">
        <f t="shared" si="275"/>
        <v>11278</v>
      </c>
      <c r="AL382" s="75"/>
      <c r="AM382" s="75"/>
    </row>
    <row r="383" spans="1:41" s="15" customFormat="1" ht="26.25" customHeight="1">
      <c r="A383" s="41"/>
      <c r="B383" s="55"/>
      <c r="C383" s="59">
        <v>6060</v>
      </c>
      <c r="D383" s="27" t="s">
        <v>86</v>
      </c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>
        <v>0</v>
      </c>
      <c r="AD383" s="53">
        <v>5000</v>
      </c>
      <c r="AE383" s="53">
        <f t="shared" si="255"/>
        <v>5000</v>
      </c>
      <c r="AF383" s="53"/>
      <c r="AG383" s="53">
        <f t="shared" si="273"/>
        <v>5000</v>
      </c>
      <c r="AH383" s="53"/>
      <c r="AI383" s="53">
        <f t="shared" si="274"/>
        <v>5000</v>
      </c>
      <c r="AJ383" s="53"/>
      <c r="AK383" s="53">
        <f t="shared" si="275"/>
        <v>5000</v>
      </c>
      <c r="AL383" s="75"/>
      <c r="AM383" s="75"/>
      <c r="AN383" s="75"/>
      <c r="AO383" s="75"/>
    </row>
    <row r="384" spans="1:39" s="15" customFormat="1" ht="21.75" customHeight="1">
      <c r="A384" s="41"/>
      <c r="B384" s="55">
        <v>85228</v>
      </c>
      <c r="C384" s="59"/>
      <c r="D384" s="27" t="s">
        <v>114</v>
      </c>
      <c r="E384" s="53">
        <f aca="true" t="shared" si="276" ref="E384:AJ384">SUM(E385)</f>
        <v>150000</v>
      </c>
      <c r="F384" s="53">
        <f t="shared" si="276"/>
        <v>0</v>
      </c>
      <c r="G384" s="53">
        <f t="shared" si="276"/>
        <v>150000</v>
      </c>
      <c r="H384" s="53">
        <f t="shared" si="276"/>
        <v>0</v>
      </c>
      <c r="I384" s="53">
        <f t="shared" si="276"/>
        <v>150000</v>
      </c>
      <c r="J384" s="53">
        <f t="shared" si="276"/>
        <v>0</v>
      </c>
      <c r="K384" s="53">
        <f t="shared" si="276"/>
        <v>150000</v>
      </c>
      <c r="L384" s="53">
        <f t="shared" si="276"/>
        <v>0</v>
      </c>
      <c r="M384" s="53">
        <f t="shared" si="276"/>
        <v>150000</v>
      </c>
      <c r="N384" s="53">
        <f t="shared" si="276"/>
        <v>0</v>
      </c>
      <c r="O384" s="53">
        <f t="shared" si="276"/>
        <v>150000</v>
      </c>
      <c r="P384" s="53">
        <f t="shared" si="276"/>
        <v>0</v>
      </c>
      <c r="Q384" s="53">
        <f t="shared" si="276"/>
        <v>150000</v>
      </c>
      <c r="R384" s="53">
        <f t="shared" si="276"/>
        <v>0</v>
      </c>
      <c r="S384" s="53">
        <f t="shared" si="276"/>
        <v>150000</v>
      </c>
      <c r="T384" s="53">
        <f t="shared" si="276"/>
        <v>0</v>
      </c>
      <c r="U384" s="53">
        <f t="shared" si="276"/>
        <v>150000</v>
      </c>
      <c r="V384" s="53">
        <f t="shared" si="276"/>
        <v>0</v>
      </c>
      <c r="W384" s="53">
        <f t="shared" si="276"/>
        <v>150000</v>
      </c>
      <c r="X384" s="53">
        <f t="shared" si="276"/>
        <v>0</v>
      </c>
      <c r="Y384" s="53">
        <f t="shared" si="276"/>
        <v>150000</v>
      </c>
      <c r="Z384" s="53">
        <f t="shared" si="276"/>
        <v>0</v>
      </c>
      <c r="AA384" s="53">
        <f t="shared" si="256"/>
        <v>150000</v>
      </c>
      <c r="AB384" s="53">
        <f t="shared" si="276"/>
        <v>0</v>
      </c>
      <c r="AC384" s="53">
        <f t="shared" si="257"/>
        <v>150000</v>
      </c>
      <c r="AD384" s="53">
        <f t="shared" si="276"/>
        <v>2000</v>
      </c>
      <c r="AE384" s="53">
        <f t="shared" si="255"/>
        <v>152000</v>
      </c>
      <c r="AF384" s="53">
        <f t="shared" si="276"/>
        <v>0</v>
      </c>
      <c r="AG384" s="53">
        <f t="shared" si="273"/>
        <v>152000</v>
      </c>
      <c r="AH384" s="53">
        <f t="shared" si="276"/>
        <v>0</v>
      </c>
      <c r="AI384" s="53">
        <f t="shared" si="274"/>
        <v>152000</v>
      </c>
      <c r="AJ384" s="53">
        <f t="shared" si="276"/>
        <v>0</v>
      </c>
      <c r="AK384" s="53">
        <f t="shared" si="275"/>
        <v>152000</v>
      </c>
      <c r="AL384" s="75"/>
      <c r="AM384" s="75"/>
    </row>
    <row r="385" spans="1:39" s="15" customFormat="1" ht="21" customHeight="1">
      <c r="A385" s="41"/>
      <c r="B385" s="55"/>
      <c r="C385" s="59">
        <v>4300</v>
      </c>
      <c r="D385" s="27" t="s">
        <v>69</v>
      </c>
      <c r="E385" s="53">
        <v>150000</v>
      </c>
      <c r="F385" s="53"/>
      <c r="G385" s="53">
        <f>SUM(E385:F385)</f>
        <v>150000</v>
      </c>
      <c r="H385" s="53"/>
      <c r="I385" s="53">
        <f>SUM(G385:H385)</f>
        <v>150000</v>
      </c>
      <c r="J385" s="53"/>
      <c r="K385" s="53">
        <f>SUM(I385:J385)</f>
        <v>150000</v>
      </c>
      <c r="L385" s="53"/>
      <c r="M385" s="53">
        <f>SUM(K385:L385)</f>
        <v>150000</v>
      </c>
      <c r="N385" s="53"/>
      <c r="O385" s="53">
        <f>SUM(M385:N385)</f>
        <v>150000</v>
      </c>
      <c r="P385" s="53"/>
      <c r="Q385" s="53">
        <f>SUM(O385:P385)</f>
        <v>150000</v>
      </c>
      <c r="R385" s="53"/>
      <c r="S385" s="53">
        <f>SUM(Q385:R385)</f>
        <v>150000</v>
      </c>
      <c r="T385" s="53"/>
      <c r="U385" s="53">
        <f>SUM(S385:T385)</f>
        <v>150000</v>
      </c>
      <c r="V385" s="53"/>
      <c r="W385" s="53">
        <f>SUM(U385:V385)</f>
        <v>150000</v>
      </c>
      <c r="X385" s="53"/>
      <c r="Y385" s="53">
        <f>SUM(W385:X385)</f>
        <v>150000</v>
      </c>
      <c r="Z385" s="53"/>
      <c r="AA385" s="53">
        <f t="shared" si="256"/>
        <v>150000</v>
      </c>
      <c r="AB385" s="53"/>
      <c r="AC385" s="53">
        <f t="shared" si="257"/>
        <v>150000</v>
      </c>
      <c r="AD385" s="53">
        <v>2000</v>
      </c>
      <c r="AE385" s="53">
        <f t="shared" si="255"/>
        <v>152000</v>
      </c>
      <c r="AF385" s="53"/>
      <c r="AG385" s="53">
        <f t="shared" si="273"/>
        <v>152000</v>
      </c>
      <c r="AH385" s="53"/>
      <c r="AI385" s="53">
        <f t="shared" si="274"/>
        <v>152000</v>
      </c>
      <c r="AJ385" s="53"/>
      <c r="AK385" s="53">
        <f t="shared" si="275"/>
        <v>152000</v>
      </c>
      <c r="AL385" s="75"/>
      <c r="AM385" s="75"/>
    </row>
    <row r="386" spans="1:39" s="15" customFormat="1" ht="21.75" customHeight="1">
      <c r="A386" s="41"/>
      <c r="B386" s="55" t="s">
        <v>148</v>
      </c>
      <c r="C386" s="59"/>
      <c r="D386" s="27" t="s">
        <v>16</v>
      </c>
      <c r="E386" s="53">
        <f aca="true" t="shared" si="277" ref="E386:Z386">SUM(E387:E388)</f>
        <v>516720</v>
      </c>
      <c r="F386" s="53">
        <f t="shared" si="277"/>
        <v>0</v>
      </c>
      <c r="G386" s="53">
        <f t="shared" si="277"/>
        <v>516720</v>
      </c>
      <c r="H386" s="53">
        <f t="shared" si="277"/>
        <v>0</v>
      </c>
      <c r="I386" s="53">
        <f t="shared" si="277"/>
        <v>516720</v>
      </c>
      <c r="J386" s="53">
        <f t="shared" si="277"/>
        <v>0</v>
      </c>
      <c r="K386" s="53">
        <f t="shared" si="277"/>
        <v>516720</v>
      </c>
      <c r="L386" s="53">
        <f t="shared" si="277"/>
        <v>0</v>
      </c>
      <c r="M386" s="53">
        <f t="shared" si="277"/>
        <v>516720</v>
      </c>
      <c r="N386" s="53">
        <f t="shared" si="277"/>
        <v>0</v>
      </c>
      <c r="O386" s="53">
        <f t="shared" si="277"/>
        <v>516720</v>
      </c>
      <c r="P386" s="53">
        <f t="shared" si="277"/>
        <v>0</v>
      </c>
      <c r="Q386" s="53">
        <f t="shared" si="277"/>
        <v>516720</v>
      </c>
      <c r="R386" s="53">
        <f t="shared" si="277"/>
        <v>0</v>
      </c>
      <c r="S386" s="53">
        <f t="shared" si="277"/>
        <v>516720</v>
      </c>
      <c r="T386" s="53">
        <f t="shared" si="277"/>
        <v>313200</v>
      </c>
      <c r="U386" s="53">
        <f t="shared" si="277"/>
        <v>829920</v>
      </c>
      <c r="V386" s="53">
        <f t="shared" si="277"/>
        <v>0</v>
      </c>
      <c r="W386" s="53">
        <f t="shared" si="277"/>
        <v>829920</v>
      </c>
      <c r="X386" s="53">
        <f t="shared" si="277"/>
        <v>173200</v>
      </c>
      <c r="Y386" s="53">
        <f t="shared" si="277"/>
        <v>1003120</v>
      </c>
      <c r="Z386" s="53">
        <f t="shared" si="277"/>
        <v>0</v>
      </c>
      <c r="AA386" s="53">
        <f t="shared" si="256"/>
        <v>1003120</v>
      </c>
      <c r="AB386" s="53">
        <f>SUM(AB387:AB388)</f>
        <v>86600</v>
      </c>
      <c r="AC386" s="53">
        <f t="shared" si="257"/>
        <v>1089720</v>
      </c>
      <c r="AD386" s="53">
        <f>SUM(AD387:AD388)</f>
        <v>9000</v>
      </c>
      <c r="AE386" s="53">
        <f t="shared" si="255"/>
        <v>1098720</v>
      </c>
      <c r="AF386" s="53">
        <f>SUM(AF387:AF388)</f>
        <v>0</v>
      </c>
      <c r="AG386" s="53">
        <f t="shared" si="273"/>
        <v>1098720</v>
      </c>
      <c r="AH386" s="53">
        <f>SUM(AH387:AH388)</f>
        <v>0</v>
      </c>
      <c r="AI386" s="53">
        <f t="shared" si="274"/>
        <v>1098720</v>
      </c>
      <c r="AJ386" s="53">
        <f>SUM(AJ387:AJ388)</f>
        <v>0</v>
      </c>
      <c r="AK386" s="53">
        <f t="shared" si="275"/>
        <v>1098720</v>
      </c>
      <c r="AL386" s="75"/>
      <c r="AM386" s="75"/>
    </row>
    <row r="387" spans="1:39" s="15" customFormat="1" ht="21" customHeight="1">
      <c r="A387" s="41"/>
      <c r="B387" s="55"/>
      <c r="C387" s="59">
        <v>3110</v>
      </c>
      <c r="D387" s="27" t="s">
        <v>105</v>
      </c>
      <c r="E387" s="53">
        <f>401200+100000+10000</f>
        <v>511200</v>
      </c>
      <c r="F387" s="53"/>
      <c r="G387" s="53">
        <f>SUM(E387:F387)</f>
        <v>511200</v>
      </c>
      <c r="H387" s="53"/>
      <c r="I387" s="53">
        <f>SUM(G387:H387)</f>
        <v>511200</v>
      </c>
      <c r="J387" s="53"/>
      <c r="K387" s="53">
        <f>SUM(I387:J387)</f>
        <v>511200</v>
      </c>
      <c r="L387" s="53"/>
      <c r="M387" s="53">
        <f>SUM(K387:L387)</f>
        <v>511200</v>
      </c>
      <c r="N387" s="53"/>
      <c r="O387" s="53">
        <f>SUM(M387:N387)</f>
        <v>511200</v>
      </c>
      <c r="P387" s="53"/>
      <c r="Q387" s="53">
        <f>SUM(O387:P387)</f>
        <v>511200</v>
      </c>
      <c r="R387" s="53"/>
      <c r="S387" s="53">
        <f>SUM(Q387:R387)</f>
        <v>511200</v>
      </c>
      <c r="T387" s="53">
        <f>173200+140000</f>
        <v>313200</v>
      </c>
      <c r="U387" s="53">
        <f>SUM(S387:T387)</f>
        <v>824400</v>
      </c>
      <c r="V387" s="53"/>
      <c r="W387" s="53">
        <f>SUM(U387:V387)</f>
        <v>824400</v>
      </c>
      <c r="X387" s="53">
        <v>173200</v>
      </c>
      <c r="Y387" s="53">
        <f>SUM(W387:X387)</f>
        <v>997600</v>
      </c>
      <c r="Z387" s="53"/>
      <c r="AA387" s="53">
        <f t="shared" si="256"/>
        <v>997600</v>
      </c>
      <c r="AB387" s="53">
        <v>86600</v>
      </c>
      <c r="AC387" s="53">
        <f t="shared" si="257"/>
        <v>1084200</v>
      </c>
      <c r="AD387" s="53">
        <v>9000</v>
      </c>
      <c r="AE387" s="53">
        <f t="shared" si="255"/>
        <v>1093200</v>
      </c>
      <c r="AF387" s="53"/>
      <c r="AG387" s="53">
        <f t="shared" si="273"/>
        <v>1093200</v>
      </c>
      <c r="AH387" s="53"/>
      <c r="AI387" s="53">
        <f t="shared" si="274"/>
        <v>1093200</v>
      </c>
      <c r="AJ387" s="53"/>
      <c r="AK387" s="53">
        <f t="shared" si="275"/>
        <v>1093200</v>
      </c>
      <c r="AL387" s="75"/>
      <c r="AM387" s="75"/>
    </row>
    <row r="388" spans="1:39" s="15" customFormat="1" ht="21" customHeight="1">
      <c r="A388" s="41"/>
      <c r="B388" s="55"/>
      <c r="C388" s="59">
        <v>4430</v>
      </c>
      <c r="D388" s="27" t="s">
        <v>84</v>
      </c>
      <c r="E388" s="53">
        <v>5520</v>
      </c>
      <c r="F388" s="53"/>
      <c r="G388" s="53">
        <f>SUM(E388:F388)</f>
        <v>5520</v>
      </c>
      <c r="H388" s="53"/>
      <c r="I388" s="53">
        <f>SUM(G388:H388)</f>
        <v>5520</v>
      </c>
      <c r="J388" s="53"/>
      <c r="K388" s="53">
        <f>SUM(I388:J388)</f>
        <v>5520</v>
      </c>
      <c r="L388" s="53"/>
      <c r="M388" s="53">
        <f>SUM(K388:L388)</f>
        <v>5520</v>
      </c>
      <c r="N388" s="53"/>
      <c r="O388" s="53">
        <f>SUM(M388:N388)</f>
        <v>5520</v>
      </c>
      <c r="P388" s="53"/>
      <c r="Q388" s="53">
        <f>SUM(O388:P388)</f>
        <v>5520</v>
      </c>
      <c r="R388" s="53"/>
      <c r="S388" s="53">
        <f>SUM(Q388:R388)</f>
        <v>5520</v>
      </c>
      <c r="T388" s="53"/>
      <c r="U388" s="53">
        <f>SUM(S388:T388)</f>
        <v>5520</v>
      </c>
      <c r="V388" s="53"/>
      <c r="W388" s="53">
        <f>SUM(U388:V388)</f>
        <v>5520</v>
      </c>
      <c r="X388" s="53"/>
      <c r="Y388" s="53">
        <f>SUM(W388:X388)</f>
        <v>5520</v>
      </c>
      <c r="Z388" s="53"/>
      <c r="AA388" s="53">
        <f t="shared" si="256"/>
        <v>5520</v>
      </c>
      <c r="AB388" s="53"/>
      <c r="AC388" s="53">
        <f t="shared" si="257"/>
        <v>5520</v>
      </c>
      <c r="AD388" s="53"/>
      <c r="AE388" s="53">
        <f t="shared" si="255"/>
        <v>5520</v>
      </c>
      <c r="AF388" s="53"/>
      <c r="AG388" s="53">
        <f t="shared" si="273"/>
        <v>5520</v>
      </c>
      <c r="AH388" s="53"/>
      <c r="AI388" s="53">
        <f t="shared" si="274"/>
        <v>5520</v>
      </c>
      <c r="AJ388" s="53"/>
      <c r="AK388" s="53">
        <f t="shared" si="275"/>
        <v>5520</v>
      </c>
      <c r="AL388" s="75"/>
      <c r="AM388" s="75"/>
    </row>
    <row r="389" spans="1:39" s="29" customFormat="1" ht="26.25" customHeight="1">
      <c r="A389" s="22">
        <v>853</v>
      </c>
      <c r="B389" s="38"/>
      <c r="C389" s="24"/>
      <c r="D389" s="25" t="s">
        <v>219</v>
      </c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>
        <f aca="true" t="shared" si="278" ref="Q389:AJ390">SUM(Q390)</f>
        <v>0</v>
      </c>
      <c r="R389" s="26">
        <f t="shared" si="278"/>
        <v>10704</v>
      </c>
      <c r="S389" s="26">
        <f t="shared" si="278"/>
        <v>10704</v>
      </c>
      <c r="T389" s="26">
        <f t="shared" si="278"/>
        <v>0</v>
      </c>
      <c r="U389" s="26">
        <f t="shared" si="278"/>
        <v>10704</v>
      </c>
      <c r="V389" s="26">
        <f t="shared" si="278"/>
        <v>0</v>
      </c>
      <c r="W389" s="26">
        <f t="shared" si="278"/>
        <v>10704</v>
      </c>
      <c r="X389" s="26">
        <f t="shared" si="278"/>
        <v>0</v>
      </c>
      <c r="Y389" s="26">
        <f t="shared" si="278"/>
        <v>10704</v>
      </c>
      <c r="Z389" s="26">
        <f t="shared" si="278"/>
        <v>0</v>
      </c>
      <c r="AA389" s="26">
        <f t="shared" si="256"/>
        <v>10704</v>
      </c>
      <c r="AB389" s="26">
        <f aca="true" t="shared" si="279" ref="AB389:AG389">SUM(AB390,AB392)</f>
        <v>0</v>
      </c>
      <c r="AC389" s="26">
        <f t="shared" si="279"/>
        <v>10704</v>
      </c>
      <c r="AD389" s="26">
        <f t="shared" si="279"/>
        <v>122633</v>
      </c>
      <c r="AE389" s="26">
        <f t="shared" si="279"/>
        <v>133337</v>
      </c>
      <c r="AF389" s="26">
        <f t="shared" si="279"/>
        <v>0</v>
      </c>
      <c r="AG389" s="26">
        <f t="shared" si="279"/>
        <v>133337</v>
      </c>
      <c r="AH389" s="26">
        <f>SUM(AH390,AH392)</f>
        <v>0</v>
      </c>
      <c r="AI389" s="26">
        <f>SUM(AI390,AI392)</f>
        <v>133337</v>
      </c>
      <c r="AJ389" s="26">
        <f>SUM(AJ390,AJ392)</f>
        <v>0</v>
      </c>
      <c r="AK389" s="26">
        <f>SUM(AK390,AK392)</f>
        <v>133337</v>
      </c>
      <c r="AL389" s="28"/>
      <c r="AM389" s="28"/>
    </row>
    <row r="390" spans="1:39" s="15" customFormat="1" ht="21" customHeight="1">
      <c r="A390" s="41"/>
      <c r="B390" s="55">
        <v>85311</v>
      </c>
      <c r="C390" s="59"/>
      <c r="D390" s="27" t="s">
        <v>220</v>
      </c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>
        <f t="shared" si="278"/>
        <v>0</v>
      </c>
      <c r="R390" s="53">
        <f t="shared" si="278"/>
        <v>10704</v>
      </c>
      <c r="S390" s="53">
        <f t="shared" si="278"/>
        <v>10704</v>
      </c>
      <c r="T390" s="53">
        <f t="shared" si="278"/>
        <v>0</v>
      </c>
      <c r="U390" s="53">
        <f t="shared" si="278"/>
        <v>10704</v>
      </c>
      <c r="V390" s="53">
        <f t="shared" si="278"/>
        <v>0</v>
      </c>
      <c r="W390" s="53">
        <f t="shared" si="278"/>
        <v>10704</v>
      </c>
      <c r="X390" s="53">
        <f t="shared" si="278"/>
        <v>0</v>
      </c>
      <c r="Y390" s="53">
        <f t="shared" si="278"/>
        <v>10704</v>
      </c>
      <c r="Z390" s="53">
        <f t="shared" si="278"/>
        <v>0</v>
      </c>
      <c r="AA390" s="53">
        <f t="shared" si="256"/>
        <v>10704</v>
      </c>
      <c r="AB390" s="53">
        <f t="shared" si="278"/>
        <v>0</v>
      </c>
      <c r="AC390" s="53">
        <f t="shared" si="257"/>
        <v>10704</v>
      </c>
      <c r="AD390" s="53">
        <f t="shared" si="278"/>
        <v>0</v>
      </c>
      <c r="AE390" s="53">
        <f>SUM(AC390:AD390)</f>
        <v>10704</v>
      </c>
      <c r="AF390" s="53">
        <f t="shared" si="278"/>
        <v>0</v>
      </c>
      <c r="AG390" s="53">
        <f>SUM(AE390:AF390)</f>
        <v>10704</v>
      </c>
      <c r="AH390" s="53">
        <f t="shared" si="278"/>
        <v>0</v>
      </c>
      <c r="AI390" s="53">
        <f>SUM(AG390:AH390)</f>
        <v>10704</v>
      </c>
      <c r="AJ390" s="53">
        <f t="shared" si="278"/>
        <v>0</v>
      </c>
      <c r="AK390" s="53">
        <f>SUM(AI390:AJ390)</f>
        <v>10704</v>
      </c>
      <c r="AL390" s="75"/>
      <c r="AM390" s="75"/>
    </row>
    <row r="391" spans="1:39" s="15" customFormat="1" ht="39" customHeight="1">
      <c r="A391" s="41"/>
      <c r="B391" s="55"/>
      <c r="C391" s="59">
        <v>2710</v>
      </c>
      <c r="D391" s="27" t="s">
        <v>235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>
        <v>0</v>
      </c>
      <c r="R391" s="53">
        <v>10704</v>
      </c>
      <c r="S391" s="53">
        <f>SUM(Q391:R391)</f>
        <v>10704</v>
      </c>
      <c r="T391" s="53"/>
      <c r="U391" s="53">
        <f>SUM(S391:T391)</f>
        <v>10704</v>
      </c>
      <c r="V391" s="53"/>
      <c r="W391" s="53">
        <f>SUM(U391:V391)</f>
        <v>10704</v>
      </c>
      <c r="X391" s="53"/>
      <c r="Y391" s="53">
        <f>SUM(W391:X391)</f>
        <v>10704</v>
      </c>
      <c r="Z391" s="53"/>
      <c r="AA391" s="53">
        <f t="shared" si="256"/>
        <v>10704</v>
      </c>
      <c r="AB391" s="53"/>
      <c r="AC391" s="53">
        <f t="shared" si="257"/>
        <v>10704</v>
      </c>
      <c r="AD391" s="53"/>
      <c r="AE391" s="53">
        <f>SUM(AC391:AD391)</f>
        <v>10704</v>
      </c>
      <c r="AF391" s="53"/>
      <c r="AG391" s="53">
        <f>SUM(AE391:AF391)</f>
        <v>10704</v>
      </c>
      <c r="AH391" s="53"/>
      <c r="AI391" s="53">
        <f>SUM(AG391:AH391)</f>
        <v>10704</v>
      </c>
      <c r="AJ391" s="53"/>
      <c r="AK391" s="53">
        <f>SUM(AI391:AJ391)</f>
        <v>10704</v>
      </c>
      <c r="AL391" s="75"/>
      <c r="AM391" s="75"/>
    </row>
    <row r="392" spans="1:39" s="15" customFormat="1" ht="26.25" customHeight="1">
      <c r="A392" s="41"/>
      <c r="B392" s="55">
        <v>85395</v>
      </c>
      <c r="C392" s="59"/>
      <c r="D392" s="27" t="s">
        <v>16</v>
      </c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>
        <f>SUM(AA394:AA404)</f>
        <v>0</v>
      </c>
      <c r="AB392" s="53">
        <f>SUM(AB394:AB404)</f>
        <v>0</v>
      </c>
      <c r="AC392" s="53">
        <f>SUM(AC394:AC404)</f>
        <v>0</v>
      </c>
      <c r="AD392" s="53">
        <f aca="true" t="shared" si="280" ref="AD392:AI392">SUM(AD393:AD404)</f>
        <v>122633</v>
      </c>
      <c r="AE392" s="53">
        <f t="shared" si="280"/>
        <v>122633</v>
      </c>
      <c r="AF392" s="53">
        <f t="shared" si="280"/>
        <v>0</v>
      </c>
      <c r="AG392" s="53">
        <f t="shared" si="280"/>
        <v>122633</v>
      </c>
      <c r="AH392" s="53">
        <f t="shared" si="280"/>
        <v>0</v>
      </c>
      <c r="AI392" s="53">
        <f t="shared" si="280"/>
        <v>122633</v>
      </c>
      <c r="AJ392" s="53">
        <f>SUM(AJ393:AJ404)</f>
        <v>0</v>
      </c>
      <c r="AK392" s="53">
        <f>SUM(AK393:AK404)</f>
        <v>122633</v>
      </c>
      <c r="AL392" s="75"/>
      <c r="AM392" s="75"/>
    </row>
    <row r="393" spans="1:39" s="15" customFormat="1" ht="26.25" customHeight="1">
      <c r="A393" s="41"/>
      <c r="B393" s="55"/>
      <c r="C393" s="59">
        <v>3119</v>
      </c>
      <c r="D393" s="27" t="s">
        <v>105</v>
      </c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>
        <v>0</v>
      </c>
      <c r="AD393" s="53">
        <v>12819</v>
      </c>
      <c r="AE393" s="53">
        <f aca="true" t="shared" si="281" ref="AE393:AE404">SUM(AC393:AD393)</f>
        <v>12819</v>
      </c>
      <c r="AF393" s="53"/>
      <c r="AG393" s="53">
        <f aca="true" t="shared" si="282" ref="AG393:AG404">SUM(AE393:AF393)</f>
        <v>12819</v>
      </c>
      <c r="AH393" s="53"/>
      <c r="AI393" s="53">
        <f aca="true" t="shared" si="283" ref="AI393:AI404">SUM(AG393:AH393)</f>
        <v>12819</v>
      </c>
      <c r="AJ393" s="53"/>
      <c r="AK393" s="53">
        <f aca="true" t="shared" si="284" ref="AK393:AK404">SUM(AI393:AJ393)</f>
        <v>12819</v>
      </c>
      <c r="AL393" s="75"/>
      <c r="AM393" s="75"/>
    </row>
    <row r="394" spans="1:39" s="15" customFormat="1" ht="22.5" customHeight="1">
      <c r="A394" s="41"/>
      <c r="B394" s="55"/>
      <c r="C394" s="59">
        <v>4018</v>
      </c>
      <c r="D394" s="27" t="s">
        <v>74</v>
      </c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>
        <v>0</v>
      </c>
      <c r="AB394" s="53"/>
      <c r="AC394" s="53">
        <f aca="true" t="shared" si="285" ref="AC394:AC404">SUM(AA394:AB394)</f>
        <v>0</v>
      </c>
      <c r="AD394" s="53">
        <v>12605</v>
      </c>
      <c r="AE394" s="53">
        <f t="shared" si="281"/>
        <v>12605</v>
      </c>
      <c r="AF394" s="53"/>
      <c r="AG394" s="53">
        <f t="shared" si="282"/>
        <v>12605</v>
      </c>
      <c r="AH394" s="53"/>
      <c r="AI394" s="53">
        <f t="shared" si="283"/>
        <v>12605</v>
      </c>
      <c r="AJ394" s="53"/>
      <c r="AK394" s="53">
        <f t="shared" si="284"/>
        <v>12605</v>
      </c>
      <c r="AL394" s="75"/>
      <c r="AM394" s="75"/>
    </row>
    <row r="395" spans="1:39" s="15" customFormat="1" ht="22.5" customHeight="1">
      <c r="A395" s="41"/>
      <c r="B395" s="55"/>
      <c r="C395" s="59">
        <v>4118</v>
      </c>
      <c r="D395" s="27" t="s">
        <v>76</v>
      </c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>
        <v>0</v>
      </c>
      <c r="AB395" s="53"/>
      <c r="AC395" s="53">
        <f t="shared" si="285"/>
        <v>0</v>
      </c>
      <c r="AD395" s="53">
        <v>1983</v>
      </c>
      <c r="AE395" s="53">
        <f t="shared" si="281"/>
        <v>1983</v>
      </c>
      <c r="AF395" s="53"/>
      <c r="AG395" s="53">
        <f t="shared" si="282"/>
        <v>1983</v>
      </c>
      <c r="AH395" s="53"/>
      <c r="AI395" s="53">
        <f t="shared" si="283"/>
        <v>1983</v>
      </c>
      <c r="AJ395" s="53"/>
      <c r="AK395" s="53">
        <f t="shared" si="284"/>
        <v>1983</v>
      </c>
      <c r="AL395" s="75"/>
      <c r="AM395" s="75"/>
    </row>
    <row r="396" spans="1:39" s="15" customFormat="1" ht="24.75" customHeight="1">
      <c r="A396" s="41"/>
      <c r="B396" s="55"/>
      <c r="C396" s="59">
        <v>4128</v>
      </c>
      <c r="D396" s="27" t="s">
        <v>77</v>
      </c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>
        <v>0</v>
      </c>
      <c r="AB396" s="53"/>
      <c r="AC396" s="53">
        <f t="shared" si="285"/>
        <v>0</v>
      </c>
      <c r="AD396" s="53">
        <v>309</v>
      </c>
      <c r="AE396" s="53">
        <f t="shared" si="281"/>
        <v>309</v>
      </c>
      <c r="AF396" s="53"/>
      <c r="AG396" s="53">
        <f t="shared" si="282"/>
        <v>309</v>
      </c>
      <c r="AH396" s="53"/>
      <c r="AI396" s="53">
        <f t="shared" si="283"/>
        <v>309</v>
      </c>
      <c r="AJ396" s="53"/>
      <c r="AK396" s="53">
        <f t="shared" si="284"/>
        <v>309</v>
      </c>
      <c r="AL396" s="75"/>
      <c r="AM396" s="75"/>
    </row>
    <row r="397" spans="1:39" s="15" customFormat="1" ht="21.75" customHeight="1">
      <c r="A397" s="41"/>
      <c r="B397" s="55"/>
      <c r="C397" s="59">
        <v>4178</v>
      </c>
      <c r="D397" s="27" t="s">
        <v>163</v>
      </c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>
        <v>0</v>
      </c>
      <c r="AB397" s="53"/>
      <c r="AC397" s="53">
        <f t="shared" si="285"/>
        <v>0</v>
      </c>
      <c r="AD397" s="53">
        <v>8242</v>
      </c>
      <c r="AE397" s="53">
        <f t="shared" si="281"/>
        <v>8242</v>
      </c>
      <c r="AF397" s="53"/>
      <c r="AG397" s="53">
        <f t="shared" si="282"/>
        <v>8242</v>
      </c>
      <c r="AH397" s="53"/>
      <c r="AI397" s="53">
        <f t="shared" si="283"/>
        <v>8242</v>
      </c>
      <c r="AJ397" s="53"/>
      <c r="AK397" s="53">
        <f t="shared" si="284"/>
        <v>8242</v>
      </c>
      <c r="AL397" s="75"/>
      <c r="AM397" s="75"/>
    </row>
    <row r="398" spans="1:39" s="15" customFormat="1" ht="21.75" customHeight="1">
      <c r="A398" s="41"/>
      <c r="B398" s="55"/>
      <c r="C398" s="59">
        <v>4179</v>
      </c>
      <c r="D398" s="27" t="s">
        <v>163</v>
      </c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>
        <v>0</v>
      </c>
      <c r="AB398" s="53"/>
      <c r="AC398" s="53">
        <f t="shared" si="285"/>
        <v>0</v>
      </c>
      <c r="AD398" s="53">
        <v>5519</v>
      </c>
      <c r="AE398" s="53">
        <f t="shared" si="281"/>
        <v>5519</v>
      </c>
      <c r="AF398" s="53"/>
      <c r="AG398" s="53">
        <f t="shared" si="282"/>
        <v>5519</v>
      </c>
      <c r="AH398" s="53"/>
      <c r="AI398" s="53">
        <f t="shared" si="283"/>
        <v>5519</v>
      </c>
      <c r="AJ398" s="53"/>
      <c r="AK398" s="53">
        <f t="shared" si="284"/>
        <v>5519</v>
      </c>
      <c r="AL398" s="75"/>
      <c r="AM398" s="75"/>
    </row>
    <row r="399" spans="1:39" s="15" customFormat="1" ht="21" customHeight="1">
      <c r="A399" s="41"/>
      <c r="B399" s="55"/>
      <c r="C399" s="59">
        <v>4218</v>
      </c>
      <c r="D399" s="27" t="s">
        <v>82</v>
      </c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>
        <v>0</v>
      </c>
      <c r="AB399" s="53"/>
      <c r="AC399" s="53">
        <f t="shared" si="285"/>
        <v>0</v>
      </c>
      <c r="AD399" s="53">
        <v>9991</v>
      </c>
      <c r="AE399" s="53">
        <f t="shared" si="281"/>
        <v>9991</v>
      </c>
      <c r="AF399" s="53"/>
      <c r="AG399" s="53">
        <f t="shared" si="282"/>
        <v>9991</v>
      </c>
      <c r="AH399" s="53"/>
      <c r="AI399" s="53">
        <f t="shared" si="283"/>
        <v>9991</v>
      </c>
      <c r="AJ399" s="53"/>
      <c r="AK399" s="53">
        <f t="shared" si="284"/>
        <v>9991</v>
      </c>
      <c r="AL399" s="75"/>
      <c r="AM399" s="75"/>
    </row>
    <row r="400" spans="1:39" s="15" customFormat="1" ht="18" customHeight="1">
      <c r="A400" s="41"/>
      <c r="B400" s="55"/>
      <c r="C400" s="59">
        <v>4308</v>
      </c>
      <c r="D400" s="27" t="s">
        <v>69</v>
      </c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>
        <v>0</v>
      </c>
      <c r="AB400" s="53"/>
      <c r="AC400" s="53">
        <f t="shared" si="285"/>
        <v>0</v>
      </c>
      <c r="AD400" s="53">
        <v>69949</v>
      </c>
      <c r="AE400" s="53">
        <f t="shared" si="281"/>
        <v>69949</v>
      </c>
      <c r="AF400" s="53"/>
      <c r="AG400" s="53">
        <f t="shared" si="282"/>
        <v>69949</v>
      </c>
      <c r="AH400" s="53"/>
      <c r="AI400" s="53">
        <f t="shared" si="283"/>
        <v>69949</v>
      </c>
      <c r="AJ400" s="53"/>
      <c r="AK400" s="53">
        <f t="shared" si="284"/>
        <v>69949</v>
      </c>
      <c r="AL400" s="75"/>
      <c r="AM400" s="75"/>
    </row>
    <row r="401" spans="1:39" s="15" customFormat="1" ht="24">
      <c r="A401" s="41"/>
      <c r="B401" s="55"/>
      <c r="C401" s="59">
        <v>4378</v>
      </c>
      <c r="D401" s="27" t="s">
        <v>188</v>
      </c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>
        <v>0</v>
      </c>
      <c r="AB401" s="53"/>
      <c r="AC401" s="53">
        <f t="shared" si="285"/>
        <v>0</v>
      </c>
      <c r="AD401" s="53">
        <v>18</v>
      </c>
      <c r="AE401" s="53">
        <f t="shared" si="281"/>
        <v>18</v>
      </c>
      <c r="AF401" s="53"/>
      <c r="AG401" s="53">
        <f t="shared" si="282"/>
        <v>18</v>
      </c>
      <c r="AH401" s="53"/>
      <c r="AI401" s="53">
        <f t="shared" si="283"/>
        <v>18</v>
      </c>
      <c r="AJ401" s="53"/>
      <c r="AK401" s="53">
        <f t="shared" si="284"/>
        <v>18</v>
      </c>
      <c r="AL401" s="75"/>
      <c r="AM401" s="75"/>
    </row>
    <row r="402" spans="1:39" s="15" customFormat="1" ht="24.75" customHeight="1">
      <c r="A402" s="41"/>
      <c r="B402" s="55"/>
      <c r="C402" s="59">
        <v>4409</v>
      </c>
      <c r="D402" s="27" t="s">
        <v>203</v>
      </c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>
        <v>0</v>
      </c>
      <c r="AD402" s="53">
        <v>57</v>
      </c>
      <c r="AE402" s="53">
        <f t="shared" si="281"/>
        <v>57</v>
      </c>
      <c r="AF402" s="53"/>
      <c r="AG402" s="53">
        <f t="shared" si="282"/>
        <v>57</v>
      </c>
      <c r="AH402" s="53"/>
      <c r="AI402" s="53">
        <f t="shared" si="283"/>
        <v>57</v>
      </c>
      <c r="AJ402" s="53"/>
      <c r="AK402" s="53">
        <f t="shared" si="284"/>
        <v>57</v>
      </c>
      <c r="AL402" s="75"/>
      <c r="AM402" s="75"/>
    </row>
    <row r="403" spans="1:39" s="15" customFormat="1" ht="30" customHeight="1">
      <c r="A403" s="41"/>
      <c r="B403" s="55"/>
      <c r="C403" s="59">
        <v>4748</v>
      </c>
      <c r="D403" s="27" t="s">
        <v>189</v>
      </c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>
        <v>0</v>
      </c>
      <c r="AB403" s="53"/>
      <c r="AC403" s="53">
        <f t="shared" si="285"/>
        <v>0</v>
      </c>
      <c r="AD403" s="53">
        <v>99</v>
      </c>
      <c r="AE403" s="53">
        <f t="shared" si="281"/>
        <v>99</v>
      </c>
      <c r="AF403" s="53"/>
      <c r="AG403" s="53">
        <f t="shared" si="282"/>
        <v>99</v>
      </c>
      <c r="AH403" s="53"/>
      <c r="AI403" s="53">
        <f t="shared" si="283"/>
        <v>99</v>
      </c>
      <c r="AJ403" s="53"/>
      <c r="AK403" s="53">
        <f t="shared" si="284"/>
        <v>99</v>
      </c>
      <c r="AL403" s="75"/>
      <c r="AM403" s="75"/>
    </row>
    <row r="404" spans="1:39" s="15" customFormat="1" ht="21" customHeight="1">
      <c r="A404" s="41"/>
      <c r="B404" s="55"/>
      <c r="C404" s="59">
        <v>4758</v>
      </c>
      <c r="D404" s="27" t="s">
        <v>270</v>
      </c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>
        <v>0</v>
      </c>
      <c r="AB404" s="53"/>
      <c r="AC404" s="53">
        <f t="shared" si="285"/>
        <v>0</v>
      </c>
      <c r="AD404" s="53">
        <v>1042</v>
      </c>
      <c r="AE404" s="53">
        <f t="shared" si="281"/>
        <v>1042</v>
      </c>
      <c r="AF404" s="53"/>
      <c r="AG404" s="53">
        <f t="shared" si="282"/>
        <v>1042</v>
      </c>
      <c r="AH404" s="53"/>
      <c r="AI404" s="53">
        <f t="shared" si="283"/>
        <v>1042</v>
      </c>
      <c r="AJ404" s="53"/>
      <c r="AK404" s="53">
        <f t="shared" si="284"/>
        <v>1042</v>
      </c>
      <c r="AL404" s="75"/>
      <c r="AM404" s="75"/>
    </row>
    <row r="405" spans="1:39" s="4" customFormat="1" ht="24.75" customHeight="1">
      <c r="A405" s="22" t="s">
        <v>115</v>
      </c>
      <c r="B405" s="23"/>
      <c r="C405" s="24"/>
      <c r="D405" s="25" t="s">
        <v>49</v>
      </c>
      <c r="E405" s="26">
        <f aca="true" t="shared" si="286" ref="E405:R405">SUM(E406,E419,E442,E439,E427)</f>
        <v>1076944</v>
      </c>
      <c r="F405" s="26">
        <f t="shared" si="286"/>
        <v>40000</v>
      </c>
      <c r="G405" s="26">
        <f t="shared" si="286"/>
        <v>1116944</v>
      </c>
      <c r="H405" s="26">
        <f t="shared" si="286"/>
        <v>0</v>
      </c>
      <c r="I405" s="26">
        <f t="shared" si="286"/>
        <v>1116944</v>
      </c>
      <c r="J405" s="26">
        <f t="shared" si="286"/>
        <v>0</v>
      </c>
      <c r="K405" s="26">
        <f t="shared" si="286"/>
        <v>1116944</v>
      </c>
      <c r="L405" s="26">
        <f t="shared" si="286"/>
        <v>0</v>
      </c>
      <c r="M405" s="26">
        <f t="shared" si="286"/>
        <v>1116944</v>
      </c>
      <c r="N405" s="26">
        <f t="shared" si="286"/>
        <v>0</v>
      </c>
      <c r="O405" s="26">
        <f t="shared" si="286"/>
        <v>1116944</v>
      </c>
      <c r="P405" s="26">
        <f t="shared" si="286"/>
        <v>37458</v>
      </c>
      <c r="Q405" s="26">
        <f t="shared" si="286"/>
        <v>1154402</v>
      </c>
      <c r="R405" s="26">
        <f t="shared" si="286"/>
        <v>290676</v>
      </c>
      <c r="S405" s="26">
        <f aca="true" t="shared" si="287" ref="S405:Z405">SUM(S406,S419,S442,S439,S427,S417)</f>
        <v>1445078</v>
      </c>
      <c r="T405" s="26">
        <f t="shared" si="287"/>
        <v>27000</v>
      </c>
      <c r="U405" s="26">
        <f t="shared" si="287"/>
        <v>1472078</v>
      </c>
      <c r="V405" s="26">
        <f t="shared" si="287"/>
        <v>0</v>
      </c>
      <c r="W405" s="26">
        <f t="shared" si="287"/>
        <v>1472078</v>
      </c>
      <c r="X405" s="26">
        <f t="shared" si="287"/>
        <v>-29812</v>
      </c>
      <c r="Y405" s="26">
        <f t="shared" si="287"/>
        <v>1442266</v>
      </c>
      <c r="Z405" s="26">
        <f t="shared" si="287"/>
        <v>30361</v>
      </c>
      <c r="AA405" s="26">
        <f t="shared" si="256"/>
        <v>1472627</v>
      </c>
      <c r="AB405" s="26">
        <f>SUM(AB406,AB419,AB442,AB439,AB427,AB417)</f>
        <v>246717</v>
      </c>
      <c r="AC405" s="26">
        <f t="shared" si="257"/>
        <v>1719344</v>
      </c>
      <c r="AD405" s="26">
        <f>SUM(AD406,AD419,AD442,AD439,AD427,AD417)</f>
        <v>23793</v>
      </c>
      <c r="AE405" s="26">
        <f aca="true" t="shared" si="288" ref="AE405:AE418">SUM(AC405:AD405)</f>
        <v>1743137</v>
      </c>
      <c r="AF405" s="26">
        <f>SUM(AF406,AF419,AF442,AF439,AF427,AF417)</f>
        <v>0</v>
      </c>
      <c r="AG405" s="26">
        <f aca="true" t="shared" si="289" ref="AG405:AG418">SUM(AE405:AF405)</f>
        <v>1743137</v>
      </c>
      <c r="AH405" s="26">
        <f>SUM(AH406,AH419,AH442,AH439,AH427,AH417)</f>
        <v>1296</v>
      </c>
      <c r="AI405" s="26">
        <f aca="true" t="shared" si="290" ref="AI405:AI418">SUM(AG405:AH405)</f>
        <v>1744433</v>
      </c>
      <c r="AJ405" s="26">
        <f>SUM(AJ406,AJ419,AJ442,AJ439,AJ427,AJ417)</f>
        <v>0</v>
      </c>
      <c r="AK405" s="26">
        <f aca="true" t="shared" si="291" ref="AK405:AK418">SUM(AI405:AJ405)</f>
        <v>1744433</v>
      </c>
      <c r="AL405" s="16"/>
      <c r="AM405" s="16"/>
    </row>
    <row r="406" spans="1:39" s="15" customFormat="1" ht="21.75" customHeight="1">
      <c r="A406" s="41"/>
      <c r="B406" s="55">
        <v>85401</v>
      </c>
      <c r="C406" s="59"/>
      <c r="D406" s="27" t="s">
        <v>50</v>
      </c>
      <c r="E406" s="53">
        <f aca="true" t="shared" si="292" ref="E406:Z406">SUM(E407:E416)</f>
        <v>483878</v>
      </c>
      <c r="F406" s="53">
        <f t="shared" si="292"/>
        <v>0</v>
      </c>
      <c r="G406" s="53">
        <f t="shared" si="292"/>
        <v>483878</v>
      </c>
      <c r="H406" s="53">
        <f t="shared" si="292"/>
        <v>0</v>
      </c>
      <c r="I406" s="53">
        <f t="shared" si="292"/>
        <v>483878</v>
      </c>
      <c r="J406" s="53">
        <f t="shared" si="292"/>
        <v>0</v>
      </c>
      <c r="K406" s="53">
        <f t="shared" si="292"/>
        <v>483878</v>
      </c>
      <c r="L406" s="53">
        <f t="shared" si="292"/>
        <v>0</v>
      </c>
      <c r="M406" s="53">
        <f t="shared" si="292"/>
        <v>483878</v>
      </c>
      <c r="N406" s="53">
        <f t="shared" si="292"/>
        <v>0</v>
      </c>
      <c r="O406" s="53">
        <f t="shared" si="292"/>
        <v>483878</v>
      </c>
      <c r="P406" s="53">
        <f t="shared" si="292"/>
        <v>37458</v>
      </c>
      <c r="Q406" s="53">
        <f t="shared" si="292"/>
        <v>521336</v>
      </c>
      <c r="R406" s="53">
        <f t="shared" si="292"/>
        <v>0</v>
      </c>
      <c r="S406" s="53">
        <f t="shared" si="292"/>
        <v>521336</v>
      </c>
      <c r="T406" s="53">
        <f t="shared" si="292"/>
        <v>0</v>
      </c>
      <c r="U406" s="53">
        <f t="shared" si="292"/>
        <v>521336</v>
      </c>
      <c r="V406" s="53">
        <f t="shared" si="292"/>
        <v>0</v>
      </c>
      <c r="W406" s="53">
        <f t="shared" si="292"/>
        <v>521336</v>
      </c>
      <c r="X406" s="53">
        <f t="shared" si="292"/>
        <v>0</v>
      </c>
      <c r="Y406" s="53">
        <f t="shared" si="292"/>
        <v>521336</v>
      </c>
      <c r="Z406" s="53">
        <f t="shared" si="292"/>
        <v>0</v>
      </c>
      <c r="AA406" s="53">
        <f t="shared" si="256"/>
        <v>521336</v>
      </c>
      <c r="AB406" s="53">
        <f>SUM(AB407:AB416)</f>
        <v>0</v>
      </c>
      <c r="AC406" s="53">
        <f t="shared" si="257"/>
        <v>521336</v>
      </c>
      <c r="AD406" s="53">
        <f>SUM(AD407:AD416)</f>
        <v>-15936</v>
      </c>
      <c r="AE406" s="53">
        <f t="shared" si="288"/>
        <v>505400</v>
      </c>
      <c r="AF406" s="53">
        <f>SUM(AF407:AF416)</f>
        <v>0</v>
      </c>
      <c r="AG406" s="53">
        <f t="shared" si="289"/>
        <v>505400</v>
      </c>
      <c r="AH406" s="53">
        <f>SUM(AH407:AH416)</f>
        <v>1296</v>
      </c>
      <c r="AI406" s="53">
        <f t="shared" si="290"/>
        <v>506696</v>
      </c>
      <c r="AJ406" s="53">
        <f>SUM(AJ407:AJ416)</f>
        <v>0</v>
      </c>
      <c r="AK406" s="53">
        <f t="shared" si="291"/>
        <v>506696</v>
      </c>
      <c r="AL406" s="75"/>
      <c r="AM406" s="75"/>
    </row>
    <row r="407" spans="1:39" s="15" customFormat="1" ht="21" customHeight="1">
      <c r="A407" s="41"/>
      <c r="B407" s="55"/>
      <c r="C407" s="59">
        <v>3020</v>
      </c>
      <c r="D407" s="27" t="s">
        <v>179</v>
      </c>
      <c r="E407" s="53">
        <v>8491</v>
      </c>
      <c r="F407" s="53"/>
      <c r="G407" s="53">
        <f aca="true" t="shared" si="293" ref="G407:G416">SUM(E407:F407)</f>
        <v>8491</v>
      </c>
      <c r="H407" s="53"/>
      <c r="I407" s="53">
        <f aca="true" t="shared" si="294" ref="I407:I416">SUM(G407:H407)</f>
        <v>8491</v>
      </c>
      <c r="J407" s="53"/>
      <c r="K407" s="53">
        <f aca="true" t="shared" si="295" ref="K407:K416">SUM(I407:J407)</f>
        <v>8491</v>
      </c>
      <c r="L407" s="53"/>
      <c r="M407" s="53">
        <f aca="true" t="shared" si="296" ref="M407:M416">SUM(K407:L407)</f>
        <v>8491</v>
      </c>
      <c r="N407" s="53"/>
      <c r="O407" s="53">
        <f aca="true" t="shared" si="297" ref="O407:O416">SUM(M407:N407)</f>
        <v>8491</v>
      </c>
      <c r="P407" s="53"/>
      <c r="Q407" s="53">
        <f aca="true" t="shared" si="298" ref="Q407:Q416">SUM(O407:P407)</f>
        <v>8491</v>
      </c>
      <c r="R407" s="53"/>
      <c r="S407" s="53">
        <f aca="true" t="shared" si="299" ref="S407:S416">SUM(Q407:R407)</f>
        <v>8491</v>
      </c>
      <c r="T407" s="53"/>
      <c r="U407" s="53">
        <f aca="true" t="shared" si="300" ref="U407:U416">SUM(S407:T407)</f>
        <v>8491</v>
      </c>
      <c r="V407" s="53"/>
      <c r="W407" s="53">
        <f aca="true" t="shared" si="301" ref="W407:W416">SUM(U407:V407)</f>
        <v>8491</v>
      </c>
      <c r="X407" s="53"/>
      <c r="Y407" s="53">
        <f aca="true" t="shared" si="302" ref="Y407:Y416">SUM(W407:X407)</f>
        <v>8491</v>
      </c>
      <c r="Z407" s="53"/>
      <c r="AA407" s="53">
        <f t="shared" si="256"/>
        <v>8491</v>
      </c>
      <c r="AB407" s="53"/>
      <c r="AC407" s="53">
        <f t="shared" si="257"/>
        <v>8491</v>
      </c>
      <c r="AD407" s="53">
        <v>509</v>
      </c>
      <c r="AE407" s="53">
        <f t="shared" si="288"/>
        <v>9000</v>
      </c>
      <c r="AF407" s="53"/>
      <c r="AG407" s="53">
        <f t="shared" si="289"/>
        <v>9000</v>
      </c>
      <c r="AH407" s="53"/>
      <c r="AI407" s="53">
        <f t="shared" si="290"/>
        <v>9000</v>
      </c>
      <c r="AJ407" s="53"/>
      <c r="AK407" s="53">
        <f t="shared" si="291"/>
        <v>9000</v>
      </c>
      <c r="AL407" s="75"/>
      <c r="AM407" s="75"/>
    </row>
    <row r="408" spans="1:39" s="15" customFormat="1" ht="21" customHeight="1">
      <c r="A408" s="41"/>
      <c r="B408" s="55"/>
      <c r="C408" s="59">
        <v>4010</v>
      </c>
      <c r="D408" s="27" t="s">
        <v>74</v>
      </c>
      <c r="E408" s="53">
        <v>331218</v>
      </c>
      <c r="F408" s="53"/>
      <c r="G408" s="53">
        <f t="shared" si="293"/>
        <v>331218</v>
      </c>
      <c r="H408" s="53"/>
      <c r="I408" s="53">
        <f t="shared" si="294"/>
        <v>331218</v>
      </c>
      <c r="J408" s="53"/>
      <c r="K408" s="53">
        <f t="shared" si="295"/>
        <v>331218</v>
      </c>
      <c r="L408" s="53"/>
      <c r="M408" s="53">
        <f t="shared" si="296"/>
        <v>331218</v>
      </c>
      <c r="N408" s="53"/>
      <c r="O408" s="53">
        <f t="shared" si="297"/>
        <v>331218</v>
      </c>
      <c r="P408" s="53">
        <v>38397</v>
      </c>
      <c r="Q408" s="53">
        <f t="shared" si="298"/>
        <v>369615</v>
      </c>
      <c r="R408" s="53"/>
      <c r="S408" s="53">
        <f t="shared" si="299"/>
        <v>369615</v>
      </c>
      <c r="T408" s="53"/>
      <c r="U408" s="53">
        <f t="shared" si="300"/>
        <v>369615</v>
      </c>
      <c r="V408" s="53"/>
      <c r="W408" s="53">
        <f t="shared" si="301"/>
        <v>369615</v>
      </c>
      <c r="X408" s="53"/>
      <c r="Y408" s="53">
        <f t="shared" si="302"/>
        <v>369615</v>
      </c>
      <c r="Z408" s="53"/>
      <c r="AA408" s="53">
        <f t="shared" si="256"/>
        <v>369615</v>
      </c>
      <c r="AB408" s="53"/>
      <c r="AC408" s="53">
        <f t="shared" si="257"/>
        <v>369615</v>
      </c>
      <c r="AD408" s="53">
        <v>-14162</v>
      </c>
      <c r="AE408" s="53">
        <f t="shared" si="288"/>
        <v>355453</v>
      </c>
      <c r="AF408" s="53"/>
      <c r="AG408" s="53">
        <f t="shared" si="289"/>
        <v>355453</v>
      </c>
      <c r="AH408" s="53">
        <v>206</v>
      </c>
      <c r="AI408" s="53">
        <f t="shared" si="290"/>
        <v>355659</v>
      </c>
      <c r="AJ408" s="53"/>
      <c r="AK408" s="53">
        <f t="shared" si="291"/>
        <v>355659</v>
      </c>
      <c r="AL408" s="75"/>
      <c r="AM408" s="75"/>
    </row>
    <row r="409" spans="1:39" s="15" customFormat="1" ht="21" customHeight="1">
      <c r="A409" s="41"/>
      <c r="B409" s="55"/>
      <c r="C409" s="59">
        <v>4040</v>
      </c>
      <c r="D409" s="27" t="s">
        <v>75</v>
      </c>
      <c r="E409" s="53">
        <v>27265</v>
      </c>
      <c r="F409" s="53"/>
      <c r="G409" s="53">
        <f t="shared" si="293"/>
        <v>27265</v>
      </c>
      <c r="H409" s="53"/>
      <c r="I409" s="53">
        <f t="shared" si="294"/>
        <v>27265</v>
      </c>
      <c r="J409" s="53"/>
      <c r="K409" s="53">
        <f t="shared" si="295"/>
        <v>27265</v>
      </c>
      <c r="L409" s="53"/>
      <c r="M409" s="53">
        <f t="shared" si="296"/>
        <v>27265</v>
      </c>
      <c r="N409" s="53"/>
      <c r="O409" s="53">
        <f t="shared" si="297"/>
        <v>27265</v>
      </c>
      <c r="P409" s="53">
        <v>-939</v>
      </c>
      <c r="Q409" s="53">
        <f t="shared" si="298"/>
        <v>26326</v>
      </c>
      <c r="R409" s="53"/>
      <c r="S409" s="53">
        <f t="shared" si="299"/>
        <v>26326</v>
      </c>
      <c r="T409" s="53"/>
      <c r="U409" s="53">
        <f t="shared" si="300"/>
        <v>26326</v>
      </c>
      <c r="V409" s="53"/>
      <c r="W409" s="53">
        <f t="shared" si="301"/>
        <v>26326</v>
      </c>
      <c r="X409" s="53"/>
      <c r="Y409" s="53">
        <f t="shared" si="302"/>
        <v>26326</v>
      </c>
      <c r="Z409" s="53"/>
      <c r="AA409" s="53">
        <f t="shared" si="256"/>
        <v>26326</v>
      </c>
      <c r="AB409" s="53"/>
      <c r="AC409" s="53">
        <f t="shared" si="257"/>
        <v>26326</v>
      </c>
      <c r="AD409" s="53"/>
      <c r="AE409" s="53">
        <f t="shared" si="288"/>
        <v>26326</v>
      </c>
      <c r="AF409" s="53"/>
      <c r="AG409" s="53">
        <f t="shared" si="289"/>
        <v>26326</v>
      </c>
      <c r="AH409" s="53"/>
      <c r="AI409" s="53">
        <f t="shared" si="290"/>
        <v>26326</v>
      </c>
      <c r="AJ409" s="53"/>
      <c r="AK409" s="53">
        <f t="shared" si="291"/>
        <v>26326</v>
      </c>
      <c r="AL409" s="75"/>
      <c r="AM409" s="75"/>
    </row>
    <row r="410" spans="1:39" s="15" customFormat="1" ht="21" customHeight="1">
      <c r="A410" s="41"/>
      <c r="B410" s="55"/>
      <c r="C410" s="59">
        <v>4110</v>
      </c>
      <c r="D410" s="27" t="s">
        <v>76</v>
      </c>
      <c r="E410" s="53">
        <v>64440</v>
      </c>
      <c r="F410" s="53"/>
      <c r="G410" s="53">
        <f t="shared" si="293"/>
        <v>64440</v>
      </c>
      <c r="H410" s="53"/>
      <c r="I410" s="53">
        <f t="shared" si="294"/>
        <v>64440</v>
      </c>
      <c r="J410" s="53"/>
      <c r="K410" s="53">
        <f t="shared" si="295"/>
        <v>64440</v>
      </c>
      <c r="L410" s="53"/>
      <c r="M410" s="53">
        <f t="shared" si="296"/>
        <v>64440</v>
      </c>
      <c r="N410" s="53"/>
      <c r="O410" s="53">
        <f t="shared" si="297"/>
        <v>64440</v>
      </c>
      <c r="P410" s="53"/>
      <c r="Q410" s="53">
        <f t="shared" si="298"/>
        <v>64440</v>
      </c>
      <c r="R410" s="53"/>
      <c r="S410" s="53">
        <f t="shared" si="299"/>
        <v>64440</v>
      </c>
      <c r="T410" s="53"/>
      <c r="U410" s="53">
        <f t="shared" si="300"/>
        <v>64440</v>
      </c>
      <c r="V410" s="53"/>
      <c r="W410" s="53">
        <f t="shared" si="301"/>
        <v>64440</v>
      </c>
      <c r="X410" s="53"/>
      <c r="Y410" s="53">
        <f t="shared" si="302"/>
        <v>64440</v>
      </c>
      <c r="Z410" s="53"/>
      <c r="AA410" s="53">
        <f t="shared" si="256"/>
        <v>64440</v>
      </c>
      <c r="AB410" s="53"/>
      <c r="AC410" s="53">
        <f t="shared" si="257"/>
        <v>64440</v>
      </c>
      <c r="AD410" s="53">
        <v>-2122</v>
      </c>
      <c r="AE410" s="53">
        <f t="shared" si="288"/>
        <v>62318</v>
      </c>
      <c r="AF410" s="53"/>
      <c r="AG410" s="53">
        <f t="shared" si="289"/>
        <v>62318</v>
      </c>
      <c r="AH410" s="53">
        <v>613</v>
      </c>
      <c r="AI410" s="53">
        <f t="shared" si="290"/>
        <v>62931</v>
      </c>
      <c r="AJ410" s="53"/>
      <c r="AK410" s="53">
        <f t="shared" si="291"/>
        <v>62931</v>
      </c>
      <c r="AL410" s="75"/>
      <c r="AM410" s="75"/>
    </row>
    <row r="411" spans="1:39" s="15" customFormat="1" ht="21" customHeight="1">
      <c r="A411" s="41"/>
      <c r="B411" s="55"/>
      <c r="C411" s="59">
        <v>4120</v>
      </c>
      <c r="D411" s="27" t="s">
        <v>77</v>
      </c>
      <c r="E411" s="53">
        <v>9132</v>
      </c>
      <c r="F411" s="53"/>
      <c r="G411" s="53">
        <f t="shared" si="293"/>
        <v>9132</v>
      </c>
      <c r="H411" s="53"/>
      <c r="I411" s="53">
        <f t="shared" si="294"/>
        <v>9132</v>
      </c>
      <c r="J411" s="53"/>
      <c r="K411" s="53">
        <f t="shared" si="295"/>
        <v>9132</v>
      </c>
      <c r="L411" s="53"/>
      <c r="M411" s="53">
        <f t="shared" si="296"/>
        <v>9132</v>
      </c>
      <c r="N411" s="53"/>
      <c r="O411" s="53">
        <f t="shared" si="297"/>
        <v>9132</v>
      </c>
      <c r="P411" s="53"/>
      <c r="Q411" s="53">
        <f t="shared" si="298"/>
        <v>9132</v>
      </c>
      <c r="R411" s="53"/>
      <c r="S411" s="53">
        <f t="shared" si="299"/>
        <v>9132</v>
      </c>
      <c r="T411" s="53"/>
      <c r="U411" s="53">
        <f t="shared" si="300"/>
        <v>9132</v>
      </c>
      <c r="V411" s="53"/>
      <c r="W411" s="53">
        <f t="shared" si="301"/>
        <v>9132</v>
      </c>
      <c r="X411" s="53"/>
      <c r="Y411" s="53">
        <f t="shared" si="302"/>
        <v>9132</v>
      </c>
      <c r="Z411" s="53"/>
      <c r="AA411" s="53">
        <f t="shared" si="256"/>
        <v>9132</v>
      </c>
      <c r="AB411" s="53"/>
      <c r="AC411" s="53">
        <f t="shared" si="257"/>
        <v>9132</v>
      </c>
      <c r="AD411" s="53">
        <v>-35</v>
      </c>
      <c r="AE411" s="53">
        <f t="shared" si="288"/>
        <v>9097</v>
      </c>
      <c r="AF411" s="53"/>
      <c r="AG411" s="53">
        <f t="shared" si="289"/>
        <v>9097</v>
      </c>
      <c r="AH411" s="53"/>
      <c r="AI411" s="53">
        <f t="shared" si="290"/>
        <v>9097</v>
      </c>
      <c r="AJ411" s="53"/>
      <c r="AK411" s="53">
        <f t="shared" si="291"/>
        <v>9097</v>
      </c>
      <c r="AL411" s="75"/>
      <c r="AM411" s="75"/>
    </row>
    <row r="412" spans="1:39" s="15" customFormat="1" ht="21" customHeight="1">
      <c r="A412" s="41"/>
      <c r="B412" s="55"/>
      <c r="C412" s="59">
        <v>4210</v>
      </c>
      <c r="D412" s="27" t="s">
        <v>82</v>
      </c>
      <c r="E412" s="53">
        <v>10250</v>
      </c>
      <c r="F412" s="53"/>
      <c r="G412" s="53">
        <f t="shared" si="293"/>
        <v>10250</v>
      </c>
      <c r="H412" s="53"/>
      <c r="I412" s="53">
        <f t="shared" si="294"/>
        <v>10250</v>
      </c>
      <c r="J412" s="53"/>
      <c r="K412" s="53">
        <f t="shared" si="295"/>
        <v>10250</v>
      </c>
      <c r="L412" s="53"/>
      <c r="M412" s="53">
        <f t="shared" si="296"/>
        <v>10250</v>
      </c>
      <c r="N412" s="53"/>
      <c r="O412" s="53">
        <f t="shared" si="297"/>
        <v>10250</v>
      </c>
      <c r="P412" s="53"/>
      <c r="Q412" s="53">
        <f t="shared" si="298"/>
        <v>10250</v>
      </c>
      <c r="R412" s="53"/>
      <c r="S412" s="53">
        <f t="shared" si="299"/>
        <v>10250</v>
      </c>
      <c r="T412" s="53"/>
      <c r="U412" s="53">
        <f t="shared" si="300"/>
        <v>10250</v>
      </c>
      <c r="V412" s="53"/>
      <c r="W412" s="53">
        <f t="shared" si="301"/>
        <v>10250</v>
      </c>
      <c r="X412" s="53"/>
      <c r="Y412" s="53">
        <f t="shared" si="302"/>
        <v>10250</v>
      </c>
      <c r="Z412" s="53"/>
      <c r="AA412" s="53">
        <f t="shared" si="256"/>
        <v>10250</v>
      </c>
      <c r="AB412" s="53"/>
      <c r="AC412" s="53">
        <f t="shared" si="257"/>
        <v>10250</v>
      </c>
      <c r="AD412" s="53">
        <v>-726</v>
      </c>
      <c r="AE412" s="53">
        <f t="shared" si="288"/>
        <v>9524</v>
      </c>
      <c r="AF412" s="53"/>
      <c r="AG412" s="53">
        <f t="shared" si="289"/>
        <v>9524</v>
      </c>
      <c r="AH412" s="53"/>
      <c r="AI412" s="53">
        <f t="shared" si="290"/>
        <v>9524</v>
      </c>
      <c r="AJ412" s="53"/>
      <c r="AK412" s="53">
        <f t="shared" si="291"/>
        <v>9524</v>
      </c>
      <c r="AL412" s="75"/>
      <c r="AM412" s="75"/>
    </row>
    <row r="413" spans="1:39" s="15" customFormat="1" ht="21" customHeight="1">
      <c r="A413" s="41"/>
      <c r="B413" s="55"/>
      <c r="C413" s="59">
        <v>4240</v>
      </c>
      <c r="D413" s="27" t="s">
        <v>116</v>
      </c>
      <c r="E413" s="53">
        <v>3600</v>
      </c>
      <c r="F413" s="53"/>
      <c r="G413" s="53">
        <f t="shared" si="293"/>
        <v>3600</v>
      </c>
      <c r="H413" s="53"/>
      <c r="I413" s="53">
        <f t="shared" si="294"/>
        <v>3600</v>
      </c>
      <c r="J413" s="53"/>
      <c r="K413" s="53">
        <f t="shared" si="295"/>
        <v>3600</v>
      </c>
      <c r="L413" s="53"/>
      <c r="M413" s="53">
        <f t="shared" si="296"/>
        <v>3600</v>
      </c>
      <c r="N413" s="53"/>
      <c r="O413" s="53">
        <f t="shared" si="297"/>
        <v>3600</v>
      </c>
      <c r="P413" s="53"/>
      <c r="Q413" s="53">
        <f t="shared" si="298"/>
        <v>3600</v>
      </c>
      <c r="R413" s="53"/>
      <c r="S413" s="53">
        <f t="shared" si="299"/>
        <v>3600</v>
      </c>
      <c r="T413" s="53"/>
      <c r="U413" s="53">
        <f t="shared" si="300"/>
        <v>3600</v>
      </c>
      <c r="V413" s="53"/>
      <c r="W413" s="53">
        <f t="shared" si="301"/>
        <v>3600</v>
      </c>
      <c r="X413" s="53"/>
      <c r="Y413" s="53">
        <f t="shared" si="302"/>
        <v>3600</v>
      </c>
      <c r="Z413" s="53"/>
      <c r="AA413" s="53">
        <f t="shared" si="256"/>
        <v>3600</v>
      </c>
      <c r="AB413" s="53"/>
      <c r="AC413" s="53">
        <f t="shared" si="257"/>
        <v>3600</v>
      </c>
      <c r="AD413" s="53">
        <v>600</v>
      </c>
      <c r="AE413" s="53">
        <f t="shared" si="288"/>
        <v>4200</v>
      </c>
      <c r="AF413" s="53"/>
      <c r="AG413" s="53">
        <f t="shared" si="289"/>
        <v>4200</v>
      </c>
      <c r="AH413" s="53"/>
      <c r="AI413" s="53">
        <f t="shared" si="290"/>
        <v>4200</v>
      </c>
      <c r="AJ413" s="53"/>
      <c r="AK413" s="53">
        <f t="shared" si="291"/>
        <v>4200</v>
      </c>
      <c r="AL413" s="75"/>
      <c r="AM413" s="75"/>
    </row>
    <row r="414" spans="1:39" s="15" customFormat="1" ht="21" customHeight="1">
      <c r="A414" s="41"/>
      <c r="B414" s="55"/>
      <c r="C414" s="59">
        <v>4280</v>
      </c>
      <c r="D414" s="27" t="s">
        <v>166</v>
      </c>
      <c r="E414" s="53">
        <v>600</v>
      </c>
      <c r="F414" s="53"/>
      <c r="G414" s="53">
        <f t="shared" si="293"/>
        <v>600</v>
      </c>
      <c r="H414" s="53"/>
      <c r="I414" s="53">
        <f t="shared" si="294"/>
        <v>600</v>
      </c>
      <c r="J414" s="53"/>
      <c r="K414" s="53">
        <f t="shared" si="295"/>
        <v>600</v>
      </c>
      <c r="L414" s="53"/>
      <c r="M414" s="53">
        <f t="shared" si="296"/>
        <v>600</v>
      </c>
      <c r="N414" s="53"/>
      <c r="O414" s="53">
        <f t="shared" si="297"/>
        <v>600</v>
      </c>
      <c r="P414" s="53"/>
      <c r="Q414" s="53">
        <f t="shared" si="298"/>
        <v>600</v>
      </c>
      <c r="R414" s="53"/>
      <c r="S414" s="53">
        <f t="shared" si="299"/>
        <v>600</v>
      </c>
      <c r="T414" s="53"/>
      <c r="U414" s="53">
        <f t="shared" si="300"/>
        <v>600</v>
      </c>
      <c r="V414" s="53"/>
      <c r="W414" s="53">
        <f t="shared" si="301"/>
        <v>600</v>
      </c>
      <c r="X414" s="53"/>
      <c r="Y414" s="53">
        <f t="shared" si="302"/>
        <v>600</v>
      </c>
      <c r="Z414" s="53"/>
      <c r="AA414" s="53">
        <f t="shared" si="256"/>
        <v>600</v>
      </c>
      <c r="AB414" s="53"/>
      <c r="AC414" s="53">
        <f t="shared" si="257"/>
        <v>600</v>
      </c>
      <c r="AD414" s="53"/>
      <c r="AE414" s="53">
        <f t="shared" si="288"/>
        <v>600</v>
      </c>
      <c r="AF414" s="53"/>
      <c r="AG414" s="53">
        <f t="shared" si="289"/>
        <v>600</v>
      </c>
      <c r="AH414" s="53"/>
      <c r="AI414" s="53">
        <f t="shared" si="290"/>
        <v>600</v>
      </c>
      <c r="AJ414" s="53"/>
      <c r="AK414" s="53">
        <f t="shared" si="291"/>
        <v>600</v>
      </c>
      <c r="AL414" s="75"/>
      <c r="AM414" s="75"/>
    </row>
    <row r="415" spans="1:39" s="15" customFormat="1" ht="24.75" customHeight="1">
      <c r="A415" s="41"/>
      <c r="B415" s="55"/>
      <c r="C415" s="59">
        <v>4440</v>
      </c>
      <c r="D415" s="27" t="s">
        <v>78</v>
      </c>
      <c r="E415" s="53">
        <v>28782</v>
      </c>
      <c r="F415" s="53"/>
      <c r="G415" s="53">
        <f t="shared" si="293"/>
        <v>28782</v>
      </c>
      <c r="H415" s="53"/>
      <c r="I415" s="53">
        <f t="shared" si="294"/>
        <v>28782</v>
      </c>
      <c r="J415" s="53"/>
      <c r="K415" s="53">
        <f t="shared" si="295"/>
        <v>28782</v>
      </c>
      <c r="L415" s="53"/>
      <c r="M415" s="53">
        <f t="shared" si="296"/>
        <v>28782</v>
      </c>
      <c r="N415" s="53"/>
      <c r="O415" s="53">
        <f t="shared" si="297"/>
        <v>28782</v>
      </c>
      <c r="P415" s="53"/>
      <c r="Q415" s="53">
        <f t="shared" si="298"/>
        <v>28782</v>
      </c>
      <c r="R415" s="53"/>
      <c r="S415" s="53">
        <f t="shared" si="299"/>
        <v>28782</v>
      </c>
      <c r="T415" s="53"/>
      <c r="U415" s="53">
        <f t="shared" si="300"/>
        <v>28782</v>
      </c>
      <c r="V415" s="53"/>
      <c r="W415" s="53">
        <f t="shared" si="301"/>
        <v>28782</v>
      </c>
      <c r="X415" s="53"/>
      <c r="Y415" s="53">
        <f t="shared" si="302"/>
        <v>28782</v>
      </c>
      <c r="Z415" s="53"/>
      <c r="AA415" s="53">
        <f t="shared" si="256"/>
        <v>28782</v>
      </c>
      <c r="AB415" s="53"/>
      <c r="AC415" s="53">
        <f t="shared" si="257"/>
        <v>28782</v>
      </c>
      <c r="AD415" s="53"/>
      <c r="AE415" s="53">
        <f t="shared" si="288"/>
        <v>28782</v>
      </c>
      <c r="AF415" s="53"/>
      <c r="AG415" s="53">
        <f t="shared" si="289"/>
        <v>28782</v>
      </c>
      <c r="AH415" s="53">
        <v>477</v>
      </c>
      <c r="AI415" s="53">
        <f t="shared" si="290"/>
        <v>29259</v>
      </c>
      <c r="AJ415" s="53"/>
      <c r="AK415" s="53">
        <f t="shared" si="291"/>
        <v>29259</v>
      </c>
      <c r="AL415" s="75"/>
      <c r="AM415" s="75"/>
    </row>
    <row r="416" spans="1:39" s="15" customFormat="1" ht="28.5" customHeight="1">
      <c r="A416" s="41"/>
      <c r="B416" s="55"/>
      <c r="C416" s="59">
        <v>4700</v>
      </c>
      <c r="D416" s="27" t="s">
        <v>233</v>
      </c>
      <c r="E416" s="53">
        <v>100</v>
      </c>
      <c r="F416" s="53"/>
      <c r="G416" s="53">
        <f t="shared" si="293"/>
        <v>100</v>
      </c>
      <c r="H416" s="53"/>
      <c r="I416" s="53">
        <f t="shared" si="294"/>
        <v>100</v>
      </c>
      <c r="J416" s="53"/>
      <c r="K416" s="53">
        <f t="shared" si="295"/>
        <v>100</v>
      </c>
      <c r="L416" s="53"/>
      <c r="M416" s="53">
        <f t="shared" si="296"/>
        <v>100</v>
      </c>
      <c r="N416" s="53"/>
      <c r="O416" s="53">
        <f t="shared" si="297"/>
        <v>100</v>
      </c>
      <c r="P416" s="53"/>
      <c r="Q416" s="53">
        <f t="shared" si="298"/>
        <v>100</v>
      </c>
      <c r="R416" s="53"/>
      <c r="S416" s="53">
        <f t="shared" si="299"/>
        <v>100</v>
      </c>
      <c r="T416" s="53"/>
      <c r="U416" s="53">
        <f t="shared" si="300"/>
        <v>100</v>
      </c>
      <c r="V416" s="53"/>
      <c r="W416" s="53">
        <f t="shared" si="301"/>
        <v>100</v>
      </c>
      <c r="X416" s="53"/>
      <c r="Y416" s="53">
        <f t="shared" si="302"/>
        <v>100</v>
      </c>
      <c r="Z416" s="53"/>
      <c r="AA416" s="53">
        <f t="shared" si="256"/>
        <v>100</v>
      </c>
      <c r="AB416" s="53"/>
      <c r="AC416" s="53">
        <f t="shared" si="257"/>
        <v>100</v>
      </c>
      <c r="AD416" s="53"/>
      <c r="AE416" s="53">
        <f t="shared" si="288"/>
        <v>100</v>
      </c>
      <c r="AF416" s="53"/>
      <c r="AG416" s="53">
        <f t="shared" si="289"/>
        <v>100</v>
      </c>
      <c r="AH416" s="53"/>
      <c r="AI416" s="53">
        <f t="shared" si="290"/>
        <v>100</v>
      </c>
      <c r="AJ416" s="53"/>
      <c r="AK416" s="53">
        <f t="shared" si="291"/>
        <v>100</v>
      </c>
      <c r="AL416" s="75"/>
      <c r="AM416" s="75"/>
    </row>
    <row r="417" spans="1:39" s="15" customFormat="1" ht="23.25" customHeight="1">
      <c r="A417" s="41"/>
      <c r="B417" s="55">
        <v>85407</v>
      </c>
      <c r="C417" s="59"/>
      <c r="D417" s="27" t="s">
        <v>312</v>
      </c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>
        <f aca="true" t="shared" si="303" ref="S417:AJ417">SUM(S418)</f>
        <v>0</v>
      </c>
      <c r="T417" s="53">
        <f t="shared" si="303"/>
        <v>25000</v>
      </c>
      <c r="U417" s="53">
        <f t="shared" si="303"/>
        <v>25000</v>
      </c>
      <c r="V417" s="53">
        <f t="shared" si="303"/>
        <v>0</v>
      </c>
      <c r="W417" s="53">
        <f t="shared" si="303"/>
        <v>25000</v>
      </c>
      <c r="X417" s="53">
        <f t="shared" si="303"/>
        <v>0</v>
      </c>
      <c r="Y417" s="53">
        <f t="shared" si="303"/>
        <v>25000</v>
      </c>
      <c r="Z417" s="53">
        <f t="shared" si="303"/>
        <v>0</v>
      </c>
      <c r="AA417" s="53">
        <f t="shared" si="256"/>
        <v>25000</v>
      </c>
      <c r="AB417" s="53">
        <f t="shared" si="303"/>
        <v>0</v>
      </c>
      <c r="AC417" s="53">
        <f t="shared" si="257"/>
        <v>25000</v>
      </c>
      <c r="AD417" s="53">
        <f t="shared" si="303"/>
        <v>0</v>
      </c>
      <c r="AE417" s="53">
        <f t="shared" si="288"/>
        <v>25000</v>
      </c>
      <c r="AF417" s="53">
        <f t="shared" si="303"/>
        <v>0</v>
      </c>
      <c r="AG417" s="53">
        <f t="shared" si="289"/>
        <v>25000</v>
      </c>
      <c r="AH417" s="53">
        <f t="shared" si="303"/>
        <v>0</v>
      </c>
      <c r="AI417" s="53">
        <f t="shared" si="290"/>
        <v>25000</v>
      </c>
      <c r="AJ417" s="53">
        <f t="shared" si="303"/>
        <v>0</v>
      </c>
      <c r="AK417" s="53">
        <f t="shared" si="291"/>
        <v>25000</v>
      </c>
      <c r="AL417" s="75"/>
      <c r="AM417" s="75"/>
    </row>
    <row r="418" spans="1:39" s="15" customFormat="1" ht="21.75" customHeight="1">
      <c r="A418" s="41"/>
      <c r="B418" s="55"/>
      <c r="C418" s="59">
        <v>4270</v>
      </c>
      <c r="D418" s="27" t="s">
        <v>68</v>
      </c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>
        <v>0</v>
      </c>
      <c r="T418" s="53">
        <v>25000</v>
      </c>
      <c r="U418" s="53">
        <f>SUM(S418:T418)</f>
        <v>25000</v>
      </c>
      <c r="V418" s="53"/>
      <c r="W418" s="53">
        <f>SUM(U418:V418)</f>
        <v>25000</v>
      </c>
      <c r="X418" s="53"/>
      <c r="Y418" s="53">
        <f>SUM(W418:X418)</f>
        <v>25000</v>
      </c>
      <c r="Z418" s="53"/>
      <c r="AA418" s="53">
        <f t="shared" si="256"/>
        <v>25000</v>
      </c>
      <c r="AB418" s="53"/>
      <c r="AC418" s="53">
        <f t="shared" si="257"/>
        <v>25000</v>
      </c>
      <c r="AD418" s="53"/>
      <c r="AE418" s="53">
        <f t="shared" si="288"/>
        <v>25000</v>
      </c>
      <c r="AF418" s="53"/>
      <c r="AG418" s="53">
        <f t="shared" si="289"/>
        <v>25000</v>
      </c>
      <c r="AH418" s="53"/>
      <c r="AI418" s="53">
        <f t="shared" si="290"/>
        <v>25000</v>
      </c>
      <c r="AJ418" s="53"/>
      <c r="AK418" s="53">
        <f t="shared" si="291"/>
        <v>25000</v>
      </c>
      <c r="AL418" s="75"/>
      <c r="AM418" s="75"/>
    </row>
    <row r="419" spans="1:39" s="15" customFormat="1" ht="36">
      <c r="A419" s="41"/>
      <c r="B419" s="55" t="s">
        <v>119</v>
      </c>
      <c r="C419" s="59"/>
      <c r="D419" s="27" t="s">
        <v>149</v>
      </c>
      <c r="E419" s="53">
        <f aca="true" t="shared" si="304" ref="E419:X419">SUM(E420:E425)</f>
        <v>249900</v>
      </c>
      <c r="F419" s="53">
        <f t="shared" si="304"/>
        <v>40000</v>
      </c>
      <c r="G419" s="53">
        <f t="shared" si="304"/>
        <v>289900</v>
      </c>
      <c r="H419" s="53">
        <f t="shared" si="304"/>
        <v>0</v>
      </c>
      <c r="I419" s="53">
        <f t="shared" si="304"/>
        <v>289900</v>
      </c>
      <c r="J419" s="53">
        <f t="shared" si="304"/>
        <v>0</v>
      </c>
      <c r="K419" s="53">
        <f t="shared" si="304"/>
        <v>289900</v>
      </c>
      <c r="L419" s="53">
        <f t="shared" si="304"/>
        <v>0</v>
      </c>
      <c r="M419" s="53">
        <f t="shared" si="304"/>
        <v>289900</v>
      </c>
      <c r="N419" s="53">
        <f t="shared" si="304"/>
        <v>0</v>
      </c>
      <c r="O419" s="53">
        <f t="shared" si="304"/>
        <v>289900</v>
      </c>
      <c r="P419" s="53">
        <f t="shared" si="304"/>
        <v>0</v>
      </c>
      <c r="Q419" s="53">
        <f t="shared" si="304"/>
        <v>289900</v>
      </c>
      <c r="R419" s="53">
        <f t="shared" si="304"/>
        <v>37602</v>
      </c>
      <c r="S419" s="53">
        <f t="shared" si="304"/>
        <v>327502</v>
      </c>
      <c r="T419" s="53">
        <f t="shared" si="304"/>
        <v>2000</v>
      </c>
      <c r="U419" s="53">
        <f t="shared" si="304"/>
        <v>329502</v>
      </c>
      <c r="V419" s="53">
        <f t="shared" si="304"/>
        <v>0</v>
      </c>
      <c r="W419" s="53">
        <f t="shared" si="304"/>
        <v>329502</v>
      </c>
      <c r="X419" s="53">
        <f t="shared" si="304"/>
        <v>-28012</v>
      </c>
      <c r="Y419" s="53">
        <f aca="true" t="shared" si="305" ref="Y419:AE419">SUM(Y420:Y426)</f>
        <v>301490</v>
      </c>
      <c r="Z419" s="53">
        <f t="shared" si="305"/>
        <v>3110</v>
      </c>
      <c r="AA419" s="53">
        <f t="shared" si="305"/>
        <v>304600</v>
      </c>
      <c r="AB419" s="53">
        <f t="shared" si="305"/>
        <v>0</v>
      </c>
      <c r="AC419" s="53">
        <f t="shared" si="305"/>
        <v>304600</v>
      </c>
      <c r="AD419" s="53">
        <f t="shared" si="305"/>
        <v>-1225</v>
      </c>
      <c r="AE419" s="53">
        <f t="shared" si="305"/>
        <v>303375</v>
      </c>
      <c r="AF419" s="53">
        <f aca="true" t="shared" si="306" ref="AF419:AK419">SUM(AF420:AF426)</f>
        <v>0</v>
      </c>
      <c r="AG419" s="53">
        <f t="shared" si="306"/>
        <v>303375</v>
      </c>
      <c r="AH419" s="53">
        <f t="shared" si="306"/>
        <v>0</v>
      </c>
      <c r="AI419" s="53">
        <f t="shared" si="306"/>
        <v>303375</v>
      </c>
      <c r="AJ419" s="53">
        <f t="shared" si="306"/>
        <v>0</v>
      </c>
      <c r="AK419" s="53">
        <f t="shared" si="306"/>
        <v>303375</v>
      </c>
      <c r="AL419" s="75"/>
      <c r="AM419" s="75"/>
    </row>
    <row r="420" spans="1:39" s="15" customFormat="1" ht="36">
      <c r="A420" s="41"/>
      <c r="B420" s="55"/>
      <c r="C420" s="59">
        <v>2630</v>
      </c>
      <c r="D420" s="27" t="s">
        <v>184</v>
      </c>
      <c r="E420" s="53">
        <v>53700</v>
      </c>
      <c r="F420" s="53"/>
      <c r="G420" s="53">
        <f>SUM(E420:F420)</f>
        <v>53700</v>
      </c>
      <c r="H420" s="53"/>
      <c r="I420" s="53">
        <f>SUM(G420:H420)</f>
        <v>53700</v>
      </c>
      <c r="J420" s="53"/>
      <c r="K420" s="53">
        <f>SUM(I420:J420)</f>
        <v>53700</v>
      </c>
      <c r="L420" s="53"/>
      <c r="M420" s="53">
        <f>SUM(K420:L420)</f>
        <v>53700</v>
      </c>
      <c r="N420" s="53"/>
      <c r="O420" s="53">
        <f>SUM(M420:N420)</f>
        <v>53700</v>
      </c>
      <c r="P420" s="53"/>
      <c r="Q420" s="53">
        <f>SUM(O420:P420)</f>
        <v>53700</v>
      </c>
      <c r="R420" s="53">
        <f>4840+32762</f>
        <v>37602</v>
      </c>
      <c r="S420" s="53">
        <f>SUM(Q420:R420)</f>
        <v>91302</v>
      </c>
      <c r="T420" s="53"/>
      <c r="U420" s="53">
        <f>SUM(S420:T420)</f>
        <v>91302</v>
      </c>
      <c r="V420" s="53">
        <f>-10300-18250-36000</f>
        <v>-64550</v>
      </c>
      <c r="W420" s="53">
        <f aca="true" t="shared" si="307" ref="W420:W425">SUM(U420:V420)</f>
        <v>26752</v>
      </c>
      <c r="X420" s="53">
        <v>-26752</v>
      </c>
      <c r="Y420" s="53">
        <f aca="true" t="shared" si="308" ref="Y420:Y425">SUM(W420:X420)</f>
        <v>0</v>
      </c>
      <c r="Z420" s="53"/>
      <c r="AA420" s="53">
        <f aca="true" t="shared" si="309" ref="AA420:AA473">SUM(Y420:Z420)</f>
        <v>0</v>
      </c>
      <c r="AB420" s="53"/>
      <c r="AC420" s="53">
        <f aca="true" t="shared" si="310" ref="AC420:AC473">SUM(AA420:AB420)</f>
        <v>0</v>
      </c>
      <c r="AD420" s="53"/>
      <c r="AE420" s="53">
        <f aca="true" t="shared" si="311" ref="AE420:AE473">SUM(AC420:AD420)</f>
        <v>0</v>
      </c>
      <c r="AF420" s="53"/>
      <c r="AG420" s="53">
        <f aca="true" t="shared" si="312" ref="AG420:AG451">SUM(AE420:AF420)</f>
        <v>0</v>
      </c>
      <c r="AH420" s="53"/>
      <c r="AI420" s="53">
        <f aca="true" t="shared" si="313" ref="AI420:AI428">SUM(AG420:AH420)</f>
        <v>0</v>
      </c>
      <c r="AJ420" s="53"/>
      <c r="AK420" s="53">
        <f aca="true" t="shared" si="314" ref="AK420:AK451">SUM(AI420:AJ420)</f>
        <v>0</v>
      </c>
      <c r="AL420" s="75"/>
      <c r="AM420" s="75"/>
    </row>
    <row r="421" spans="1:39" s="15" customFormat="1" ht="36">
      <c r="A421" s="41"/>
      <c r="B421" s="55"/>
      <c r="C421" s="59">
        <v>2820</v>
      </c>
      <c r="D421" s="27" t="s">
        <v>259</v>
      </c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>
        <v>0</v>
      </c>
      <c r="V421" s="53">
        <f>10300+18250</f>
        <v>28550</v>
      </c>
      <c r="W421" s="53">
        <f t="shared" si="307"/>
        <v>28550</v>
      </c>
      <c r="X421" s="53"/>
      <c r="Y421" s="53">
        <f t="shared" si="308"/>
        <v>28550</v>
      </c>
      <c r="Z421" s="53"/>
      <c r="AA421" s="53">
        <f t="shared" si="309"/>
        <v>28550</v>
      </c>
      <c r="AB421" s="53"/>
      <c r="AC421" s="53">
        <f t="shared" si="310"/>
        <v>28550</v>
      </c>
      <c r="AD421" s="53"/>
      <c r="AE421" s="53">
        <f t="shared" si="311"/>
        <v>28550</v>
      </c>
      <c r="AF421" s="53"/>
      <c r="AG421" s="53">
        <f t="shared" si="312"/>
        <v>28550</v>
      </c>
      <c r="AH421" s="53"/>
      <c r="AI421" s="53">
        <f t="shared" si="313"/>
        <v>28550</v>
      </c>
      <c r="AJ421" s="53"/>
      <c r="AK421" s="53">
        <f t="shared" si="314"/>
        <v>28550</v>
      </c>
      <c r="AL421" s="75"/>
      <c r="AM421" s="75"/>
    </row>
    <row r="422" spans="1:39" s="15" customFormat="1" ht="48">
      <c r="A422" s="41"/>
      <c r="B422" s="55"/>
      <c r="C422" s="59">
        <v>2830</v>
      </c>
      <c r="D422" s="27" t="s">
        <v>260</v>
      </c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>
        <v>0</v>
      </c>
      <c r="V422" s="53">
        <v>36000</v>
      </c>
      <c r="W422" s="53">
        <f t="shared" si="307"/>
        <v>36000</v>
      </c>
      <c r="X422" s="53"/>
      <c r="Y422" s="53">
        <f t="shared" si="308"/>
        <v>36000</v>
      </c>
      <c r="Z422" s="53"/>
      <c r="AA422" s="53">
        <f t="shared" si="309"/>
        <v>36000</v>
      </c>
      <c r="AB422" s="53"/>
      <c r="AC422" s="53">
        <f t="shared" si="310"/>
        <v>36000</v>
      </c>
      <c r="AD422" s="53"/>
      <c r="AE422" s="53">
        <f t="shared" si="311"/>
        <v>36000</v>
      </c>
      <c r="AF422" s="53"/>
      <c r="AG422" s="53">
        <f t="shared" si="312"/>
        <v>36000</v>
      </c>
      <c r="AH422" s="53"/>
      <c r="AI422" s="53">
        <f t="shared" si="313"/>
        <v>36000</v>
      </c>
      <c r="AJ422" s="53"/>
      <c r="AK422" s="53">
        <f t="shared" si="314"/>
        <v>36000</v>
      </c>
      <c r="AL422" s="75"/>
      <c r="AM422" s="75"/>
    </row>
    <row r="423" spans="1:39" s="15" customFormat="1" ht="21" customHeight="1">
      <c r="A423" s="41"/>
      <c r="B423" s="55"/>
      <c r="C423" s="59">
        <v>4210</v>
      </c>
      <c r="D423" s="27" t="s">
        <v>82</v>
      </c>
      <c r="E423" s="53">
        <v>2000</v>
      </c>
      <c r="F423" s="53"/>
      <c r="G423" s="53">
        <f>SUM(E423:F423)</f>
        <v>2000</v>
      </c>
      <c r="H423" s="53"/>
      <c r="I423" s="53">
        <f>SUM(G423:H423)</f>
        <v>2000</v>
      </c>
      <c r="J423" s="53"/>
      <c r="K423" s="53">
        <f>SUM(I423:J423)</f>
        <v>2000</v>
      </c>
      <c r="L423" s="53"/>
      <c r="M423" s="53">
        <f>SUM(K423:L423)</f>
        <v>2000</v>
      </c>
      <c r="N423" s="53"/>
      <c r="O423" s="53">
        <f>SUM(M423:N423)</f>
        <v>2000</v>
      </c>
      <c r="P423" s="53"/>
      <c r="Q423" s="53">
        <f>SUM(O423:P423)</f>
        <v>2000</v>
      </c>
      <c r="R423" s="53"/>
      <c r="S423" s="53">
        <f>SUM(Q423:R423)</f>
        <v>2000</v>
      </c>
      <c r="T423" s="53"/>
      <c r="U423" s="53">
        <f>SUM(S423:T423)</f>
        <v>2000</v>
      </c>
      <c r="V423" s="53">
        <f>1500-800</f>
        <v>700</v>
      </c>
      <c r="W423" s="53">
        <f t="shared" si="307"/>
        <v>2700</v>
      </c>
      <c r="X423" s="53">
        <v>-760</v>
      </c>
      <c r="Y423" s="53">
        <f t="shared" si="308"/>
        <v>1940</v>
      </c>
      <c r="Z423" s="53"/>
      <c r="AA423" s="53">
        <f t="shared" si="309"/>
        <v>1940</v>
      </c>
      <c r="AB423" s="53"/>
      <c r="AC423" s="53">
        <f t="shared" si="310"/>
        <v>1940</v>
      </c>
      <c r="AD423" s="53">
        <v>-800</v>
      </c>
      <c r="AE423" s="53">
        <f t="shared" si="311"/>
        <v>1140</v>
      </c>
      <c r="AF423" s="53"/>
      <c r="AG423" s="53">
        <f t="shared" si="312"/>
        <v>1140</v>
      </c>
      <c r="AH423" s="53"/>
      <c r="AI423" s="53">
        <f t="shared" si="313"/>
        <v>1140</v>
      </c>
      <c r="AJ423" s="53"/>
      <c r="AK423" s="53">
        <f t="shared" si="314"/>
        <v>1140</v>
      </c>
      <c r="AL423" s="75"/>
      <c r="AM423" s="75"/>
    </row>
    <row r="424" spans="1:39" s="15" customFormat="1" ht="21" customHeight="1">
      <c r="A424" s="59"/>
      <c r="B424" s="60"/>
      <c r="C424" s="59">
        <v>4300</v>
      </c>
      <c r="D424" s="27" t="s">
        <v>69</v>
      </c>
      <c r="E424" s="53">
        <v>4200</v>
      </c>
      <c r="F424" s="53"/>
      <c r="G424" s="53">
        <f>SUM(E424:F424)</f>
        <v>4200</v>
      </c>
      <c r="H424" s="53"/>
      <c r="I424" s="53">
        <f>SUM(G424:H424)</f>
        <v>4200</v>
      </c>
      <c r="J424" s="53"/>
      <c r="K424" s="53">
        <f>SUM(I424:J424)</f>
        <v>4200</v>
      </c>
      <c r="L424" s="53"/>
      <c r="M424" s="53">
        <f>SUM(K424:L424)</f>
        <v>4200</v>
      </c>
      <c r="N424" s="53"/>
      <c r="O424" s="53">
        <f>SUM(M424:N424)</f>
        <v>4200</v>
      </c>
      <c r="P424" s="53"/>
      <c r="Q424" s="53">
        <f>SUM(O424:P424)</f>
        <v>4200</v>
      </c>
      <c r="R424" s="53"/>
      <c r="S424" s="53">
        <f>SUM(Q424:R424)</f>
        <v>4200</v>
      </c>
      <c r="T424" s="53">
        <f>500+1500</f>
        <v>2000</v>
      </c>
      <c r="U424" s="53">
        <f>SUM(S424:T424)</f>
        <v>6200</v>
      </c>
      <c r="V424" s="53">
        <f>800-1500</f>
        <v>-700</v>
      </c>
      <c r="W424" s="53">
        <f t="shared" si="307"/>
        <v>5500</v>
      </c>
      <c r="X424" s="53">
        <v>-500</v>
      </c>
      <c r="Y424" s="53">
        <f t="shared" si="308"/>
        <v>5000</v>
      </c>
      <c r="Z424" s="53">
        <v>-550</v>
      </c>
      <c r="AA424" s="53">
        <f t="shared" si="309"/>
        <v>4450</v>
      </c>
      <c r="AB424" s="53"/>
      <c r="AC424" s="53">
        <f t="shared" si="310"/>
        <v>4450</v>
      </c>
      <c r="AD424" s="53"/>
      <c r="AE424" s="53">
        <f t="shared" si="311"/>
        <v>4450</v>
      </c>
      <c r="AF424" s="53"/>
      <c r="AG424" s="53">
        <f t="shared" si="312"/>
        <v>4450</v>
      </c>
      <c r="AH424" s="53"/>
      <c r="AI424" s="53">
        <f t="shared" si="313"/>
        <v>4450</v>
      </c>
      <c r="AJ424" s="53"/>
      <c r="AK424" s="53">
        <f t="shared" si="314"/>
        <v>4450</v>
      </c>
      <c r="AL424" s="75"/>
      <c r="AM424" s="75"/>
    </row>
    <row r="425" spans="1:41" s="15" customFormat="1" ht="21" customHeight="1">
      <c r="A425" s="59"/>
      <c r="B425" s="60"/>
      <c r="C425" s="59">
        <v>6050</v>
      </c>
      <c r="D425" s="27" t="s">
        <v>63</v>
      </c>
      <c r="E425" s="53">
        <f>100000+85000+5000</f>
        <v>190000</v>
      </c>
      <c r="F425" s="53">
        <f>30000+5000+5000</f>
        <v>40000</v>
      </c>
      <c r="G425" s="53">
        <f>SUM(E425:F425)</f>
        <v>230000</v>
      </c>
      <c r="H425" s="53"/>
      <c r="I425" s="53">
        <f>SUM(G425:H425)</f>
        <v>230000</v>
      </c>
      <c r="J425" s="53"/>
      <c r="K425" s="53">
        <f>SUM(I425:J425)</f>
        <v>230000</v>
      </c>
      <c r="L425" s="53"/>
      <c r="M425" s="53">
        <f>SUM(K425:L425)</f>
        <v>230000</v>
      </c>
      <c r="N425" s="53"/>
      <c r="O425" s="53">
        <f>SUM(M425:N425)</f>
        <v>230000</v>
      </c>
      <c r="P425" s="53"/>
      <c r="Q425" s="53">
        <f>SUM(O425:P425)</f>
        <v>230000</v>
      </c>
      <c r="R425" s="53"/>
      <c r="S425" s="53">
        <f>SUM(Q425:R425)</f>
        <v>230000</v>
      </c>
      <c r="T425" s="53"/>
      <c r="U425" s="53">
        <f>SUM(S425:T425)</f>
        <v>230000</v>
      </c>
      <c r="V425" s="53"/>
      <c r="W425" s="53">
        <f t="shared" si="307"/>
        <v>230000</v>
      </c>
      <c r="X425" s="53"/>
      <c r="Y425" s="53">
        <f t="shared" si="308"/>
        <v>230000</v>
      </c>
      <c r="Z425" s="53"/>
      <c r="AA425" s="53">
        <f t="shared" si="309"/>
        <v>230000</v>
      </c>
      <c r="AB425" s="53"/>
      <c r="AC425" s="53">
        <f t="shared" si="310"/>
        <v>230000</v>
      </c>
      <c r="AD425" s="53"/>
      <c r="AE425" s="53">
        <f t="shared" si="311"/>
        <v>230000</v>
      </c>
      <c r="AF425" s="53"/>
      <c r="AG425" s="53">
        <f t="shared" si="312"/>
        <v>230000</v>
      </c>
      <c r="AH425" s="53"/>
      <c r="AI425" s="53">
        <f t="shared" si="313"/>
        <v>230000</v>
      </c>
      <c r="AJ425" s="53"/>
      <c r="AK425" s="53">
        <f t="shared" si="314"/>
        <v>230000</v>
      </c>
      <c r="AL425" s="75"/>
      <c r="AM425" s="75"/>
      <c r="AN425" s="75"/>
      <c r="AO425" s="75"/>
    </row>
    <row r="426" spans="1:41" s="15" customFormat="1" ht="21" customHeight="1">
      <c r="A426" s="59"/>
      <c r="B426" s="60"/>
      <c r="C426" s="59">
        <v>6060</v>
      </c>
      <c r="D426" s="27" t="s">
        <v>86</v>
      </c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>
        <v>0</v>
      </c>
      <c r="Z426" s="53">
        <v>3660</v>
      </c>
      <c r="AA426" s="53">
        <f t="shared" si="309"/>
        <v>3660</v>
      </c>
      <c r="AB426" s="53"/>
      <c r="AC426" s="53">
        <f t="shared" si="310"/>
        <v>3660</v>
      </c>
      <c r="AD426" s="53">
        <v>-425</v>
      </c>
      <c r="AE426" s="53">
        <f t="shared" si="311"/>
        <v>3235</v>
      </c>
      <c r="AF426" s="53"/>
      <c r="AG426" s="53">
        <f t="shared" si="312"/>
        <v>3235</v>
      </c>
      <c r="AH426" s="53"/>
      <c r="AI426" s="53">
        <f t="shared" si="313"/>
        <v>3235</v>
      </c>
      <c r="AJ426" s="53"/>
      <c r="AK426" s="53">
        <f t="shared" si="314"/>
        <v>3235</v>
      </c>
      <c r="AL426" s="75"/>
      <c r="AM426" s="75"/>
      <c r="AN426" s="75"/>
      <c r="AO426" s="75"/>
    </row>
    <row r="427" spans="1:39" s="15" customFormat="1" ht="21" customHeight="1">
      <c r="A427" s="59"/>
      <c r="B427" s="60">
        <v>85415</v>
      </c>
      <c r="C427" s="59"/>
      <c r="D427" s="27" t="s">
        <v>196</v>
      </c>
      <c r="E427" s="53">
        <f aca="true" t="shared" si="315" ref="E427:X427">SUM(E428)</f>
        <v>113000</v>
      </c>
      <c r="F427" s="53">
        <f t="shared" si="315"/>
        <v>0</v>
      </c>
      <c r="G427" s="53">
        <f t="shared" si="315"/>
        <v>113000</v>
      </c>
      <c r="H427" s="53">
        <f t="shared" si="315"/>
        <v>0</v>
      </c>
      <c r="I427" s="53">
        <f t="shared" si="315"/>
        <v>113000</v>
      </c>
      <c r="J427" s="53">
        <f t="shared" si="315"/>
        <v>0</v>
      </c>
      <c r="K427" s="53">
        <f t="shared" si="315"/>
        <v>113000</v>
      </c>
      <c r="L427" s="53">
        <f t="shared" si="315"/>
        <v>0</v>
      </c>
      <c r="M427" s="53">
        <f t="shared" si="315"/>
        <v>113000</v>
      </c>
      <c r="N427" s="53">
        <f t="shared" si="315"/>
        <v>0</v>
      </c>
      <c r="O427" s="53">
        <f t="shared" si="315"/>
        <v>113000</v>
      </c>
      <c r="P427" s="53">
        <f t="shared" si="315"/>
        <v>0</v>
      </c>
      <c r="Q427" s="53">
        <f t="shared" si="315"/>
        <v>113000</v>
      </c>
      <c r="R427" s="53">
        <f t="shared" si="315"/>
        <v>253074</v>
      </c>
      <c r="S427" s="53">
        <f t="shared" si="315"/>
        <v>366074</v>
      </c>
      <c r="T427" s="53">
        <f t="shared" si="315"/>
        <v>0</v>
      </c>
      <c r="U427" s="53">
        <f t="shared" si="315"/>
        <v>366074</v>
      </c>
      <c r="V427" s="53">
        <f t="shared" si="315"/>
        <v>0</v>
      </c>
      <c r="W427" s="53">
        <f t="shared" si="315"/>
        <v>366074</v>
      </c>
      <c r="X427" s="53">
        <f t="shared" si="315"/>
        <v>-1800</v>
      </c>
      <c r="Y427" s="53">
        <f>SUM(Y428:Y429)</f>
        <v>364274</v>
      </c>
      <c r="Z427" s="53">
        <f>SUM(Z428:Z429)</f>
        <v>27251</v>
      </c>
      <c r="AA427" s="53">
        <f t="shared" si="309"/>
        <v>391525</v>
      </c>
      <c r="AB427" s="53">
        <f>SUM(AB428:AB429)</f>
        <v>246717</v>
      </c>
      <c r="AC427" s="53">
        <f t="shared" si="310"/>
        <v>638242</v>
      </c>
      <c r="AD427" s="53">
        <f>SUM(AD428:AD438)</f>
        <v>40954</v>
      </c>
      <c r="AE427" s="53">
        <f t="shared" si="311"/>
        <v>679196</v>
      </c>
      <c r="AF427" s="53">
        <f>SUM(AF428:AF438)</f>
        <v>0</v>
      </c>
      <c r="AG427" s="53">
        <f t="shared" si="312"/>
        <v>679196</v>
      </c>
      <c r="AH427" s="53">
        <f>SUM(AH428:AH438)</f>
        <v>0</v>
      </c>
      <c r="AI427" s="53">
        <f t="shared" si="313"/>
        <v>679196</v>
      </c>
      <c r="AJ427" s="53">
        <f>SUM(AJ428:AJ438)</f>
        <v>0</v>
      </c>
      <c r="AK427" s="53">
        <f t="shared" si="314"/>
        <v>679196</v>
      </c>
      <c r="AL427" s="75"/>
      <c r="AM427" s="75"/>
    </row>
    <row r="428" spans="1:39" s="15" customFormat="1" ht="21" customHeight="1">
      <c r="A428" s="59"/>
      <c r="B428" s="60"/>
      <c r="C428" s="59">
        <v>3240</v>
      </c>
      <c r="D428" s="27" t="s">
        <v>197</v>
      </c>
      <c r="E428" s="53">
        <v>113000</v>
      </c>
      <c r="F428" s="53"/>
      <c r="G428" s="53">
        <f>SUM(E428:F428)</f>
        <v>113000</v>
      </c>
      <c r="H428" s="53"/>
      <c r="I428" s="53">
        <f>SUM(G428:H428)</f>
        <v>113000</v>
      </c>
      <c r="J428" s="53"/>
      <c r="K428" s="53">
        <f>SUM(I428:J428)</f>
        <v>113000</v>
      </c>
      <c r="L428" s="53"/>
      <c r="M428" s="53">
        <f>SUM(K428:L428)</f>
        <v>113000</v>
      </c>
      <c r="N428" s="53"/>
      <c r="O428" s="53">
        <f>SUM(M428:N428)</f>
        <v>113000</v>
      </c>
      <c r="P428" s="53"/>
      <c r="Q428" s="53">
        <f>SUM(O428:P428)</f>
        <v>113000</v>
      </c>
      <c r="R428" s="53">
        <v>253074</v>
      </c>
      <c r="S428" s="53">
        <f>SUM(Q428:R428)</f>
        <v>366074</v>
      </c>
      <c r="T428" s="53"/>
      <c r="U428" s="53">
        <f>SUM(S428:T428)</f>
        <v>366074</v>
      </c>
      <c r="V428" s="53"/>
      <c r="W428" s="53">
        <f>SUM(U428:V428)</f>
        <v>366074</v>
      </c>
      <c r="X428" s="53">
        <v>-1800</v>
      </c>
      <c r="Y428" s="53">
        <f>SUM(W428:X428)</f>
        <v>364274</v>
      </c>
      <c r="Z428" s="53"/>
      <c r="AA428" s="53">
        <f t="shared" si="309"/>
        <v>364274</v>
      </c>
      <c r="AB428" s="53">
        <f>11122+235595</f>
        <v>246717</v>
      </c>
      <c r="AC428" s="53">
        <f t="shared" si="310"/>
        <v>610991</v>
      </c>
      <c r="AD428" s="53">
        <f>-10336</f>
        <v>-10336</v>
      </c>
      <c r="AE428" s="53">
        <f t="shared" si="311"/>
        <v>600655</v>
      </c>
      <c r="AF428" s="53"/>
      <c r="AG428" s="53">
        <f t="shared" si="312"/>
        <v>600655</v>
      </c>
      <c r="AH428" s="53"/>
      <c r="AI428" s="53">
        <f t="shared" si="313"/>
        <v>600655</v>
      </c>
      <c r="AJ428" s="53"/>
      <c r="AK428" s="53">
        <f t="shared" si="314"/>
        <v>600655</v>
      </c>
      <c r="AL428" s="75"/>
      <c r="AM428" s="75"/>
    </row>
    <row r="429" spans="1:39" s="15" customFormat="1" ht="21" customHeight="1">
      <c r="A429" s="59"/>
      <c r="B429" s="60"/>
      <c r="C429" s="59">
        <v>3260</v>
      </c>
      <c r="D429" s="27" t="s">
        <v>256</v>
      </c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>
        <v>0</v>
      </c>
      <c r="Z429" s="53">
        <v>27251</v>
      </c>
      <c r="AA429" s="53">
        <f t="shared" si="309"/>
        <v>27251</v>
      </c>
      <c r="AB429" s="53"/>
      <c r="AC429" s="53">
        <f t="shared" si="310"/>
        <v>27251</v>
      </c>
      <c r="AD429" s="53"/>
      <c r="AE429" s="53">
        <f t="shared" si="311"/>
        <v>27251</v>
      </c>
      <c r="AF429" s="53"/>
      <c r="AG429" s="53">
        <f t="shared" si="312"/>
        <v>27251</v>
      </c>
      <c r="AH429" s="53"/>
      <c r="AI429" s="53">
        <f aca="true" t="shared" si="316" ref="AI429:AI473">SUM(AG429:AH429)</f>
        <v>27251</v>
      </c>
      <c r="AJ429" s="53"/>
      <c r="AK429" s="53">
        <f t="shared" si="314"/>
        <v>27251</v>
      </c>
      <c r="AL429" s="75"/>
      <c r="AM429" s="75"/>
    </row>
    <row r="430" spans="1:39" s="15" customFormat="1" ht="21" customHeight="1" hidden="1">
      <c r="A430" s="59"/>
      <c r="B430" s="60"/>
      <c r="C430" s="59">
        <v>4110</v>
      </c>
      <c r="D430" s="27" t="s">
        <v>76</v>
      </c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>
        <v>0</v>
      </c>
      <c r="AD430" s="53"/>
      <c r="AE430" s="53">
        <f t="shared" si="311"/>
        <v>0</v>
      </c>
      <c r="AF430" s="53"/>
      <c r="AG430" s="53">
        <f t="shared" si="312"/>
        <v>0</v>
      </c>
      <c r="AH430" s="53"/>
      <c r="AI430" s="53">
        <f t="shared" si="316"/>
        <v>0</v>
      </c>
      <c r="AJ430" s="53"/>
      <c r="AK430" s="53">
        <f t="shared" si="314"/>
        <v>0</v>
      </c>
      <c r="AL430" s="75"/>
      <c r="AM430" s="75"/>
    </row>
    <row r="431" spans="1:39" s="15" customFormat="1" ht="21" customHeight="1" hidden="1">
      <c r="A431" s="59"/>
      <c r="B431" s="60"/>
      <c r="C431" s="59">
        <v>4120</v>
      </c>
      <c r="D431" s="27" t="s">
        <v>77</v>
      </c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>
        <v>0</v>
      </c>
      <c r="AD431" s="53"/>
      <c r="AE431" s="53">
        <f t="shared" si="311"/>
        <v>0</v>
      </c>
      <c r="AF431" s="53"/>
      <c r="AG431" s="53">
        <f t="shared" si="312"/>
        <v>0</v>
      </c>
      <c r="AH431" s="53"/>
      <c r="AI431" s="53">
        <f t="shared" si="316"/>
        <v>0</v>
      </c>
      <c r="AJ431" s="53"/>
      <c r="AK431" s="53">
        <f t="shared" si="314"/>
        <v>0</v>
      </c>
      <c r="AL431" s="75"/>
      <c r="AM431" s="75"/>
    </row>
    <row r="432" spans="1:39" s="15" customFormat="1" ht="21" customHeight="1">
      <c r="A432" s="59"/>
      <c r="B432" s="60"/>
      <c r="C432" s="59">
        <v>4110</v>
      </c>
      <c r="D432" s="27" t="s">
        <v>76</v>
      </c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>
        <v>0</v>
      </c>
      <c r="AD432" s="53">
        <v>957</v>
      </c>
      <c r="AE432" s="53">
        <f t="shared" si="311"/>
        <v>957</v>
      </c>
      <c r="AF432" s="53"/>
      <c r="AG432" s="53">
        <f t="shared" si="312"/>
        <v>957</v>
      </c>
      <c r="AH432" s="53"/>
      <c r="AI432" s="53">
        <f t="shared" si="316"/>
        <v>957</v>
      </c>
      <c r="AJ432" s="53"/>
      <c r="AK432" s="53">
        <f t="shared" si="314"/>
        <v>957</v>
      </c>
      <c r="AL432" s="75"/>
      <c r="AM432" s="75"/>
    </row>
    <row r="433" spans="1:39" s="15" customFormat="1" ht="21" customHeight="1">
      <c r="A433" s="59"/>
      <c r="B433" s="60"/>
      <c r="C433" s="59">
        <v>4120</v>
      </c>
      <c r="D433" s="27" t="s">
        <v>77</v>
      </c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>
        <v>0</v>
      </c>
      <c r="AD433" s="53">
        <v>153</v>
      </c>
      <c r="AE433" s="53">
        <f t="shared" si="311"/>
        <v>153</v>
      </c>
      <c r="AF433" s="53"/>
      <c r="AG433" s="53">
        <f t="shared" si="312"/>
        <v>153</v>
      </c>
      <c r="AH433" s="53"/>
      <c r="AI433" s="53">
        <f t="shared" si="316"/>
        <v>153</v>
      </c>
      <c r="AJ433" s="53"/>
      <c r="AK433" s="53">
        <f t="shared" si="314"/>
        <v>153</v>
      </c>
      <c r="AL433" s="75"/>
      <c r="AM433" s="75"/>
    </row>
    <row r="434" spans="1:39" s="15" customFormat="1" ht="21" customHeight="1">
      <c r="A434" s="59"/>
      <c r="B434" s="60"/>
      <c r="C434" s="59">
        <v>4170</v>
      </c>
      <c r="D434" s="27" t="s">
        <v>162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>
        <v>0</v>
      </c>
      <c r="AD434" s="53">
        <f>4320+1800+6190</f>
        <v>12310</v>
      </c>
      <c r="AE434" s="53">
        <f t="shared" si="311"/>
        <v>12310</v>
      </c>
      <c r="AF434" s="53"/>
      <c r="AG434" s="53">
        <f t="shared" si="312"/>
        <v>12310</v>
      </c>
      <c r="AH434" s="53"/>
      <c r="AI434" s="53">
        <f t="shared" si="316"/>
        <v>12310</v>
      </c>
      <c r="AJ434" s="53"/>
      <c r="AK434" s="53">
        <f t="shared" si="314"/>
        <v>12310</v>
      </c>
      <c r="AL434" s="75"/>
      <c r="AM434" s="75"/>
    </row>
    <row r="435" spans="1:39" s="15" customFormat="1" ht="21" customHeight="1" hidden="1">
      <c r="A435" s="59"/>
      <c r="B435" s="60"/>
      <c r="C435" s="59">
        <v>4210</v>
      </c>
      <c r="D435" s="27" t="s">
        <v>82</v>
      </c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>
        <v>0</v>
      </c>
      <c r="AD435" s="53"/>
      <c r="AE435" s="53">
        <f t="shared" si="311"/>
        <v>0</v>
      </c>
      <c r="AF435" s="53"/>
      <c r="AG435" s="53">
        <f t="shared" si="312"/>
        <v>0</v>
      </c>
      <c r="AH435" s="53"/>
      <c r="AI435" s="53">
        <f t="shared" si="316"/>
        <v>0</v>
      </c>
      <c r="AJ435" s="53"/>
      <c r="AK435" s="53">
        <f t="shared" si="314"/>
        <v>0</v>
      </c>
      <c r="AL435" s="75"/>
      <c r="AM435" s="75"/>
    </row>
    <row r="436" spans="1:39" s="15" customFormat="1" ht="21" customHeight="1">
      <c r="A436" s="59"/>
      <c r="B436" s="60"/>
      <c r="C436" s="59">
        <v>4210</v>
      </c>
      <c r="D436" s="27" t="s">
        <v>62</v>
      </c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>
        <v>0</v>
      </c>
      <c r="AD436" s="53">
        <v>1890</v>
      </c>
      <c r="AE436" s="53">
        <f t="shared" si="311"/>
        <v>1890</v>
      </c>
      <c r="AF436" s="53"/>
      <c r="AG436" s="53">
        <f t="shared" si="312"/>
        <v>1890</v>
      </c>
      <c r="AH436" s="53"/>
      <c r="AI436" s="53">
        <f t="shared" si="316"/>
        <v>1890</v>
      </c>
      <c r="AJ436" s="53"/>
      <c r="AK436" s="53">
        <f t="shared" si="314"/>
        <v>1890</v>
      </c>
      <c r="AL436" s="75"/>
      <c r="AM436" s="75"/>
    </row>
    <row r="437" spans="1:39" s="15" customFormat="1" ht="21" customHeight="1">
      <c r="A437" s="59"/>
      <c r="B437" s="60"/>
      <c r="C437" s="59">
        <v>4240</v>
      </c>
      <c r="D437" s="27" t="s">
        <v>116</v>
      </c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>
        <v>0</v>
      </c>
      <c r="AD437" s="53">
        <f>1800+3000+600</f>
        <v>5400</v>
      </c>
      <c r="AE437" s="53">
        <f t="shared" si="311"/>
        <v>5400</v>
      </c>
      <c r="AF437" s="53"/>
      <c r="AG437" s="53">
        <f t="shared" si="312"/>
        <v>5400</v>
      </c>
      <c r="AH437" s="53"/>
      <c r="AI437" s="53">
        <f t="shared" si="316"/>
        <v>5400</v>
      </c>
      <c r="AJ437" s="53"/>
      <c r="AK437" s="53">
        <f t="shared" si="314"/>
        <v>5400</v>
      </c>
      <c r="AL437" s="75"/>
      <c r="AM437" s="75"/>
    </row>
    <row r="438" spans="1:39" s="15" customFormat="1" ht="21" customHeight="1">
      <c r="A438" s="59"/>
      <c r="B438" s="60"/>
      <c r="C438" s="59">
        <v>4300</v>
      </c>
      <c r="D438" s="27" t="s">
        <v>69</v>
      </c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>
        <v>0</v>
      </c>
      <c r="AD438" s="53">
        <f>3600+3480+1200+22300</f>
        <v>30580</v>
      </c>
      <c r="AE438" s="53">
        <f t="shared" si="311"/>
        <v>30580</v>
      </c>
      <c r="AF438" s="53"/>
      <c r="AG438" s="53">
        <f t="shared" si="312"/>
        <v>30580</v>
      </c>
      <c r="AH438" s="53"/>
      <c r="AI438" s="53">
        <f t="shared" si="316"/>
        <v>30580</v>
      </c>
      <c r="AJ438" s="53"/>
      <c r="AK438" s="53">
        <f t="shared" si="314"/>
        <v>30580</v>
      </c>
      <c r="AL438" s="75"/>
      <c r="AM438" s="75"/>
    </row>
    <row r="439" spans="1:39" s="15" customFormat="1" ht="21.75" customHeight="1">
      <c r="A439" s="59"/>
      <c r="B439" s="60">
        <v>85446</v>
      </c>
      <c r="C439" s="59"/>
      <c r="D439" s="27" t="s">
        <v>142</v>
      </c>
      <c r="E439" s="53">
        <f aca="true" t="shared" si="317" ref="E439:J439">SUM(E440:E440)</f>
        <v>3516</v>
      </c>
      <c r="F439" s="53">
        <f t="shared" si="317"/>
        <v>0</v>
      </c>
      <c r="G439" s="53">
        <f t="shared" si="317"/>
        <v>3516</v>
      </c>
      <c r="H439" s="53">
        <f t="shared" si="317"/>
        <v>0</v>
      </c>
      <c r="I439" s="53">
        <f t="shared" si="317"/>
        <v>3516</v>
      </c>
      <c r="J439" s="53">
        <f t="shared" si="317"/>
        <v>0</v>
      </c>
      <c r="K439" s="53">
        <f aca="true" t="shared" si="318" ref="K439:Z439">SUM(K440:K441)</f>
        <v>3516</v>
      </c>
      <c r="L439" s="53">
        <f t="shared" si="318"/>
        <v>0</v>
      </c>
      <c r="M439" s="53">
        <f t="shared" si="318"/>
        <v>3516</v>
      </c>
      <c r="N439" s="53">
        <f t="shared" si="318"/>
        <v>0</v>
      </c>
      <c r="O439" s="53">
        <f t="shared" si="318"/>
        <v>3516</v>
      </c>
      <c r="P439" s="53">
        <f t="shared" si="318"/>
        <v>0</v>
      </c>
      <c r="Q439" s="53">
        <f t="shared" si="318"/>
        <v>3516</v>
      </c>
      <c r="R439" s="53">
        <f t="shared" si="318"/>
        <v>0</v>
      </c>
      <c r="S439" s="53">
        <f t="shared" si="318"/>
        <v>3516</v>
      </c>
      <c r="T439" s="53">
        <f t="shared" si="318"/>
        <v>0</v>
      </c>
      <c r="U439" s="53">
        <f t="shared" si="318"/>
        <v>3516</v>
      </c>
      <c r="V439" s="53">
        <f t="shared" si="318"/>
        <v>0</v>
      </c>
      <c r="W439" s="53">
        <f t="shared" si="318"/>
        <v>3516</v>
      </c>
      <c r="X439" s="53">
        <f t="shared" si="318"/>
        <v>0</v>
      </c>
      <c r="Y439" s="53">
        <f t="shared" si="318"/>
        <v>3516</v>
      </c>
      <c r="Z439" s="53">
        <f t="shared" si="318"/>
        <v>0</v>
      </c>
      <c r="AA439" s="53">
        <f t="shared" si="309"/>
        <v>3516</v>
      </c>
      <c r="AB439" s="53">
        <f>SUM(AB440:AB441)</f>
        <v>0</v>
      </c>
      <c r="AC439" s="53">
        <f t="shared" si="310"/>
        <v>3516</v>
      </c>
      <c r="AD439" s="53">
        <f>SUM(AD440:AD441)</f>
        <v>0</v>
      </c>
      <c r="AE439" s="53">
        <f t="shared" si="311"/>
        <v>3516</v>
      </c>
      <c r="AF439" s="53">
        <f>SUM(AF440:AF441)</f>
        <v>0</v>
      </c>
      <c r="AG439" s="53">
        <f t="shared" si="312"/>
        <v>3516</v>
      </c>
      <c r="AH439" s="53">
        <f>SUM(AH440:AH441)</f>
        <v>0</v>
      </c>
      <c r="AI439" s="53">
        <f t="shared" si="316"/>
        <v>3516</v>
      </c>
      <c r="AJ439" s="53">
        <f>SUM(AJ440:AJ441)</f>
        <v>0</v>
      </c>
      <c r="AK439" s="53">
        <f t="shared" si="314"/>
        <v>3516</v>
      </c>
      <c r="AL439" s="75"/>
      <c r="AM439" s="75"/>
    </row>
    <row r="440" spans="1:39" s="15" customFormat="1" ht="21" customHeight="1">
      <c r="A440" s="59"/>
      <c r="B440" s="60"/>
      <c r="C440" s="59">
        <v>4300</v>
      </c>
      <c r="D440" s="27" t="s">
        <v>69</v>
      </c>
      <c r="E440" s="53">
        <v>3516</v>
      </c>
      <c r="F440" s="53"/>
      <c r="G440" s="53">
        <f>SUM(E440:F440)</f>
        <v>3516</v>
      </c>
      <c r="H440" s="53"/>
      <c r="I440" s="53">
        <f>SUM(G440:H440)</f>
        <v>3516</v>
      </c>
      <c r="J440" s="53"/>
      <c r="K440" s="53">
        <f>SUM(I440:J440)</f>
        <v>3516</v>
      </c>
      <c r="L440" s="53">
        <v>-1192</v>
      </c>
      <c r="M440" s="53">
        <f>SUM(K440:L440)</f>
        <v>2324</v>
      </c>
      <c r="N440" s="53"/>
      <c r="O440" s="53">
        <f>SUM(M440:N440)</f>
        <v>2324</v>
      </c>
      <c r="P440" s="53"/>
      <c r="Q440" s="53">
        <f>SUM(O440:P440)</f>
        <v>2324</v>
      </c>
      <c r="R440" s="53"/>
      <c r="S440" s="53">
        <f>SUM(Q440:R440)</f>
        <v>2324</v>
      </c>
      <c r="T440" s="53"/>
      <c r="U440" s="53">
        <f>SUM(S440:T440)</f>
        <v>2324</v>
      </c>
      <c r="V440" s="53"/>
      <c r="W440" s="53">
        <f>SUM(U440:V440)</f>
        <v>2324</v>
      </c>
      <c r="X440" s="53"/>
      <c r="Y440" s="53">
        <f>SUM(W440:X440)</f>
        <v>2324</v>
      </c>
      <c r="Z440" s="53"/>
      <c r="AA440" s="53">
        <f t="shared" si="309"/>
        <v>2324</v>
      </c>
      <c r="AB440" s="53"/>
      <c r="AC440" s="53">
        <f t="shared" si="310"/>
        <v>2324</v>
      </c>
      <c r="AD440" s="53"/>
      <c r="AE440" s="53">
        <f t="shared" si="311"/>
        <v>2324</v>
      </c>
      <c r="AF440" s="53"/>
      <c r="AG440" s="53">
        <f t="shared" si="312"/>
        <v>2324</v>
      </c>
      <c r="AH440" s="53"/>
      <c r="AI440" s="53">
        <f t="shared" si="316"/>
        <v>2324</v>
      </c>
      <c r="AJ440" s="53"/>
      <c r="AK440" s="53">
        <f t="shared" si="314"/>
        <v>2324</v>
      </c>
      <c r="AL440" s="75"/>
      <c r="AM440" s="75"/>
    </row>
    <row r="441" spans="1:39" s="15" customFormat="1" ht="21" customHeight="1">
      <c r="A441" s="59"/>
      <c r="B441" s="60"/>
      <c r="C441" s="59">
        <v>4410</v>
      </c>
      <c r="D441" s="27" t="s">
        <v>80</v>
      </c>
      <c r="E441" s="53"/>
      <c r="F441" s="53"/>
      <c r="G441" s="53"/>
      <c r="H441" s="53"/>
      <c r="I441" s="53"/>
      <c r="J441" s="53"/>
      <c r="K441" s="53">
        <v>0</v>
      </c>
      <c r="L441" s="53">
        <v>1192</v>
      </c>
      <c r="M441" s="53">
        <f>SUM(K441:L441)</f>
        <v>1192</v>
      </c>
      <c r="N441" s="53"/>
      <c r="O441" s="53">
        <f>SUM(M441:N441)</f>
        <v>1192</v>
      </c>
      <c r="P441" s="53"/>
      <c r="Q441" s="53">
        <f>SUM(O441:P441)</f>
        <v>1192</v>
      </c>
      <c r="R441" s="53"/>
      <c r="S441" s="53">
        <f>SUM(Q441:R441)</f>
        <v>1192</v>
      </c>
      <c r="T441" s="53"/>
      <c r="U441" s="53">
        <f>SUM(S441:T441)</f>
        <v>1192</v>
      </c>
      <c r="V441" s="53"/>
      <c r="W441" s="53">
        <f>SUM(U441:V441)</f>
        <v>1192</v>
      </c>
      <c r="X441" s="53"/>
      <c r="Y441" s="53">
        <f>SUM(W441:X441)</f>
        <v>1192</v>
      </c>
      <c r="Z441" s="53"/>
      <c r="AA441" s="53">
        <f t="shared" si="309"/>
        <v>1192</v>
      </c>
      <c r="AB441" s="53"/>
      <c r="AC441" s="53">
        <f t="shared" si="310"/>
        <v>1192</v>
      </c>
      <c r="AD441" s="53"/>
      <c r="AE441" s="53">
        <f t="shared" si="311"/>
        <v>1192</v>
      </c>
      <c r="AF441" s="53"/>
      <c r="AG441" s="53">
        <f t="shared" si="312"/>
        <v>1192</v>
      </c>
      <c r="AH441" s="53"/>
      <c r="AI441" s="53">
        <f t="shared" si="316"/>
        <v>1192</v>
      </c>
      <c r="AJ441" s="53"/>
      <c r="AK441" s="53">
        <f t="shared" si="314"/>
        <v>1192</v>
      </c>
      <c r="AL441" s="75"/>
      <c r="AM441" s="75"/>
    </row>
    <row r="442" spans="1:39" s="15" customFormat="1" ht="21.75" customHeight="1">
      <c r="A442" s="59"/>
      <c r="B442" s="60">
        <v>85495</v>
      </c>
      <c r="C442" s="59"/>
      <c r="D442" s="27" t="s">
        <v>16</v>
      </c>
      <c r="E442" s="53">
        <f aca="true" t="shared" si="319" ref="E442:AJ442">SUM(E443:E443)</f>
        <v>226650</v>
      </c>
      <c r="F442" s="53">
        <f t="shared" si="319"/>
        <v>0</v>
      </c>
      <c r="G442" s="53">
        <f t="shared" si="319"/>
        <v>226650</v>
      </c>
      <c r="H442" s="53">
        <f t="shared" si="319"/>
        <v>0</v>
      </c>
      <c r="I442" s="53">
        <f t="shared" si="319"/>
        <v>226650</v>
      </c>
      <c r="J442" s="53">
        <f t="shared" si="319"/>
        <v>0</v>
      </c>
      <c r="K442" s="53">
        <f t="shared" si="319"/>
        <v>226650</v>
      </c>
      <c r="L442" s="53">
        <f t="shared" si="319"/>
        <v>0</v>
      </c>
      <c r="M442" s="53">
        <f t="shared" si="319"/>
        <v>226650</v>
      </c>
      <c r="N442" s="53">
        <f t="shared" si="319"/>
        <v>0</v>
      </c>
      <c r="O442" s="53">
        <f t="shared" si="319"/>
        <v>226650</v>
      </c>
      <c r="P442" s="53">
        <f t="shared" si="319"/>
        <v>0</v>
      </c>
      <c r="Q442" s="53">
        <f t="shared" si="319"/>
        <v>226650</v>
      </c>
      <c r="R442" s="53">
        <f t="shared" si="319"/>
        <v>0</v>
      </c>
      <c r="S442" s="53">
        <f t="shared" si="319"/>
        <v>226650</v>
      </c>
      <c r="T442" s="53">
        <f t="shared" si="319"/>
        <v>0</v>
      </c>
      <c r="U442" s="53">
        <f t="shared" si="319"/>
        <v>226650</v>
      </c>
      <c r="V442" s="53">
        <f t="shared" si="319"/>
        <v>0</v>
      </c>
      <c r="W442" s="53">
        <f t="shared" si="319"/>
        <v>226650</v>
      </c>
      <c r="X442" s="53">
        <f t="shared" si="319"/>
        <v>0</v>
      </c>
      <c r="Y442" s="53">
        <f t="shared" si="319"/>
        <v>226650</v>
      </c>
      <c r="Z442" s="53">
        <f t="shared" si="319"/>
        <v>0</v>
      </c>
      <c r="AA442" s="53">
        <f t="shared" si="309"/>
        <v>226650</v>
      </c>
      <c r="AB442" s="53">
        <f t="shared" si="319"/>
        <v>0</v>
      </c>
      <c r="AC442" s="53">
        <f t="shared" si="310"/>
        <v>226650</v>
      </c>
      <c r="AD442" s="53">
        <f t="shared" si="319"/>
        <v>0</v>
      </c>
      <c r="AE442" s="53">
        <f t="shared" si="311"/>
        <v>226650</v>
      </c>
      <c r="AF442" s="53">
        <f t="shared" si="319"/>
        <v>0</v>
      </c>
      <c r="AG442" s="53">
        <f t="shared" si="312"/>
        <v>226650</v>
      </c>
      <c r="AH442" s="53">
        <f t="shared" si="319"/>
        <v>0</v>
      </c>
      <c r="AI442" s="53">
        <f t="shared" si="316"/>
        <v>226650</v>
      </c>
      <c r="AJ442" s="53">
        <f t="shared" si="319"/>
        <v>0</v>
      </c>
      <c r="AK442" s="53">
        <f t="shared" si="314"/>
        <v>226650</v>
      </c>
      <c r="AL442" s="75"/>
      <c r="AM442" s="75"/>
    </row>
    <row r="443" spans="1:39" s="15" customFormat="1" ht="48">
      <c r="A443" s="59"/>
      <c r="B443" s="60"/>
      <c r="C443" s="59">
        <v>2320</v>
      </c>
      <c r="D443" s="27" t="s">
        <v>145</v>
      </c>
      <c r="E443" s="53">
        <f>200000+26650</f>
        <v>226650</v>
      </c>
      <c r="F443" s="53"/>
      <c r="G443" s="53">
        <f>SUM(E443:F443)</f>
        <v>226650</v>
      </c>
      <c r="H443" s="53"/>
      <c r="I443" s="53">
        <f>SUM(G443:H443)</f>
        <v>226650</v>
      </c>
      <c r="J443" s="53"/>
      <c r="K443" s="53">
        <f>SUM(I443:J443)</f>
        <v>226650</v>
      </c>
      <c r="L443" s="53"/>
      <c r="M443" s="53">
        <f>SUM(K443:L443)</f>
        <v>226650</v>
      </c>
      <c r="N443" s="53"/>
      <c r="O443" s="53">
        <f>SUM(M443:N443)</f>
        <v>226650</v>
      </c>
      <c r="P443" s="53"/>
      <c r="Q443" s="53">
        <f>SUM(O443:P443)</f>
        <v>226650</v>
      </c>
      <c r="R443" s="53"/>
      <c r="S443" s="53">
        <f>SUM(Q443:R443)</f>
        <v>226650</v>
      </c>
      <c r="T443" s="53"/>
      <c r="U443" s="53">
        <f>SUM(S443:T443)</f>
        <v>226650</v>
      </c>
      <c r="V443" s="53"/>
      <c r="W443" s="53">
        <f>SUM(U443:V443)</f>
        <v>226650</v>
      </c>
      <c r="X443" s="53"/>
      <c r="Y443" s="53">
        <f>SUM(W443:X443)</f>
        <v>226650</v>
      </c>
      <c r="Z443" s="53"/>
      <c r="AA443" s="53">
        <f t="shared" si="309"/>
        <v>226650</v>
      </c>
      <c r="AB443" s="53"/>
      <c r="AC443" s="53">
        <f t="shared" si="310"/>
        <v>226650</v>
      </c>
      <c r="AD443" s="53"/>
      <c r="AE443" s="53">
        <f t="shared" si="311"/>
        <v>226650</v>
      </c>
      <c r="AF443" s="53"/>
      <c r="AG443" s="53">
        <f t="shared" si="312"/>
        <v>226650</v>
      </c>
      <c r="AH443" s="53"/>
      <c r="AI443" s="53">
        <f t="shared" si="316"/>
        <v>226650</v>
      </c>
      <c r="AJ443" s="53"/>
      <c r="AK443" s="53">
        <f t="shared" si="314"/>
        <v>226650</v>
      </c>
      <c r="AL443" s="75"/>
      <c r="AM443" s="75"/>
    </row>
    <row r="444" spans="1:39" s="4" customFormat="1" ht="28.5" customHeight="1">
      <c r="A444" s="22" t="s">
        <v>120</v>
      </c>
      <c r="B444" s="23"/>
      <c r="C444" s="24"/>
      <c r="D444" s="25" t="s">
        <v>51</v>
      </c>
      <c r="E444" s="26">
        <f aca="true" t="shared" si="320" ref="E444:Z444">SUM(E445,E450,E452,E458,E460,E462,E469,)</f>
        <v>6268095</v>
      </c>
      <c r="F444" s="26">
        <f t="shared" si="320"/>
        <v>-1149433</v>
      </c>
      <c r="G444" s="26">
        <f t="shared" si="320"/>
        <v>5118662</v>
      </c>
      <c r="H444" s="26">
        <f t="shared" si="320"/>
        <v>25300</v>
      </c>
      <c r="I444" s="26">
        <f t="shared" si="320"/>
        <v>5143962</v>
      </c>
      <c r="J444" s="26">
        <f t="shared" si="320"/>
        <v>0</v>
      </c>
      <c r="K444" s="26">
        <f t="shared" si="320"/>
        <v>5143962</v>
      </c>
      <c r="L444" s="26">
        <f t="shared" si="320"/>
        <v>0</v>
      </c>
      <c r="M444" s="26">
        <f t="shared" si="320"/>
        <v>5143962</v>
      </c>
      <c r="N444" s="26">
        <f t="shared" si="320"/>
        <v>0</v>
      </c>
      <c r="O444" s="26">
        <f t="shared" si="320"/>
        <v>5143962</v>
      </c>
      <c r="P444" s="26">
        <f t="shared" si="320"/>
        <v>-2520</v>
      </c>
      <c r="Q444" s="26">
        <f t="shared" si="320"/>
        <v>5141442</v>
      </c>
      <c r="R444" s="26">
        <f t="shared" si="320"/>
        <v>0</v>
      </c>
      <c r="S444" s="26">
        <f t="shared" si="320"/>
        <v>5141442</v>
      </c>
      <c r="T444" s="26">
        <f t="shared" si="320"/>
        <v>2697</v>
      </c>
      <c r="U444" s="26">
        <f t="shared" si="320"/>
        <v>5144139</v>
      </c>
      <c r="V444" s="26">
        <f t="shared" si="320"/>
        <v>0</v>
      </c>
      <c r="W444" s="26">
        <f t="shared" si="320"/>
        <v>5144139</v>
      </c>
      <c r="X444" s="26">
        <f t="shared" si="320"/>
        <v>-365549</v>
      </c>
      <c r="Y444" s="26">
        <f t="shared" si="320"/>
        <v>4778590</v>
      </c>
      <c r="Z444" s="26">
        <f t="shared" si="320"/>
        <v>21840</v>
      </c>
      <c r="AA444" s="26">
        <f t="shared" si="309"/>
        <v>4800430</v>
      </c>
      <c r="AB444" s="26">
        <f>SUM(AB445,AB450,AB452,AB458,AB460,AB462,AB469,)</f>
        <v>0</v>
      </c>
      <c r="AC444" s="26">
        <f t="shared" si="310"/>
        <v>4800430</v>
      </c>
      <c r="AD444" s="26">
        <f>SUM(AD445,AD450,AD452,AD458,AD460,AD462,AD469,)</f>
        <v>77299</v>
      </c>
      <c r="AE444" s="26">
        <f t="shared" si="311"/>
        <v>4877729</v>
      </c>
      <c r="AF444" s="26">
        <f>SUM(AF445,AF450,AF452,AF458,AF460,AF462,AF469,)</f>
        <v>0</v>
      </c>
      <c r="AG444" s="26">
        <f t="shared" si="312"/>
        <v>4877729</v>
      </c>
      <c r="AH444" s="26">
        <f>SUM(AH445,AH450,AH452,AH458,AH460,AH462,AH469,)</f>
        <v>0</v>
      </c>
      <c r="AI444" s="26">
        <f t="shared" si="316"/>
        <v>4877729</v>
      </c>
      <c r="AJ444" s="26">
        <f>SUM(AJ445,AJ450,AJ452,AJ458,AJ460,AJ462,AJ469,)</f>
        <v>0</v>
      </c>
      <c r="AK444" s="26">
        <f t="shared" si="314"/>
        <v>4877729</v>
      </c>
      <c r="AL444" s="16"/>
      <c r="AM444" s="16"/>
    </row>
    <row r="445" spans="1:39" s="15" customFormat="1" ht="21.75" customHeight="1">
      <c r="A445" s="41"/>
      <c r="B445" s="55" t="s">
        <v>121</v>
      </c>
      <c r="C445" s="59"/>
      <c r="D445" s="27" t="s">
        <v>52</v>
      </c>
      <c r="E445" s="53">
        <f aca="true" t="shared" si="321" ref="E445:Z445">SUM(E446:E449)</f>
        <v>3730075</v>
      </c>
      <c r="F445" s="53">
        <f t="shared" si="321"/>
        <v>-857433</v>
      </c>
      <c r="G445" s="53">
        <f t="shared" si="321"/>
        <v>2872642</v>
      </c>
      <c r="H445" s="53">
        <f t="shared" si="321"/>
        <v>25300</v>
      </c>
      <c r="I445" s="53">
        <f t="shared" si="321"/>
        <v>2897942</v>
      </c>
      <c r="J445" s="53">
        <f t="shared" si="321"/>
        <v>0</v>
      </c>
      <c r="K445" s="53">
        <f t="shared" si="321"/>
        <v>2897942</v>
      </c>
      <c r="L445" s="53">
        <f t="shared" si="321"/>
        <v>0</v>
      </c>
      <c r="M445" s="53">
        <f t="shared" si="321"/>
        <v>2897942</v>
      </c>
      <c r="N445" s="53">
        <f t="shared" si="321"/>
        <v>0</v>
      </c>
      <c r="O445" s="53">
        <f t="shared" si="321"/>
        <v>2897942</v>
      </c>
      <c r="P445" s="53">
        <f t="shared" si="321"/>
        <v>0</v>
      </c>
      <c r="Q445" s="53">
        <f t="shared" si="321"/>
        <v>2897942</v>
      </c>
      <c r="R445" s="53">
        <f t="shared" si="321"/>
        <v>0</v>
      </c>
      <c r="S445" s="53">
        <f t="shared" si="321"/>
        <v>2897942</v>
      </c>
      <c r="T445" s="53">
        <f t="shared" si="321"/>
        <v>447</v>
      </c>
      <c r="U445" s="53">
        <f t="shared" si="321"/>
        <v>2898389</v>
      </c>
      <c r="V445" s="53">
        <f t="shared" si="321"/>
        <v>0</v>
      </c>
      <c r="W445" s="53">
        <f t="shared" si="321"/>
        <v>2898389</v>
      </c>
      <c r="X445" s="53">
        <f t="shared" si="321"/>
        <v>-573200</v>
      </c>
      <c r="Y445" s="53">
        <f t="shared" si="321"/>
        <v>2325189</v>
      </c>
      <c r="Z445" s="53">
        <f t="shared" si="321"/>
        <v>150000</v>
      </c>
      <c r="AA445" s="53">
        <f t="shared" si="309"/>
        <v>2475189</v>
      </c>
      <c r="AB445" s="53">
        <f>SUM(AB446:AB449)</f>
        <v>0</v>
      </c>
      <c r="AC445" s="53">
        <f t="shared" si="310"/>
        <v>2475189</v>
      </c>
      <c r="AD445" s="53">
        <f>SUM(AD446:AD449)</f>
        <v>0</v>
      </c>
      <c r="AE445" s="53">
        <f t="shared" si="311"/>
        <v>2475189</v>
      </c>
      <c r="AF445" s="53">
        <f>SUM(AF446:AF449)</f>
        <v>0</v>
      </c>
      <c r="AG445" s="53">
        <f t="shared" si="312"/>
        <v>2475189</v>
      </c>
      <c r="AH445" s="53">
        <f>SUM(AH446:AH449)</f>
        <v>0</v>
      </c>
      <c r="AI445" s="53">
        <f t="shared" si="316"/>
        <v>2475189</v>
      </c>
      <c r="AJ445" s="53">
        <f>SUM(AJ446:AJ449)</f>
        <v>0</v>
      </c>
      <c r="AK445" s="53">
        <f t="shared" si="314"/>
        <v>2475189</v>
      </c>
      <c r="AL445" s="75"/>
      <c r="AM445" s="75"/>
    </row>
    <row r="446" spans="1:39" s="15" customFormat="1" ht="21" customHeight="1">
      <c r="A446" s="41"/>
      <c r="B446" s="55"/>
      <c r="C446" s="41">
        <v>4300</v>
      </c>
      <c r="D446" s="27" t="s">
        <v>69</v>
      </c>
      <c r="E446" s="53">
        <v>40000</v>
      </c>
      <c r="F446" s="53"/>
      <c r="G446" s="53">
        <f>SUM(E446:F446)</f>
        <v>40000</v>
      </c>
      <c r="H446" s="53"/>
      <c r="I446" s="53">
        <f>SUM(G446:H446)</f>
        <v>40000</v>
      </c>
      <c r="J446" s="53"/>
      <c r="K446" s="53">
        <f>SUM(I446:J446)</f>
        <v>40000</v>
      </c>
      <c r="L446" s="53"/>
      <c r="M446" s="53">
        <f>SUM(K446:L446)</f>
        <v>40000</v>
      </c>
      <c r="N446" s="53"/>
      <c r="O446" s="53">
        <f>SUM(M446:N446)</f>
        <v>40000</v>
      </c>
      <c r="P446" s="53"/>
      <c r="Q446" s="53">
        <f>SUM(O446:P446)</f>
        <v>40000</v>
      </c>
      <c r="R446" s="53"/>
      <c r="S446" s="53">
        <f>SUM(Q446:R446)</f>
        <v>40000</v>
      </c>
      <c r="T446" s="53"/>
      <c r="U446" s="53">
        <f>SUM(S446:T446)</f>
        <v>40000</v>
      </c>
      <c r="V446" s="53"/>
      <c r="W446" s="53">
        <f>SUM(U446:V446)</f>
        <v>40000</v>
      </c>
      <c r="X446" s="53">
        <v>58000</v>
      </c>
      <c r="Y446" s="53">
        <f>SUM(W446:X446)</f>
        <v>98000</v>
      </c>
      <c r="Z446" s="53"/>
      <c r="AA446" s="53">
        <f t="shared" si="309"/>
        <v>98000</v>
      </c>
      <c r="AB446" s="53"/>
      <c r="AC446" s="53">
        <f t="shared" si="310"/>
        <v>98000</v>
      </c>
      <c r="AD446" s="53"/>
      <c r="AE446" s="53">
        <f t="shared" si="311"/>
        <v>98000</v>
      </c>
      <c r="AF446" s="53"/>
      <c r="AG446" s="53">
        <f t="shared" si="312"/>
        <v>98000</v>
      </c>
      <c r="AH446" s="53"/>
      <c r="AI446" s="53">
        <f t="shared" si="316"/>
        <v>98000</v>
      </c>
      <c r="AJ446" s="53"/>
      <c r="AK446" s="53">
        <f t="shared" si="314"/>
        <v>98000</v>
      </c>
      <c r="AL446" s="75"/>
      <c r="AM446" s="75"/>
    </row>
    <row r="447" spans="1:39" s="15" customFormat="1" ht="21" customHeight="1">
      <c r="A447" s="41"/>
      <c r="B447" s="55"/>
      <c r="C447" s="41">
        <v>4430</v>
      </c>
      <c r="D447" s="27" t="s">
        <v>84</v>
      </c>
      <c r="E447" s="53">
        <v>75</v>
      </c>
      <c r="F447" s="53"/>
      <c r="G447" s="53">
        <f>SUM(E447:F447)</f>
        <v>75</v>
      </c>
      <c r="H447" s="53"/>
      <c r="I447" s="53">
        <f>SUM(G447:H447)</f>
        <v>75</v>
      </c>
      <c r="J447" s="53"/>
      <c r="K447" s="53">
        <f>SUM(I447:J447)</f>
        <v>75</v>
      </c>
      <c r="L447" s="53"/>
      <c r="M447" s="53">
        <f>SUM(K447:L447)</f>
        <v>75</v>
      </c>
      <c r="N447" s="53"/>
      <c r="O447" s="53">
        <f>SUM(M447:N447)</f>
        <v>75</v>
      </c>
      <c r="P447" s="53"/>
      <c r="Q447" s="53">
        <f>SUM(O447:P447)</f>
        <v>75</v>
      </c>
      <c r="R447" s="53"/>
      <c r="S447" s="53">
        <f>SUM(Q447:R447)</f>
        <v>75</v>
      </c>
      <c r="T447" s="53"/>
      <c r="U447" s="53">
        <f>SUM(S447:T447)</f>
        <v>75</v>
      </c>
      <c r="V447" s="53"/>
      <c r="W447" s="53">
        <f>SUM(U447:V447)</f>
        <v>75</v>
      </c>
      <c r="X447" s="53"/>
      <c r="Y447" s="53">
        <f>SUM(W447:X447)</f>
        <v>75</v>
      </c>
      <c r="Z447" s="53"/>
      <c r="AA447" s="53">
        <f t="shared" si="309"/>
        <v>75</v>
      </c>
      <c r="AB447" s="53"/>
      <c r="AC447" s="53">
        <f t="shared" si="310"/>
        <v>75</v>
      </c>
      <c r="AD447" s="53"/>
      <c r="AE447" s="53">
        <f t="shared" si="311"/>
        <v>75</v>
      </c>
      <c r="AF447" s="53"/>
      <c r="AG447" s="53">
        <f t="shared" si="312"/>
        <v>75</v>
      </c>
      <c r="AH447" s="53"/>
      <c r="AI447" s="53">
        <f t="shared" si="316"/>
        <v>75</v>
      </c>
      <c r="AJ447" s="53"/>
      <c r="AK447" s="53">
        <f t="shared" si="314"/>
        <v>75</v>
      </c>
      <c r="AL447" s="75"/>
      <c r="AM447" s="75"/>
    </row>
    <row r="448" spans="1:41" s="15" customFormat="1" ht="46.5" customHeight="1">
      <c r="A448" s="41"/>
      <c r="B448" s="55"/>
      <c r="C448" s="41">
        <v>6010</v>
      </c>
      <c r="D448" s="27" t="s">
        <v>2</v>
      </c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>
        <v>0</v>
      </c>
      <c r="T448" s="53">
        <v>447</v>
      </c>
      <c r="U448" s="53">
        <f>SUM(S448:T448)</f>
        <v>447</v>
      </c>
      <c r="V448" s="53"/>
      <c r="W448" s="53">
        <f>SUM(U448:V448)</f>
        <v>447</v>
      </c>
      <c r="X448" s="53">
        <v>100000</v>
      </c>
      <c r="Y448" s="53">
        <f>SUM(W448:X448)</f>
        <v>100447</v>
      </c>
      <c r="Z448" s="53"/>
      <c r="AA448" s="53">
        <f t="shared" si="309"/>
        <v>100447</v>
      </c>
      <c r="AB448" s="53"/>
      <c r="AC448" s="53">
        <f t="shared" si="310"/>
        <v>100447</v>
      </c>
      <c r="AD448" s="53"/>
      <c r="AE448" s="53">
        <f t="shared" si="311"/>
        <v>100447</v>
      </c>
      <c r="AF448" s="53"/>
      <c r="AG448" s="53">
        <f t="shared" si="312"/>
        <v>100447</v>
      </c>
      <c r="AH448" s="53"/>
      <c r="AI448" s="53">
        <f t="shared" si="316"/>
        <v>100447</v>
      </c>
      <c r="AJ448" s="53"/>
      <c r="AK448" s="53">
        <f t="shared" si="314"/>
        <v>100447</v>
      </c>
      <c r="AL448" s="75"/>
      <c r="AM448" s="75"/>
      <c r="AN448" s="75"/>
      <c r="AO448" s="75"/>
    </row>
    <row r="449" spans="1:41" s="15" customFormat="1" ht="25.5" customHeight="1">
      <c r="A449" s="41"/>
      <c r="B449" s="55"/>
      <c r="C449" s="41">
        <v>6050</v>
      </c>
      <c r="D449" s="27" t="s">
        <v>63</v>
      </c>
      <c r="E449" s="53">
        <f>90000+1900000+370000+250000+280000+800000</f>
        <v>3690000</v>
      </c>
      <c r="F449" s="53">
        <f>-1525000+200000+70000+80000+317567</f>
        <v>-857433</v>
      </c>
      <c r="G449" s="53">
        <f>SUM(E449:F449)</f>
        <v>2832567</v>
      </c>
      <c r="H449" s="53">
        <f>3800+21500</f>
        <v>25300</v>
      </c>
      <c r="I449" s="53">
        <f>SUM(G449:H449)</f>
        <v>2857867</v>
      </c>
      <c r="J449" s="53"/>
      <c r="K449" s="53">
        <f>SUM(I449:J449)</f>
        <v>2857867</v>
      </c>
      <c r="L449" s="53"/>
      <c r="M449" s="53">
        <f>SUM(K449:L449)</f>
        <v>2857867</v>
      </c>
      <c r="N449" s="53"/>
      <c r="O449" s="53">
        <f>SUM(M449:N449)</f>
        <v>2857867</v>
      </c>
      <c r="P449" s="53"/>
      <c r="Q449" s="53">
        <f>SUM(O449:P449)</f>
        <v>2857867</v>
      </c>
      <c r="R449" s="53"/>
      <c r="S449" s="53">
        <f>SUM(Q449:R449)</f>
        <v>2857867</v>
      </c>
      <c r="T449" s="53"/>
      <c r="U449" s="53">
        <f>SUM(S449:T449)</f>
        <v>2857867</v>
      </c>
      <c r="V449" s="53"/>
      <c r="W449" s="53">
        <f>SUM(U449:V449)</f>
        <v>2857867</v>
      </c>
      <c r="X449" s="53">
        <f>-1100-3100-36000-327000-54000-89000-21000-200000</f>
        <v>-731200</v>
      </c>
      <c r="Y449" s="53">
        <f>SUM(W449:X449)</f>
        <v>2126667</v>
      </c>
      <c r="Z449" s="53">
        <v>150000</v>
      </c>
      <c r="AA449" s="53">
        <f t="shared" si="309"/>
        <v>2276667</v>
      </c>
      <c r="AB449" s="53"/>
      <c r="AC449" s="53">
        <f t="shared" si="310"/>
        <v>2276667</v>
      </c>
      <c r="AD449" s="53"/>
      <c r="AE449" s="53">
        <f t="shared" si="311"/>
        <v>2276667</v>
      </c>
      <c r="AF449" s="53"/>
      <c r="AG449" s="53">
        <f t="shared" si="312"/>
        <v>2276667</v>
      </c>
      <c r="AH449" s="53"/>
      <c r="AI449" s="53">
        <f t="shared" si="316"/>
        <v>2276667</v>
      </c>
      <c r="AJ449" s="53"/>
      <c r="AK449" s="53">
        <f t="shared" si="314"/>
        <v>2276667</v>
      </c>
      <c r="AL449" s="75"/>
      <c r="AM449" s="75"/>
      <c r="AN449" s="75"/>
      <c r="AO449" s="75"/>
    </row>
    <row r="450" spans="1:39" s="15" customFormat="1" ht="21.75" customHeight="1">
      <c r="A450" s="41"/>
      <c r="B450" s="55" t="s">
        <v>122</v>
      </c>
      <c r="C450" s="59"/>
      <c r="D450" s="27" t="s">
        <v>123</v>
      </c>
      <c r="E450" s="53">
        <f aca="true" t="shared" si="322" ref="E450:AJ450">SUM(E451:E451)</f>
        <v>706900</v>
      </c>
      <c r="F450" s="53">
        <f t="shared" si="322"/>
        <v>0</v>
      </c>
      <c r="G450" s="53">
        <f t="shared" si="322"/>
        <v>706900</v>
      </c>
      <c r="H450" s="53">
        <f t="shared" si="322"/>
        <v>0</v>
      </c>
      <c r="I450" s="53">
        <f t="shared" si="322"/>
        <v>706900</v>
      </c>
      <c r="J450" s="53">
        <f t="shared" si="322"/>
        <v>0</v>
      </c>
      <c r="K450" s="53">
        <f t="shared" si="322"/>
        <v>706900</v>
      </c>
      <c r="L450" s="53">
        <f t="shared" si="322"/>
        <v>0</v>
      </c>
      <c r="M450" s="53">
        <f t="shared" si="322"/>
        <v>706900</v>
      </c>
      <c r="N450" s="53">
        <f t="shared" si="322"/>
        <v>0</v>
      </c>
      <c r="O450" s="53">
        <f t="shared" si="322"/>
        <v>706900</v>
      </c>
      <c r="P450" s="53">
        <f t="shared" si="322"/>
        <v>0</v>
      </c>
      <c r="Q450" s="53">
        <f t="shared" si="322"/>
        <v>706900</v>
      </c>
      <c r="R450" s="53">
        <f t="shared" si="322"/>
        <v>0</v>
      </c>
      <c r="S450" s="53">
        <f t="shared" si="322"/>
        <v>706900</v>
      </c>
      <c r="T450" s="53">
        <f t="shared" si="322"/>
        <v>0</v>
      </c>
      <c r="U450" s="53">
        <f t="shared" si="322"/>
        <v>706900</v>
      </c>
      <c r="V450" s="53">
        <f t="shared" si="322"/>
        <v>1170</v>
      </c>
      <c r="W450" s="53">
        <f t="shared" si="322"/>
        <v>708070</v>
      </c>
      <c r="X450" s="53">
        <f t="shared" si="322"/>
        <v>240</v>
      </c>
      <c r="Y450" s="53">
        <f t="shared" si="322"/>
        <v>708310</v>
      </c>
      <c r="Z450" s="53">
        <f t="shared" si="322"/>
        <v>-165</v>
      </c>
      <c r="AA450" s="53">
        <f t="shared" si="309"/>
        <v>708145</v>
      </c>
      <c r="AB450" s="53">
        <f t="shared" si="322"/>
        <v>0</v>
      </c>
      <c r="AC450" s="53">
        <f t="shared" si="310"/>
        <v>708145</v>
      </c>
      <c r="AD450" s="53">
        <f t="shared" si="322"/>
        <v>-100</v>
      </c>
      <c r="AE450" s="53">
        <f t="shared" si="311"/>
        <v>708045</v>
      </c>
      <c r="AF450" s="53">
        <f t="shared" si="322"/>
        <v>0</v>
      </c>
      <c r="AG450" s="53">
        <f t="shared" si="312"/>
        <v>708045</v>
      </c>
      <c r="AH450" s="53">
        <f t="shared" si="322"/>
        <v>0</v>
      </c>
      <c r="AI450" s="53">
        <f t="shared" si="316"/>
        <v>708045</v>
      </c>
      <c r="AJ450" s="53">
        <f t="shared" si="322"/>
        <v>0</v>
      </c>
      <c r="AK450" s="53">
        <f t="shared" si="314"/>
        <v>708045</v>
      </c>
      <c r="AL450" s="75"/>
      <c r="AM450" s="75"/>
    </row>
    <row r="451" spans="1:39" s="15" customFormat="1" ht="21" customHeight="1">
      <c r="A451" s="41"/>
      <c r="B451" s="55"/>
      <c r="C451" s="59">
        <v>4300</v>
      </c>
      <c r="D451" s="63" t="s">
        <v>69</v>
      </c>
      <c r="E451" s="53">
        <f>686600+20000+300</f>
        <v>706900</v>
      </c>
      <c r="F451" s="53"/>
      <c r="G451" s="53">
        <f>SUM(E451:F451)</f>
        <v>706900</v>
      </c>
      <c r="H451" s="53"/>
      <c r="I451" s="53">
        <f>SUM(G451:H451)</f>
        <v>706900</v>
      </c>
      <c r="J451" s="53"/>
      <c r="K451" s="53">
        <f>SUM(I451:J451)</f>
        <v>706900</v>
      </c>
      <c r="L451" s="53"/>
      <c r="M451" s="53">
        <f>SUM(K451:L451)</f>
        <v>706900</v>
      </c>
      <c r="N451" s="53"/>
      <c r="O451" s="53">
        <f>SUM(M451:N451)</f>
        <v>706900</v>
      </c>
      <c r="P451" s="53"/>
      <c r="Q451" s="53">
        <f>SUM(O451:P451)</f>
        <v>706900</v>
      </c>
      <c r="R451" s="53"/>
      <c r="S451" s="53">
        <f>SUM(Q451:R451)</f>
        <v>706900</v>
      </c>
      <c r="T451" s="53"/>
      <c r="U451" s="53">
        <f>SUM(S451:T451)</f>
        <v>706900</v>
      </c>
      <c r="V451" s="53">
        <v>1170</v>
      </c>
      <c r="W451" s="53">
        <f>SUM(U451:V451)</f>
        <v>708070</v>
      </c>
      <c r="X451" s="53">
        <v>240</v>
      </c>
      <c r="Y451" s="53">
        <f>SUM(W451:X451)</f>
        <v>708310</v>
      </c>
      <c r="Z451" s="53">
        <v>-165</v>
      </c>
      <c r="AA451" s="53">
        <f t="shared" si="309"/>
        <v>708145</v>
      </c>
      <c r="AB451" s="53"/>
      <c r="AC451" s="53">
        <f t="shared" si="310"/>
        <v>708145</v>
      </c>
      <c r="AD451" s="53">
        <v>-100</v>
      </c>
      <c r="AE451" s="53">
        <f t="shared" si="311"/>
        <v>708045</v>
      </c>
      <c r="AF451" s="53"/>
      <c r="AG451" s="53">
        <f t="shared" si="312"/>
        <v>708045</v>
      </c>
      <c r="AH451" s="53"/>
      <c r="AI451" s="53">
        <f t="shared" si="316"/>
        <v>708045</v>
      </c>
      <c r="AJ451" s="53"/>
      <c r="AK451" s="53">
        <f t="shared" si="314"/>
        <v>708045</v>
      </c>
      <c r="AL451" s="75"/>
      <c r="AM451" s="75"/>
    </row>
    <row r="452" spans="1:39" s="15" customFormat="1" ht="21.75" customHeight="1">
      <c r="A452" s="41"/>
      <c r="B452" s="55" t="s">
        <v>124</v>
      </c>
      <c r="C452" s="59"/>
      <c r="D452" s="27" t="s">
        <v>147</v>
      </c>
      <c r="E452" s="53">
        <f aca="true" t="shared" si="323" ref="E452:V452">SUM(E453:E456)</f>
        <v>269300</v>
      </c>
      <c r="F452" s="53">
        <f t="shared" si="323"/>
        <v>20000</v>
      </c>
      <c r="G452" s="53">
        <f t="shared" si="323"/>
        <v>289300</v>
      </c>
      <c r="H452" s="53">
        <f t="shared" si="323"/>
        <v>0</v>
      </c>
      <c r="I452" s="53">
        <f t="shared" si="323"/>
        <v>289300</v>
      </c>
      <c r="J452" s="53">
        <f t="shared" si="323"/>
        <v>0</v>
      </c>
      <c r="K452" s="53">
        <f t="shared" si="323"/>
        <v>289300</v>
      </c>
      <c r="L452" s="53">
        <f t="shared" si="323"/>
        <v>0</v>
      </c>
      <c r="M452" s="53">
        <f t="shared" si="323"/>
        <v>289300</v>
      </c>
      <c r="N452" s="53">
        <f t="shared" si="323"/>
        <v>0</v>
      </c>
      <c r="O452" s="53">
        <f t="shared" si="323"/>
        <v>289300</v>
      </c>
      <c r="P452" s="53">
        <f t="shared" si="323"/>
        <v>-2520</v>
      </c>
      <c r="Q452" s="53">
        <f t="shared" si="323"/>
        <v>286780</v>
      </c>
      <c r="R452" s="53">
        <f t="shared" si="323"/>
        <v>0</v>
      </c>
      <c r="S452" s="53">
        <f t="shared" si="323"/>
        <v>286780</v>
      </c>
      <c r="T452" s="53">
        <f t="shared" si="323"/>
        <v>-500</v>
      </c>
      <c r="U452" s="53">
        <f t="shared" si="323"/>
        <v>286280</v>
      </c>
      <c r="V452" s="53">
        <f t="shared" si="323"/>
        <v>-1170</v>
      </c>
      <c r="W452" s="53">
        <f>SUM(W453:W457)</f>
        <v>285110</v>
      </c>
      <c r="X452" s="53">
        <f>SUM(X453:X457)</f>
        <v>37365</v>
      </c>
      <c r="Y452" s="53">
        <f>SUM(Y453:Y457)</f>
        <v>322475</v>
      </c>
      <c r="Z452" s="53">
        <f>SUM(Z453:Z457)</f>
        <v>3305</v>
      </c>
      <c r="AA452" s="53">
        <f t="shared" si="309"/>
        <v>325780</v>
      </c>
      <c r="AB452" s="53">
        <f>SUM(AB453:AB457)</f>
        <v>0</v>
      </c>
      <c r="AC452" s="53">
        <f t="shared" si="310"/>
        <v>325780</v>
      </c>
      <c r="AD452" s="53">
        <f>SUM(AD453:AD457)</f>
        <v>-1601</v>
      </c>
      <c r="AE452" s="53">
        <f t="shared" si="311"/>
        <v>324179</v>
      </c>
      <c r="AF452" s="53">
        <f>SUM(AF453:AF457)</f>
        <v>0</v>
      </c>
      <c r="AG452" s="53">
        <f aca="true" t="shared" si="324" ref="AG452:AG473">SUM(AE452:AF452)</f>
        <v>324179</v>
      </c>
      <c r="AH452" s="53">
        <f>SUM(AH453:AH457)</f>
        <v>0</v>
      </c>
      <c r="AI452" s="53">
        <f t="shared" si="316"/>
        <v>324179</v>
      </c>
      <c r="AJ452" s="53">
        <f>SUM(AJ453:AJ457)</f>
        <v>0</v>
      </c>
      <c r="AK452" s="53">
        <f aca="true" t="shared" si="325" ref="AK452:AK473">SUM(AI452:AJ452)</f>
        <v>324179</v>
      </c>
      <c r="AL452" s="75"/>
      <c r="AM452" s="75"/>
    </row>
    <row r="453" spans="1:39" s="15" customFormat="1" ht="21" customHeight="1">
      <c r="A453" s="41"/>
      <c r="B453" s="55"/>
      <c r="C453" s="41">
        <v>4210</v>
      </c>
      <c r="D453" s="27" t="s">
        <v>82</v>
      </c>
      <c r="E453" s="53">
        <f>9000+16000+12000+6000+57300</f>
        <v>100300</v>
      </c>
      <c r="F453" s="53"/>
      <c r="G453" s="53">
        <f>SUM(E453:F453)</f>
        <v>100300</v>
      </c>
      <c r="H453" s="53"/>
      <c r="I453" s="53">
        <f>SUM(G453:H453)</f>
        <v>100300</v>
      </c>
      <c r="J453" s="53"/>
      <c r="K453" s="53">
        <f>SUM(I453:J453)</f>
        <v>100300</v>
      </c>
      <c r="L453" s="53"/>
      <c r="M453" s="53">
        <f>SUM(K453:L453)</f>
        <v>100300</v>
      </c>
      <c r="N453" s="53"/>
      <c r="O453" s="53">
        <f>SUM(M453:N453)</f>
        <v>100300</v>
      </c>
      <c r="P453" s="53">
        <v>-2520</v>
      </c>
      <c r="Q453" s="53">
        <f>SUM(O453:P453)</f>
        <v>97780</v>
      </c>
      <c r="R453" s="53"/>
      <c r="S453" s="53">
        <f>SUM(Q453:R453)</f>
        <v>97780</v>
      </c>
      <c r="T453" s="53">
        <v>-500</v>
      </c>
      <c r="U453" s="53">
        <f>SUM(S453:T453)</f>
        <v>97280</v>
      </c>
      <c r="V453" s="53"/>
      <c r="W453" s="53">
        <f>SUM(U453:V453)</f>
        <v>97280</v>
      </c>
      <c r="X453" s="53">
        <v>-24185</v>
      </c>
      <c r="Y453" s="53">
        <f>SUM(W453:X453)</f>
        <v>73095</v>
      </c>
      <c r="Z453" s="53">
        <v>6280</v>
      </c>
      <c r="AA453" s="53">
        <f t="shared" si="309"/>
        <v>79375</v>
      </c>
      <c r="AB453" s="53"/>
      <c r="AC453" s="53">
        <f t="shared" si="310"/>
        <v>79375</v>
      </c>
      <c r="AD453" s="53">
        <v>-601</v>
      </c>
      <c r="AE453" s="53">
        <f t="shared" si="311"/>
        <v>78774</v>
      </c>
      <c r="AF453" s="53"/>
      <c r="AG453" s="53">
        <f t="shared" si="324"/>
        <v>78774</v>
      </c>
      <c r="AH453" s="53"/>
      <c r="AI453" s="53">
        <f t="shared" si="316"/>
        <v>78774</v>
      </c>
      <c r="AJ453" s="53"/>
      <c r="AK453" s="53">
        <f t="shared" si="325"/>
        <v>78774</v>
      </c>
      <c r="AL453" s="75"/>
      <c r="AM453" s="75"/>
    </row>
    <row r="454" spans="1:39" s="15" customFormat="1" ht="21" customHeight="1">
      <c r="A454" s="41"/>
      <c r="B454" s="55"/>
      <c r="C454" s="41">
        <v>4260</v>
      </c>
      <c r="D454" s="27" t="s">
        <v>85</v>
      </c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>
        <v>0</v>
      </c>
      <c r="Z454" s="53">
        <v>165</v>
      </c>
      <c r="AA454" s="53">
        <f t="shared" si="309"/>
        <v>165</v>
      </c>
      <c r="AB454" s="53"/>
      <c r="AC454" s="53">
        <f t="shared" si="310"/>
        <v>165</v>
      </c>
      <c r="AD454" s="53"/>
      <c r="AE454" s="53">
        <f t="shared" si="311"/>
        <v>165</v>
      </c>
      <c r="AF454" s="53"/>
      <c r="AG454" s="53">
        <f t="shared" si="324"/>
        <v>165</v>
      </c>
      <c r="AH454" s="53"/>
      <c r="AI454" s="53">
        <f t="shared" si="316"/>
        <v>165</v>
      </c>
      <c r="AJ454" s="53"/>
      <c r="AK454" s="53">
        <f t="shared" si="325"/>
        <v>165</v>
      </c>
      <c r="AL454" s="75"/>
      <c r="AM454" s="75"/>
    </row>
    <row r="455" spans="1:39" s="15" customFormat="1" ht="21" customHeight="1">
      <c r="A455" s="41"/>
      <c r="B455" s="55"/>
      <c r="C455" s="41">
        <v>4300</v>
      </c>
      <c r="D455" s="27" t="s">
        <v>69</v>
      </c>
      <c r="E455" s="53">
        <f>88830+30000+20000+20000+10170</f>
        <v>169000</v>
      </c>
      <c r="F455" s="53"/>
      <c r="G455" s="53">
        <f>SUM(E455:F455)</f>
        <v>169000</v>
      </c>
      <c r="H455" s="53"/>
      <c r="I455" s="53">
        <f>SUM(G455:H455)</f>
        <v>169000</v>
      </c>
      <c r="J455" s="53"/>
      <c r="K455" s="53">
        <f>SUM(I455:J455)</f>
        <v>169000</v>
      </c>
      <c r="L455" s="53"/>
      <c r="M455" s="53">
        <f>SUM(K455:L455)</f>
        <v>169000</v>
      </c>
      <c r="N455" s="53"/>
      <c r="O455" s="53">
        <f>SUM(M455:N455)</f>
        <v>169000</v>
      </c>
      <c r="P455" s="53"/>
      <c r="Q455" s="53">
        <f>SUM(O455:P455)</f>
        <v>169000</v>
      </c>
      <c r="R455" s="53"/>
      <c r="S455" s="53">
        <f>SUM(Q455:R455)</f>
        <v>169000</v>
      </c>
      <c r="T455" s="53"/>
      <c r="U455" s="53">
        <f>SUM(S455:T455)</f>
        <v>169000</v>
      </c>
      <c r="V455" s="53">
        <v>-1170</v>
      </c>
      <c r="W455" s="53">
        <f>SUM(U455:V455)</f>
        <v>167830</v>
      </c>
      <c r="X455" s="53">
        <v>40000</v>
      </c>
      <c r="Y455" s="53">
        <f>SUM(W455:X455)</f>
        <v>207830</v>
      </c>
      <c r="Z455" s="53">
        <v>40</v>
      </c>
      <c r="AA455" s="53">
        <f t="shared" si="309"/>
        <v>207870</v>
      </c>
      <c r="AB455" s="53"/>
      <c r="AC455" s="53">
        <f t="shared" si="310"/>
        <v>207870</v>
      </c>
      <c r="AD455" s="53">
        <v>-1000</v>
      </c>
      <c r="AE455" s="53">
        <f t="shared" si="311"/>
        <v>206870</v>
      </c>
      <c r="AF455" s="53"/>
      <c r="AG455" s="53">
        <f t="shared" si="324"/>
        <v>206870</v>
      </c>
      <c r="AH455" s="53"/>
      <c r="AI455" s="53">
        <f t="shared" si="316"/>
        <v>206870</v>
      </c>
      <c r="AJ455" s="53"/>
      <c r="AK455" s="53">
        <f t="shared" si="325"/>
        <v>206870</v>
      </c>
      <c r="AL455" s="75"/>
      <c r="AM455" s="75"/>
    </row>
    <row r="456" spans="1:41" s="15" customFormat="1" ht="21" customHeight="1">
      <c r="A456" s="41"/>
      <c r="B456" s="55"/>
      <c r="C456" s="41">
        <v>6050</v>
      </c>
      <c r="D456" s="27" t="s">
        <v>63</v>
      </c>
      <c r="E456" s="53">
        <v>0</v>
      </c>
      <c r="F456" s="53">
        <v>20000</v>
      </c>
      <c r="G456" s="53">
        <f>SUM(E456:F456)</f>
        <v>20000</v>
      </c>
      <c r="H456" s="53"/>
      <c r="I456" s="53">
        <f>SUM(G456:H456)</f>
        <v>20000</v>
      </c>
      <c r="J456" s="53"/>
      <c r="K456" s="53">
        <f>SUM(I456:J456)</f>
        <v>20000</v>
      </c>
      <c r="L456" s="53"/>
      <c r="M456" s="53">
        <f>SUM(K456:L456)</f>
        <v>20000</v>
      </c>
      <c r="N456" s="53"/>
      <c r="O456" s="53">
        <f>SUM(M456:N456)</f>
        <v>20000</v>
      </c>
      <c r="P456" s="53"/>
      <c r="Q456" s="53">
        <f>SUM(O456:P456)</f>
        <v>20000</v>
      </c>
      <c r="R456" s="53"/>
      <c r="S456" s="53">
        <f>SUM(Q456:R456)</f>
        <v>20000</v>
      </c>
      <c r="T456" s="53"/>
      <c r="U456" s="53">
        <f>SUM(S456:T456)</f>
        <v>20000</v>
      </c>
      <c r="V456" s="53"/>
      <c r="W456" s="53">
        <f>SUM(U456:V456)</f>
        <v>20000</v>
      </c>
      <c r="X456" s="53"/>
      <c r="Y456" s="53">
        <f>SUM(W456:X456)</f>
        <v>20000</v>
      </c>
      <c r="Z456" s="53"/>
      <c r="AA456" s="53">
        <f t="shared" si="309"/>
        <v>20000</v>
      </c>
      <c r="AB456" s="53"/>
      <c r="AC456" s="53">
        <f t="shared" si="310"/>
        <v>20000</v>
      </c>
      <c r="AD456" s="53"/>
      <c r="AE456" s="53">
        <f t="shared" si="311"/>
        <v>20000</v>
      </c>
      <c r="AF456" s="53"/>
      <c r="AG456" s="53">
        <f t="shared" si="324"/>
        <v>20000</v>
      </c>
      <c r="AH456" s="53"/>
      <c r="AI456" s="53">
        <f t="shared" si="316"/>
        <v>20000</v>
      </c>
      <c r="AJ456" s="53"/>
      <c r="AK456" s="53">
        <f t="shared" si="325"/>
        <v>20000</v>
      </c>
      <c r="AL456" s="75"/>
      <c r="AM456" s="75"/>
      <c r="AN456" s="75"/>
      <c r="AO456" s="75"/>
    </row>
    <row r="457" spans="1:41" s="15" customFormat="1" ht="21" customHeight="1">
      <c r="A457" s="41"/>
      <c r="B457" s="55"/>
      <c r="C457" s="41">
        <v>6060</v>
      </c>
      <c r="D457" s="27" t="s">
        <v>86</v>
      </c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>
        <v>0</v>
      </c>
      <c r="X457" s="53">
        <v>21550</v>
      </c>
      <c r="Y457" s="53">
        <f>SUM(W457:X457)</f>
        <v>21550</v>
      </c>
      <c r="Z457" s="53">
        <v>-3180</v>
      </c>
      <c r="AA457" s="53">
        <f t="shared" si="309"/>
        <v>18370</v>
      </c>
      <c r="AB457" s="53"/>
      <c r="AC457" s="53">
        <f t="shared" si="310"/>
        <v>18370</v>
      </c>
      <c r="AD457" s="53"/>
      <c r="AE457" s="53">
        <f t="shared" si="311"/>
        <v>18370</v>
      </c>
      <c r="AF457" s="53"/>
      <c r="AG457" s="53">
        <f t="shared" si="324"/>
        <v>18370</v>
      </c>
      <c r="AH457" s="53"/>
      <c r="AI457" s="53">
        <f t="shared" si="316"/>
        <v>18370</v>
      </c>
      <c r="AJ457" s="53"/>
      <c r="AK457" s="53">
        <f t="shared" si="325"/>
        <v>18370</v>
      </c>
      <c r="AL457" s="75"/>
      <c r="AM457" s="75"/>
      <c r="AN457" s="75"/>
      <c r="AO457" s="75"/>
    </row>
    <row r="458" spans="1:39" s="15" customFormat="1" ht="24.75" customHeight="1">
      <c r="A458" s="41"/>
      <c r="B458" s="55" t="s">
        <v>125</v>
      </c>
      <c r="C458" s="59"/>
      <c r="D458" s="27" t="s">
        <v>126</v>
      </c>
      <c r="E458" s="53">
        <f aca="true" t="shared" si="326" ref="E458:AJ458">SUM(E459:E459)</f>
        <v>15000</v>
      </c>
      <c r="F458" s="53">
        <f t="shared" si="326"/>
        <v>0</v>
      </c>
      <c r="G458" s="53">
        <f t="shared" si="326"/>
        <v>15000</v>
      </c>
      <c r="H458" s="53">
        <f t="shared" si="326"/>
        <v>0</v>
      </c>
      <c r="I458" s="53">
        <f t="shared" si="326"/>
        <v>15000</v>
      </c>
      <c r="J458" s="53">
        <f t="shared" si="326"/>
        <v>0</v>
      </c>
      <c r="K458" s="53">
        <f t="shared" si="326"/>
        <v>15000</v>
      </c>
      <c r="L458" s="53">
        <f t="shared" si="326"/>
        <v>0</v>
      </c>
      <c r="M458" s="53">
        <f t="shared" si="326"/>
        <v>15000</v>
      </c>
      <c r="N458" s="53">
        <f t="shared" si="326"/>
        <v>0</v>
      </c>
      <c r="O458" s="53">
        <f t="shared" si="326"/>
        <v>15000</v>
      </c>
      <c r="P458" s="53">
        <f t="shared" si="326"/>
        <v>0</v>
      </c>
      <c r="Q458" s="53">
        <f t="shared" si="326"/>
        <v>15000</v>
      </c>
      <c r="R458" s="53">
        <f t="shared" si="326"/>
        <v>0</v>
      </c>
      <c r="S458" s="53">
        <f t="shared" si="326"/>
        <v>15000</v>
      </c>
      <c r="T458" s="53">
        <f t="shared" si="326"/>
        <v>0</v>
      </c>
      <c r="U458" s="53">
        <f t="shared" si="326"/>
        <v>15000</v>
      </c>
      <c r="V458" s="53">
        <f t="shared" si="326"/>
        <v>0</v>
      </c>
      <c r="W458" s="53">
        <f t="shared" si="326"/>
        <v>15000</v>
      </c>
      <c r="X458" s="53">
        <f t="shared" si="326"/>
        <v>0</v>
      </c>
      <c r="Y458" s="53">
        <f t="shared" si="326"/>
        <v>15000</v>
      </c>
      <c r="Z458" s="53">
        <f t="shared" si="326"/>
        <v>0</v>
      </c>
      <c r="AA458" s="53">
        <f t="shared" si="309"/>
        <v>15000</v>
      </c>
      <c r="AB458" s="53">
        <f t="shared" si="326"/>
        <v>0</v>
      </c>
      <c r="AC458" s="53">
        <f t="shared" si="310"/>
        <v>15000</v>
      </c>
      <c r="AD458" s="53">
        <f t="shared" si="326"/>
        <v>0</v>
      </c>
      <c r="AE458" s="53">
        <f t="shared" si="311"/>
        <v>15000</v>
      </c>
      <c r="AF458" s="53">
        <f t="shared" si="326"/>
        <v>0</v>
      </c>
      <c r="AG458" s="53">
        <f t="shared" si="324"/>
        <v>15000</v>
      </c>
      <c r="AH458" s="53">
        <f t="shared" si="326"/>
        <v>0</v>
      </c>
      <c r="AI458" s="53">
        <f t="shared" si="316"/>
        <v>15000</v>
      </c>
      <c r="AJ458" s="53">
        <f t="shared" si="326"/>
        <v>0</v>
      </c>
      <c r="AK458" s="53">
        <f t="shared" si="325"/>
        <v>15000</v>
      </c>
      <c r="AL458" s="75"/>
      <c r="AM458" s="75"/>
    </row>
    <row r="459" spans="1:39" s="15" customFormat="1" ht="27" customHeight="1">
      <c r="A459" s="41"/>
      <c r="B459" s="55"/>
      <c r="C459" s="59">
        <v>4520</v>
      </c>
      <c r="D459" s="27" t="s">
        <v>127</v>
      </c>
      <c r="E459" s="53">
        <v>15000</v>
      </c>
      <c r="F459" s="53"/>
      <c r="G459" s="53">
        <f>SUM(E459:F459)</f>
        <v>15000</v>
      </c>
      <c r="H459" s="53"/>
      <c r="I459" s="53">
        <f>SUM(G459:H459)</f>
        <v>15000</v>
      </c>
      <c r="J459" s="53"/>
      <c r="K459" s="53">
        <f>SUM(I459:J459)</f>
        <v>15000</v>
      </c>
      <c r="L459" s="53"/>
      <c r="M459" s="53">
        <f>SUM(K459:L459)</f>
        <v>15000</v>
      </c>
      <c r="N459" s="53"/>
      <c r="O459" s="53">
        <f>SUM(M459:N459)</f>
        <v>15000</v>
      </c>
      <c r="P459" s="53"/>
      <c r="Q459" s="53">
        <f>SUM(O459:P459)</f>
        <v>15000</v>
      </c>
      <c r="R459" s="53"/>
      <c r="S459" s="53">
        <f>SUM(Q459:R459)</f>
        <v>15000</v>
      </c>
      <c r="T459" s="53"/>
      <c r="U459" s="53">
        <f>SUM(S459:T459)</f>
        <v>15000</v>
      </c>
      <c r="V459" s="53"/>
      <c r="W459" s="53">
        <f>SUM(U459:V459)</f>
        <v>15000</v>
      </c>
      <c r="X459" s="53"/>
      <c r="Y459" s="53">
        <f>SUM(W459:X459)</f>
        <v>15000</v>
      </c>
      <c r="Z459" s="53"/>
      <c r="AA459" s="53">
        <f t="shared" si="309"/>
        <v>15000</v>
      </c>
      <c r="AB459" s="53"/>
      <c r="AC459" s="53">
        <f t="shared" si="310"/>
        <v>15000</v>
      </c>
      <c r="AD459" s="53"/>
      <c r="AE459" s="53">
        <f t="shared" si="311"/>
        <v>15000</v>
      </c>
      <c r="AF459" s="53"/>
      <c r="AG459" s="53">
        <f t="shared" si="324"/>
        <v>15000</v>
      </c>
      <c r="AH459" s="53"/>
      <c r="AI459" s="53">
        <f t="shared" si="316"/>
        <v>15000</v>
      </c>
      <c r="AJ459" s="53"/>
      <c r="AK459" s="53">
        <f t="shared" si="325"/>
        <v>15000</v>
      </c>
      <c r="AL459" s="75"/>
      <c r="AM459" s="75"/>
    </row>
    <row r="460" spans="1:39" s="15" customFormat="1" ht="21" customHeight="1">
      <c r="A460" s="41"/>
      <c r="B460" s="55" t="s">
        <v>128</v>
      </c>
      <c r="C460" s="59"/>
      <c r="D460" s="27" t="s">
        <v>129</v>
      </c>
      <c r="E460" s="53">
        <f aca="true" t="shared" si="327" ref="E460:AJ460">SUM(E461)</f>
        <v>96000</v>
      </c>
      <c r="F460" s="53">
        <f t="shared" si="327"/>
        <v>0</v>
      </c>
      <c r="G460" s="53">
        <f t="shared" si="327"/>
        <v>96000</v>
      </c>
      <c r="H460" s="53">
        <f t="shared" si="327"/>
        <v>0</v>
      </c>
      <c r="I460" s="53">
        <f t="shared" si="327"/>
        <v>96000</v>
      </c>
      <c r="J460" s="53">
        <f t="shared" si="327"/>
        <v>0</v>
      </c>
      <c r="K460" s="53">
        <f t="shared" si="327"/>
        <v>96000</v>
      </c>
      <c r="L460" s="53">
        <f t="shared" si="327"/>
        <v>0</v>
      </c>
      <c r="M460" s="53">
        <f t="shared" si="327"/>
        <v>96000</v>
      </c>
      <c r="N460" s="53">
        <f t="shared" si="327"/>
        <v>0</v>
      </c>
      <c r="O460" s="53">
        <f t="shared" si="327"/>
        <v>96000</v>
      </c>
      <c r="P460" s="53">
        <f t="shared" si="327"/>
        <v>0</v>
      </c>
      <c r="Q460" s="53">
        <f t="shared" si="327"/>
        <v>96000</v>
      </c>
      <c r="R460" s="53">
        <f t="shared" si="327"/>
        <v>0</v>
      </c>
      <c r="S460" s="53">
        <f t="shared" si="327"/>
        <v>96000</v>
      </c>
      <c r="T460" s="53">
        <f t="shared" si="327"/>
        <v>0</v>
      </c>
      <c r="U460" s="53">
        <f t="shared" si="327"/>
        <v>96000</v>
      </c>
      <c r="V460" s="53">
        <f t="shared" si="327"/>
        <v>0</v>
      </c>
      <c r="W460" s="53">
        <f t="shared" si="327"/>
        <v>96000</v>
      </c>
      <c r="X460" s="53">
        <f t="shared" si="327"/>
        <v>0</v>
      </c>
      <c r="Y460" s="53">
        <f t="shared" si="327"/>
        <v>96000</v>
      </c>
      <c r="Z460" s="53">
        <f t="shared" si="327"/>
        <v>0</v>
      </c>
      <c r="AA460" s="53">
        <f t="shared" si="309"/>
        <v>96000</v>
      </c>
      <c r="AB460" s="53">
        <f t="shared" si="327"/>
        <v>0</v>
      </c>
      <c r="AC460" s="53">
        <f t="shared" si="310"/>
        <v>96000</v>
      </c>
      <c r="AD460" s="53">
        <f t="shared" si="327"/>
        <v>1000</v>
      </c>
      <c r="AE460" s="53">
        <f t="shared" si="311"/>
        <v>97000</v>
      </c>
      <c r="AF460" s="53">
        <f t="shared" si="327"/>
        <v>0</v>
      </c>
      <c r="AG460" s="53">
        <f t="shared" si="324"/>
        <v>97000</v>
      </c>
      <c r="AH460" s="53">
        <f t="shared" si="327"/>
        <v>0</v>
      </c>
      <c r="AI460" s="53">
        <f t="shared" si="316"/>
        <v>97000</v>
      </c>
      <c r="AJ460" s="53">
        <f t="shared" si="327"/>
        <v>0</v>
      </c>
      <c r="AK460" s="53">
        <f t="shared" si="325"/>
        <v>97000</v>
      </c>
      <c r="AL460" s="75"/>
      <c r="AM460" s="75"/>
    </row>
    <row r="461" spans="1:39" s="15" customFormat="1" ht="21" customHeight="1">
      <c r="A461" s="41"/>
      <c r="B461" s="55"/>
      <c r="C461" s="59">
        <v>4300</v>
      </c>
      <c r="D461" s="63" t="s">
        <v>69</v>
      </c>
      <c r="E461" s="53">
        <v>96000</v>
      </c>
      <c r="F461" s="53"/>
      <c r="G461" s="53">
        <f>SUM(E461:F461)</f>
        <v>96000</v>
      </c>
      <c r="H461" s="53"/>
      <c r="I461" s="53">
        <f>SUM(G461:H461)</f>
        <v>96000</v>
      </c>
      <c r="J461" s="53"/>
      <c r="K461" s="53">
        <f>SUM(I461:J461)</f>
        <v>96000</v>
      </c>
      <c r="L461" s="53"/>
      <c r="M461" s="53">
        <f>SUM(K461:L461)</f>
        <v>96000</v>
      </c>
      <c r="N461" s="53"/>
      <c r="O461" s="53">
        <f>SUM(M461:N461)</f>
        <v>96000</v>
      </c>
      <c r="P461" s="53"/>
      <c r="Q461" s="53">
        <f>SUM(O461:P461)</f>
        <v>96000</v>
      </c>
      <c r="R461" s="53"/>
      <c r="S461" s="53">
        <f>SUM(Q461:R461)</f>
        <v>96000</v>
      </c>
      <c r="T461" s="53"/>
      <c r="U461" s="53">
        <f>SUM(S461:T461)</f>
        <v>96000</v>
      </c>
      <c r="V461" s="53"/>
      <c r="W461" s="53">
        <f>SUM(U461:V461)</f>
        <v>96000</v>
      </c>
      <c r="X461" s="53"/>
      <c r="Y461" s="53">
        <f>SUM(W461:X461)</f>
        <v>96000</v>
      </c>
      <c r="Z461" s="53"/>
      <c r="AA461" s="53">
        <f t="shared" si="309"/>
        <v>96000</v>
      </c>
      <c r="AB461" s="53"/>
      <c r="AC461" s="53">
        <f t="shared" si="310"/>
        <v>96000</v>
      </c>
      <c r="AD461" s="53">
        <v>1000</v>
      </c>
      <c r="AE461" s="53">
        <f t="shared" si="311"/>
        <v>97000</v>
      </c>
      <c r="AF461" s="53"/>
      <c r="AG461" s="53">
        <f t="shared" si="324"/>
        <v>97000</v>
      </c>
      <c r="AH461" s="53"/>
      <c r="AI461" s="53">
        <f t="shared" si="316"/>
        <v>97000</v>
      </c>
      <c r="AJ461" s="53"/>
      <c r="AK461" s="53">
        <f t="shared" si="325"/>
        <v>97000</v>
      </c>
      <c r="AL461" s="75"/>
      <c r="AM461" s="75"/>
    </row>
    <row r="462" spans="1:39" s="15" customFormat="1" ht="21" customHeight="1">
      <c r="A462" s="41"/>
      <c r="B462" s="55" t="s">
        <v>130</v>
      </c>
      <c r="C462" s="59"/>
      <c r="D462" s="27" t="s">
        <v>131</v>
      </c>
      <c r="E462" s="53">
        <f aca="true" t="shared" si="328" ref="E462:Z462">SUM(E464:E468)</f>
        <v>1362600</v>
      </c>
      <c r="F462" s="53">
        <f t="shared" si="328"/>
        <v>-312000</v>
      </c>
      <c r="G462" s="53">
        <f t="shared" si="328"/>
        <v>1050600</v>
      </c>
      <c r="H462" s="53">
        <f t="shared" si="328"/>
        <v>0</v>
      </c>
      <c r="I462" s="53">
        <f t="shared" si="328"/>
        <v>1050600</v>
      </c>
      <c r="J462" s="53">
        <f t="shared" si="328"/>
        <v>0</v>
      </c>
      <c r="K462" s="53">
        <f t="shared" si="328"/>
        <v>1050600</v>
      </c>
      <c r="L462" s="53">
        <f t="shared" si="328"/>
        <v>0</v>
      </c>
      <c r="M462" s="53">
        <f t="shared" si="328"/>
        <v>1050600</v>
      </c>
      <c r="N462" s="53">
        <f t="shared" si="328"/>
        <v>0</v>
      </c>
      <c r="O462" s="53">
        <f t="shared" si="328"/>
        <v>1050600</v>
      </c>
      <c r="P462" s="53">
        <f t="shared" si="328"/>
        <v>0</v>
      </c>
      <c r="Q462" s="53">
        <f t="shared" si="328"/>
        <v>1050600</v>
      </c>
      <c r="R462" s="53">
        <f t="shared" si="328"/>
        <v>0</v>
      </c>
      <c r="S462" s="53">
        <f t="shared" si="328"/>
        <v>1050600</v>
      </c>
      <c r="T462" s="53">
        <f t="shared" si="328"/>
        <v>2750</v>
      </c>
      <c r="U462" s="53">
        <f t="shared" si="328"/>
        <v>1053350</v>
      </c>
      <c r="V462" s="53">
        <f t="shared" si="328"/>
        <v>0</v>
      </c>
      <c r="W462" s="53">
        <f t="shared" si="328"/>
        <v>1053350</v>
      </c>
      <c r="X462" s="53">
        <f t="shared" si="328"/>
        <v>35046</v>
      </c>
      <c r="Y462" s="53">
        <f t="shared" si="328"/>
        <v>1088396</v>
      </c>
      <c r="Z462" s="53">
        <f t="shared" si="328"/>
        <v>8700</v>
      </c>
      <c r="AA462" s="53">
        <f t="shared" si="309"/>
        <v>1097096</v>
      </c>
      <c r="AB462" s="53">
        <f>SUM(AB464:AB468)</f>
        <v>0</v>
      </c>
      <c r="AC462" s="53">
        <f t="shared" si="310"/>
        <v>1097096</v>
      </c>
      <c r="AD462" s="53">
        <f>SUM(AD464:AD468)</f>
        <v>78000</v>
      </c>
      <c r="AE462" s="53">
        <f t="shared" si="311"/>
        <v>1175096</v>
      </c>
      <c r="AF462" s="53">
        <f>SUM(AF464:AF468)</f>
        <v>0</v>
      </c>
      <c r="AG462" s="53">
        <f t="shared" si="324"/>
        <v>1175096</v>
      </c>
      <c r="AH462" s="53">
        <f>SUM(AH463:AH468)</f>
        <v>0</v>
      </c>
      <c r="AI462" s="53">
        <f t="shared" si="316"/>
        <v>1175096</v>
      </c>
      <c r="AJ462" s="53">
        <f>SUM(AJ463:AJ468)</f>
        <v>0</v>
      </c>
      <c r="AK462" s="53">
        <f t="shared" si="325"/>
        <v>1175096</v>
      </c>
      <c r="AL462" s="75"/>
      <c r="AM462" s="75"/>
    </row>
    <row r="463" spans="1:39" s="15" customFormat="1" ht="21" customHeight="1">
      <c r="A463" s="41"/>
      <c r="B463" s="55"/>
      <c r="C463" s="59">
        <v>4170</v>
      </c>
      <c r="D463" s="27" t="s">
        <v>163</v>
      </c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>
        <v>0</v>
      </c>
      <c r="AH463" s="53">
        <v>1400</v>
      </c>
      <c r="AI463" s="53">
        <f t="shared" si="316"/>
        <v>1400</v>
      </c>
      <c r="AJ463" s="53"/>
      <c r="AK463" s="53">
        <f t="shared" si="325"/>
        <v>1400</v>
      </c>
      <c r="AL463" s="75"/>
      <c r="AM463" s="75"/>
    </row>
    <row r="464" spans="1:39" s="15" customFormat="1" ht="21" customHeight="1">
      <c r="A464" s="41"/>
      <c r="B464" s="55"/>
      <c r="C464" s="59">
        <v>4210</v>
      </c>
      <c r="D464" s="27" t="s">
        <v>82</v>
      </c>
      <c r="E464" s="53">
        <v>600</v>
      </c>
      <c r="F464" s="53"/>
      <c r="G464" s="53">
        <f>SUM(E464:F464)</f>
        <v>600</v>
      </c>
      <c r="H464" s="53"/>
      <c r="I464" s="53">
        <f>SUM(G464:H464)</f>
        <v>600</v>
      </c>
      <c r="J464" s="53"/>
      <c r="K464" s="53">
        <f>SUM(I464:J464)</f>
        <v>600</v>
      </c>
      <c r="L464" s="53"/>
      <c r="M464" s="53">
        <f>SUM(K464:L464)</f>
        <v>600</v>
      </c>
      <c r="N464" s="53"/>
      <c r="O464" s="53">
        <f>SUM(M464:N464)</f>
        <v>600</v>
      </c>
      <c r="P464" s="53"/>
      <c r="Q464" s="53">
        <f>SUM(O464:P464)</f>
        <v>600</v>
      </c>
      <c r="R464" s="53"/>
      <c r="S464" s="53">
        <f>SUM(Q464:R464)</f>
        <v>600</v>
      </c>
      <c r="T464" s="53"/>
      <c r="U464" s="53">
        <f>SUM(S464:T464)</f>
        <v>600</v>
      </c>
      <c r="V464" s="53"/>
      <c r="W464" s="53">
        <f>SUM(U464:V464)</f>
        <v>600</v>
      </c>
      <c r="X464" s="53"/>
      <c r="Y464" s="53">
        <f>SUM(W464:X464)</f>
        <v>600</v>
      </c>
      <c r="Z464" s="53"/>
      <c r="AA464" s="53">
        <f t="shared" si="309"/>
        <v>600</v>
      </c>
      <c r="AB464" s="53"/>
      <c r="AC464" s="53">
        <f t="shared" si="310"/>
        <v>600</v>
      </c>
      <c r="AD464" s="53"/>
      <c r="AE464" s="53">
        <f t="shared" si="311"/>
        <v>600</v>
      </c>
      <c r="AF464" s="53"/>
      <c r="AG464" s="53">
        <f t="shared" si="324"/>
        <v>600</v>
      </c>
      <c r="AH464" s="53"/>
      <c r="AI464" s="53">
        <f t="shared" si="316"/>
        <v>600</v>
      </c>
      <c r="AJ464" s="53"/>
      <c r="AK464" s="53">
        <f t="shared" si="325"/>
        <v>600</v>
      </c>
      <c r="AL464" s="75"/>
      <c r="AM464" s="75"/>
    </row>
    <row r="465" spans="1:39" s="15" customFormat="1" ht="21" customHeight="1">
      <c r="A465" s="41"/>
      <c r="B465" s="60"/>
      <c r="C465" s="41">
        <v>4260</v>
      </c>
      <c r="D465" s="27" t="s">
        <v>85</v>
      </c>
      <c r="E465" s="53">
        <v>495000</v>
      </c>
      <c r="F465" s="53"/>
      <c r="G465" s="53">
        <f>SUM(E465:F465)</f>
        <v>495000</v>
      </c>
      <c r="H465" s="53"/>
      <c r="I465" s="53">
        <f>SUM(G465:H465)</f>
        <v>495000</v>
      </c>
      <c r="J465" s="53"/>
      <c r="K465" s="53">
        <f>SUM(I465:J465)</f>
        <v>495000</v>
      </c>
      <c r="L465" s="53"/>
      <c r="M465" s="53">
        <f>SUM(K465:L465)</f>
        <v>495000</v>
      </c>
      <c r="N465" s="53"/>
      <c r="O465" s="53">
        <f>SUM(M465:N465)</f>
        <v>495000</v>
      </c>
      <c r="P465" s="53"/>
      <c r="Q465" s="53">
        <f>SUM(O465:P465)</f>
        <v>495000</v>
      </c>
      <c r="R465" s="53"/>
      <c r="S465" s="53">
        <f>SUM(Q465:R465)</f>
        <v>495000</v>
      </c>
      <c r="T465" s="53"/>
      <c r="U465" s="53">
        <f>SUM(S465:T465)</f>
        <v>495000</v>
      </c>
      <c r="V465" s="53"/>
      <c r="W465" s="53">
        <f>SUM(U465:V465)</f>
        <v>495000</v>
      </c>
      <c r="X465" s="53"/>
      <c r="Y465" s="53">
        <f>SUM(W465:X465)</f>
        <v>495000</v>
      </c>
      <c r="Z465" s="53"/>
      <c r="AA465" s="53">
        <f t="shared" si="309"/>
        <v>495000</v>
      </c>
      <c r="AB465" s="53"/>
      <c r="AC465" s="53">
        <f t="shared" si="310"/>
        <v>495000</v>
      </c>
      <c r="AD465" s="53">
        <v>70000</v>
      </c>
      <c r="AE465" s="53">
        <f t="shared" si="311"/>
        <v>565000</v>
      </c>
      <c r="AF465" s="53"/>
      <c r="AG465" s="53">
        <f t="shared" si="324"/>
        <v>565000</v>
      </c>
      <c r="AH465" s="53">
        <v>-1400</v>
      </c>
      <c r="AI465" s="53">
        <f t="shared" si="316"/>
        <v>563600</v>
      </c>
      <c r="AJ465" s="53">
        <v>-6204</v>
      </c>
      <c r="AK465" s="53">
        <f t="shared" si="325"/>
        <v>557396</v>
      </c>
      <c r="AL465" s="75"/>
      <c r="AM465" s="75"/>
    </row>
    <row r="466" spans="1:39" s="15" customFormat="1" ht="21" customHeight="1">
      <c r="A466" s="41"/>
      <c r="B466" s="60"/>
      <c r="C466" s="41">
        <v>4270</v>
      </c>
      <c r="D466" s="27" t="s">
        <v>68</v>
      </c>
      <c r="E466" s="53">
        <v>143000</v>
      </c>
      <c r="F466" s="53"/>
      <c r="G466" s="53">
        <f>SUM(E466:F466)</f>
        <v>143000</v>
      </c>
      <c r="H466" s="53"/>
      <c r="I466" s="53">
        <f>SUM(G466:H466)</f>
        <v>143000</v>
      </c>
      <c r="J466" s="53"/>
      <c r="K466" s="53">
        <f>SUM(I466:J466)</f>
        <v>143000</v>
      </c>
      <c r="L466" s="53"/>
      <c r="M466" s="53">
        <f>SUM(K466:L466)</f>
        <v>143000</v>
      </c>
      <c r="N466" s="53"/>
      <c r="O466" s="53">
        <f>SUM(M466:N466)</f>
        <v>143000</v>
      </c>
      <c r="P466" s="53"/>
      <c r="Q466" s="53">
        <f>SUM(O466:P466)</f>
        <v>143000</v>
      </c>
      <c r="R466" s="53"/>
      <c r="S466" s="53">
        <f>SUM(Q466:R466)</f>
        <v>143000</v>
      </c>
      <c r="T466" s="53"/>
      <c r="U466" s="53">
        <f>SUM(S466:T466)</f>
        <v>143000</v>
      </c>
      <c r="V466" s="53"/>
      <c r="W466" s="53">
        <f>SUM(U466:V466)</f>
        <v>143000</v>
      </c>
      <c r="X466" s="53"/>
      <c r="Y466" s="53">
        <f>SUM(W466:X466)</f>
        <v>143000</v>
      </c>
      <c r="Z466" s="53">
        <v>20000</v>
      </c>
      <c r="AA466" s="53">
        <f t="shared" si="309"/>
        <v>163000</v>
      </c>
      <c r="AB466" s="53"/>
      <c r="AC466" s="53">
        <f t="shared" si="310"/>
        <v>163000</v>
      </c>
      <c r="AD466" s="53">
        <v>10000</v>
      </c>
      <c r="AE466" s="53">
        <f t="shared" si="311"/>
        <v>173000</v>
      </c>
      <c r="AF466" s="53"/>
      <c r="AG466" s="53">
        <f t="shared" si="324"/>
        <v>173000</v>
      </c>
      <c r="AH466" s="53"/>
      <c r="AI466" s="53">
        <f t="shared" si="316"/>
        <v>173000</v>
      </c>
      <c r="AJ466" s="53">
        <v>6204</v>
      </c>
      <c r="AK466" s="53">
        <f t="shared" si="325"/>
        <v>179204</v>
      </c>
      <c r="AL466" s="75"/>
      <c r="AM466" s="75"/>
    </row>
    <row r="467" spans="1:39" s="15" customFormat="1" ht="21" customHeight="1">
      <c r="A467" s="41"/>
      <c r="B467" s="60"/>
      <c r="C467" s="41">
        <v>4300</v>
      </c>
      <c r="D467" s="27" t="s">
        <v>69</v>
      </c>
      <c r="E467" s="53">
        <f>30000+1000</f>
        <v>31000</v>
      </c>
      <c r="F467" s="53">
        <v>3000</v>
      </c>
      <c r="G467" s="53">
        <f>SUM(E467:F467)</f>
        <v>34000</v>
      </c>
      <c r="H467" s="53"/>
      <c r="I467" s="53">
        <f>SUM(G467:H467)</f>
        <v>34000</v>
      </c>
      <c r="J467" s="53"/>
      <c r="K467" s="53">
        <f>SUM(I467:J467)</f>
        <v>34000</v>
      </c>
      <c r="L467" s="53"/>
      <c r="M467" s="53">
        <f>SUM(K467:L467)</f>
        <v>34000</v>
      </c>
      <c r="N467" s="53"/>
      <c r="O467" s="53">
        <f>SUM(M467:N467)</f>
        <v>34000</v>
      </c>
      <c r="P467" s="53"/>
      <c r="Q467" s="53">
        <f>SUM(O467:P467)</f>
        <v>34000</v>
      </c>
      <c r="R467" s="53"/>
      <c r="S467" s="53">
        <f>SUM(Q467:R467)</f>
        <v>34000</v>
      </c>
      <c r="T467" s="53">
        <v>-1000</v>
      </c>
      <c r="U467" s="53">
        <f>SUM(S467:T467)</f>
        <v>33000</v>
      </c>
      <c r="V467" s="53"/>
      <c r="W467" s="53">
        <f>SUM(U467:V467)</f>
        <v>33000</v>
      </c>
      <c r="X467" s="53">
        <v>-2200</v>
      </c>
      <c r="Y467" s="53">
        <f>SUM(W467:X467)</f>
        <v>30800</v>
      </c>
      <c r="Z467" s="53"/>
      <c r="AA467" s="53">
        <f t="shared" si="309"/>
        <v>30800</v>
      </c>
      <c r="AB467" s="53"/>
      <c r="AC467" s="53">
        <f t="shared" si="310"/>
        <v>30800</v>
      </c>
      <c r="AD467" s="53"/>
      <c r="AE467" s="53">
        <f t="shared" si="311"/>
        <v>30800</v>
      </c>
      <c r="AF467" s="53"/>
      <c r="AG467" s="53">
        <f t="shared" si="324"/>
        <v>30800</v>
      </c>
      <c r="AH467" s="53"/>
      <c r="AI467" s="53">
        <f t="shared" si="316"/>
        <v>30800</v>
      </c>
      <c r="AJ467" s="53"/>
      <c r="AK467" s="53">
        <f t="shared" si="325"/>
        <v>30800</v>
      </c>
      <c r="AL467" s="75"/>
      <c r="AM467" s="75"/>
    </row>
    <row r="468" spans="1:41" s="15" customFormat="1" ht="23.25" customHeight="1">
      <c r="A468" s="41"/>
      <c r="B468" s="60"/>
      <c r="C468" s="41">
        <v>6050</v>
      </c>
      <c r="D468" s="27" t="s">
        <v>63</v>
      </c>
      <c r="E468" s="53">
        <f>150000+420000+21000+20000+25000+15000+30000+10000+2000</f>
        <v>693000</v>
      </c>
      <c r="F468" s="53">
        <f>-70000-30000-300000+50000+5000+30000</f>
        <v>-315000</v>
      </c>
      <c r="G468" s="53">
        <f>SUM(E468:F468)</f>
        <v>378000</v>
      </c>
      <c r="H468" s="53"/>
      <c r="I468" s="53">
        <f>SUM(G468:H468)</f>
        <v>378000</v>
      </c>
      <c r="J468" s="53"/>
      <c r="K468" s="53">
        <f>SUM(I468:J468)</f>
        <v>378000</v>
      </c>
      <c r="L468" s="53"/>
      <c r="M468" s="53">
        <f>SUM(K468:L468)</f>
        <v>378000</v>
      </c>
      <c r="N468" s="53"/>
      <c r="O468" s="53">
        <f>SUM(M468:N468)</f>
        <v>378000</v>
      </c>
      <c r="P468" s="53"/>
      <c r="Q468" s="53">
        <f>SUM(O468:P468)</f>
        <v>378000</v>
      </c>
      <c r="R468" s="53"/>
      <c r="S468" s="53">
        <f>SUM(Q468:R468)</f>
        <v>378000</v>
      </c>
      <c r="T468" s="53">
        <v>3750</v>
      </c>
      <c r="U468" s="53">
        <f>SUM(S468:T468)</f>
        <v>381750</v>
      </c>
      <c r="V468" s="53"/>
      <c r="W468" s="53">
        <f>SUM(U468:V468)</f>
        <v>381750</v>
      </c>
      <c r="X468" s="53">
        <f>-2000-9000+16582+1900+2000+12282+12732+1200+1550</f>
        <v>37246</v>
      </c>
      <c r="Y468" s="53">
        <f>SUM(W468:X468)</f>
        <v>418996</v>
      </c>
      <c r="Z468" s="53">
        <v>-11300</v>
      </c>
      <c r="AA468" s="53">
        <f t="shared" si="309"/>
        <v>407696</v>
      </c>
      <c r="AB468" s="53"/>
      <c r="AC468" s="53">
        <f t="shared" si="310"/>
        <v>407696</v>
      </c>
      <c r="AD468" s="53">
        <v>-2000</v>
      </c>
      <c r="AE468" s="53">
        <f t="shared" si="311"/>
        <v>405696</v>
      </c>
      <c r="AF468" s="53"/>
      <c r="AG468" s="53">
        <f t="shared" si="324"/>
        <v>405696</v>
      </c>
      <c r="AH468" s="53"/>
      <c r="AI468" s="53">
        <f t="shared" si="316"/>
        <v>405696</v>
      </c>
      <c r="AJ468" s="53"/>
      <c r="AK468" s="53">
        <f t="shared" si="325"/>
        <v>405696</v>
      </c>
      <c r="AL468" s="75"/>
      <c r="AM468" s="75"/>
      <c r="AN468" s="75"/>
      <c r="AO468" s="75"/>
    </row>
    <row r="469" spans="1:39" s="15" customFormat="1" ht="21" customHeight="1">
      <c r="A469" s="41"/>
      <c r="B469" s="55" t="s">
        <v>132</v>
      </c>
      <c r="C469" s="59"/>
      <c r="D469" s="27" t="s">
        <v>16</v>
      </c>
      <c r="E469" s="53">
        <f aca="true" t="shared" si="329" ref="E469:Z469">SUM(E470:E473)</f>
        <v>88220</v>
      </c>
      <c r="F469" s="53">
        <f t="shared" si="329"/>
        <v>0</v>
      </c>
      <c r="G469" s="53">
        <f t="shared" si="329"/>
        <v>88220</v>
      </c>
      <c r="H469" s="53">
        <f t="shared" si="329"/>
        <v>0</v>
      </c>
      <c r="I469" s="53">
        <f t="shared" si="329"/>
        <v>88220</v>
      </c>
      <c r="J469" s="53">
        <f t="shared" si="329"/>
        <v>0</v>
      </c>
      <c r="K469" s="53">
        <f t="shared" si="329"/>
        <v>88220</v>
      </c>
      <c r="L469" s="53">
        <f t="shared" si="329"/>
        <v>0</v>
      </c>
      <c r="M469" s="53">
        <f t="shared" si="329"/>
        <v>88220</v>
      </c>
      <c r="N469" s="53">
        <f t="shared" si="329"/>
        <v>0</v>
      </c>
      <c r="O469" s="53">
        <f t="shared" si="329"/>
        <v>88220</v>
      </c>
      <c r="P469" s="53">
        <f t="shared" si="329"/>
        <v>0</v>
      </c>
      <c r="Q469" s="53">
        <f t="shared" si="329"/>
        <v>88220</v>
      </c>
      <c r="R469" s="53">
        <f t="shared" si="329"/>
        <v>0</v>
      </c>
      <c r="S469" s="53">
        <f t="shared" si="329"/>
        <v>88220</v>
      </c>
      <c r="T469" s="53">
        <f t="shared" si="329"/>
        <v>0</v>
      </c>
      <c r="U469" s="53">
        <f t="shared" si="329"/>
        <v>88220</v>
      </c>
      <c r="V469" s="53">
        <f t="shared" si="329"/>
        <v>0</v>
      </c>
      <c r="W469" s="53">
        <f t="shared" si="329"/>
        <v>88220</v>
      </c>
      <c r="X469" s="53">
        <f t="shared" si="329"/>
        <v>135000</v>
      </c>
      <c r="Y469" s="53">
        <f t="shared" si="329"/>
        <v>223220</v>
      </c>
      <c r="Z469" s="53">
        <f t="shared" si="329"/>
        <v>-140000</v>
      </c>
      <c r="AA469" s="53">
        <f t="shared" si="309"/>
        <v>83220</v>
      </c>
      <c r="AB469" s="53">
        <f>SUM(AB470:AB473)</f>
        <v>0</v>
      </c>
      <c r="AC469" s="53">
        <f t="shared" si="310"/>
        <v>83220</v>
      </c>
      <c r="AD469" s="53">
        <f>SUM(AD470:AD473)</f>
        <v>0</v>
      </c>
      <c r="AE469" s="53">
        <f t="shared" si="311"/>
        <v>83220</v>
      </c>
      <c r="AF469" s="53">
        <f>SUM(AF470:AF473)</f>
        <v>0</v>
      </c>
      <c r="AG469" s="53">
        <f t="shared" si="324"/>
        <v>83220</v>
      </c>
      <c r="AH469" s="53">
        <f>SUM(AH470:AH473)</f>
        <v>0</v>
      </c>
      <c r="AI469" s="53">
        <f t="shared" si="316"/>
        <v>83220</v>
      </c>
      <c r="AJ469" s="53">
        <f>SUM(AJ470:AJ473)</f>
        <v>0</v>
      </c>
      <c r="AK469" s="53">
        <f t="shared" si="325"/>
        <v>83220</v>
      </c>
      <c r="AL469" s="75"/>
      <c r="AM469" s="75"/>
    </row>
    <row r="470" spans="1:39" s="15" customFormat="1" ht="21" customHeight="1">
      <c r="A470" s="41"/>
      <c r="B470" s="60"/>
      <c r="C470" s="59">
        <v>4210</v>
      </c>
      <c r="D470" s="27" t="s">
        <v>82</v>
      </c>
      <c r="E470" s="53">
        <v>1220</v>
      </c>
      <c r="F470" s="53"/>
      <c r="G470" s="53">
        <f>SUM(E470:F470)</f>
        <v>1220</v>
      </c>
      <c r="H470" s="53"/>
      <c r="I470" s="53">
        <f>SUM(G470:H470)</f>
        <v>1220</v>
      </c>
      <c r="J470" s="53"/>
      <c r="K470" s="53">
        <f>SUM(I470:J470)</f>
        <v>1220</v>
      </c>
      <c r="L470" s="53"/>
      <c r="M470" s="53">
        <f>SUM(K470:L470)</f>
        <v>1220</v>
      </c>
      <c r="N470" s="53"/>
      <c r="O470" s="53">
        <f>SUM(M470:N470)</f>
        <v>1220</v>
      </c>
      <c r="P470" s="53"/>
      <c r="Q470" s="53">
        <f>SUM(O470:P470)</f>
        <v>1220</v>
      </c>
      <c r="R470" s="53"/>
      <c r="S470" s="53">
        <f>SUM(Q470:R470)</f>
        <v>1220</v>
      </c>
      <c r="T470" s="53"/>
      <c r="U470" s="53">
        <f>SUM(S470:T470)</f>
        <v>1220</v>
      </c>
      <c r="V470" s="53"/>
      <c r="W470" s="53">
        <f>SUM(U470:V470)</f>
        <v>1220</v>
      </c>
      <c r="X470" s="53"/>
      <c r="Y470" s="53">
        <f>SUM(W470:X470)</f>
        <v>1220</v>
      </c>
      <c r="Z470" s="53"/>
      <c r="AA470" s="53">
        <f t="shared" si="309"/>
        <v>1220</v>
      </c>
      <c r="AB470" s="53"/>
      <c r="AC470" s="53">
        <f t="shared" si="310"/>
        <v>1220</v>
      </c>
      <c r="AD470" s="53"/>
      <c r="AE470" s="53">
        <f t="shared" si="311"/>
        <v>1220</v>
      </c>
      <c r="AF470" s="53"/>
      <c r="AG470" s="53">
        <f t="shared" si="324"/>
        <v>1220</v>
      </c>
      <c r="AH470" s="53"/>
      <c r="AI470" s="53">
        <f t="shared" si="316"/>
        <v>1220</v>
      </c>
      <c r="AJ470" s="53"/>
      <c r="AK470" s="53">
        <f t="shared" si="325"/>
        <v>1220</v>
      </c>
      <c r="AL470" s="75"/>
      <c r="AM470" s="75"/>
    </row>
    <row r="471" spans="1:39" s="15" customFormat="1" ht="21" customHeight="1">
      <c r="A471" s="41"/>
      <c r="B471" s="60"/>
      <c r="C471" s="41">
        <v>4260</v>
      </c>
      <c r="D471" s="27" t="s">
        <v>85</v>
      </c>
      <c r="E471" s="53">
        <v>6000</v>
      </c>
      <c r="F471" s="53"/>
      <c r="G471" s="53">
        <f>SUM(E471:F471)</f>
        <v>6000</v>
      </c>
      <c r="H471" s="53"/>
      <c r="I471" s="53">
        <f>SUM(G471:H471)</f>
        <v>6000</v>
      </c>
      <c r="J471" s="53"/>
      <c r="K471" s="53">
        <f>SUM(I471:J471)</f>
        <v>6000</v>
      </c>
      <c r="L471" s="53"/>
      <c r="M471" s="53">
        <f>SUM(K471:L471)</f>
        <v>6000</v>
      </c>
      <c r="N471" s="53"/>
      <c r="O471" s="53">
        <f>SUM(M471:N471)</f>
        <v>6000</v>
      </c>
      <c r="P471" s="53"/>
      <c r="Q471" s="53">
        <f>SUM(O471:P471)</f>
        <v>6000</v>
      </c>
      <c r="R471" s="53"/>
      <c r="S471" s="53">
        <f>SUM(Q471:R471)</f>
        <v>6000</v>
      </c>
      <c r="T471" s="53"/>
      <c r="U471" s="53">
        <f>SUM(S471:T471)</f>
        <v>6000</v>
      </c>
      <c r="V471" s="53"/>
      <c r="W471" s="53">
        <f>SUM(U471:V471)</f>
        <v>6000</v>
      </c>
      <c r="X471" s="53"/>
      <c r="Y471" s="53">
        <f>SUM(W471:X471)</f>
        <v>6000</v>
      </c>
      <c r="Z471" s="53"/>
      <c r="AA471" s="53">
        <f t="shared" si="309"/>
        <v>6000</v>
      </c>
      <c r="AB471" s="53"/>
      <c r="AC471" s="53">
        <f t="shared" si="310"/>
        <v>6000</v>
      </c>
      <c r="AD471" s="53"/>
      <c r="AE471" s="53">
        <f t="shared" si="311"/>
        <v>6000</v>
      </c>
      <c r="AF471" s="53"/>
      <c r="AG471" s="53">
        <f t="shared" si="324"/>
        <v>6000</v>
      </c>
      <c r="AH471" s="53"/>
      <c r="AI471" s="53">
        <f t="shared" si="316"/>
        <v>6000</v>
      </c>
      <c r="AJ471" s="53"/>
      <c r="AK471" s="53">
        <f t="shared" si="325"/>
        <v>6000</v>
      </c>
      <c r="AL471" s="75"/>
      <c r="AM471" s="75"/>
    </row>
    <row r="472" spans="1:39" s="15" customFormat="1" ht="21" customHeight="1">
      <c r="A472" s="41"/>
      <c r="B472" s="60"/>
      <c r="C472" s="59">
        <v>4300</v>
      </c>
      <c r="D472" s="63" t="s">
        <v>69</v>
      </c>
      <c r="E472" s="53">
        <f>24000+42000+5000</f>
        <v>71000</v>
      </c>
      <c r="F472" s="53"/>
      <c r="G472" s="53">
        <f>SUM(E472:F472)</f>
        <v>71000</v>
      </c>
      <c r="H472" s="53"/>
      <c r="I472" s="53">
        <f>SUM(G472:H472)</f>
        <v>71000</v>
      </c>
      <c r="J472" s="53"/>
      <c r="K472" s="53">
        <f>SUM(I472:J472)</f>
        <v>71000</v>
      </c>
      <c r="L472" s="53"/>
      <c r="M472" s="53">
        <f>SUM(K472:L472)</f>
        <v>71000</v>
      </c>
      <c r="N472" s="53"/>
      <c r="O472" s="53">
        <f>SUM(M472:N472)</f>
        <v>71000</v>
      </c>
      <c r="P472" s="53"/>
      <c r="Q472" s="53">
        <f>SUM(O472:P472)</f>
        <v>71000</v>
      </c>
      <c r="R472" s="53"/>
      <c r="S472" s="53">
        <f>SUM(Q472:R472)</f>
        <v>71000</v>
      </c>
      <c r="T472" s="53"/>
      <c r="U472" s="53">
        <f>SUM(S472:T472)</f>
        <v>71000</v>
      </c>
      <c r="V472" s="53"/>
      <c r="W472" s="53">
        <f>SUM(U472:V472)</f>
        <v>71000</v>
      </c>
      <c r="X472" s="53">
        <f>130000+5000</f>
        <v>135000</v>
      </c>
      <c r="Y472" s="53">
        <f>SUM(W472:X472)</f>
        <v>206000</v>
      </c>
      <c r="Z472" s="53">
        <f>-130000-10000</f>
        <v>-140000</v>
      </c>
      <c r="AA472" s="53">
        <f t="shared" si="309"/>
        <v>66000</v>
      </c>
      <c r="AB472" s="53"/>
      <c r="AC472" s="53">
        <f t="shared" si="310"/>
        <v>66000</v>
      </c>
      <c r="AD472" s="53"/>
      <c r="AE472" s="53">
        <f t="shared" si="311"/>
        <v>66000</v>
      </c>
      <c r="AF472" s="53"/>
      <c r="AG472" s="53">
        <f t="shared" si="324"/>
        <v>66000</v>
      </c>
      <c r="AH472" s="53"/>
      <c r="AI472" s="53">
        <f t="shared" si="316"/>
        <v>66000</v>
      </c>
      <c r="AJ472" s="53"/>
      <c r="AK472" s="53">
        <f t="shared" si="325"/>
        <v>66000</v>
      </c>
      <c r="AL472" s="75"/>
      <c r="AM472" s="75"/>
    </row>
    <row r="473" spans="1:39" s="15" customFormat="1" ht="24">
      <c r="A473" s="41"/>
      <c r="B473" s="60"/>
      <c r="C473" s="59">
        <v>4390</v>
      </c>
      <c r="D473" s="27" t="s">
        <v>271</v>
      </c>
      <c r="E473" s="53">
        <v>10000</v>
      </c>
      <c r="F473" s="53"/>
      <c r="G473" s="53">
        <f>SUM(E473:F473)</f>
        <v>10000</v>
      </c>
      <c r="H473" s="53"/>
      <c r="I473" s="53">
        <f>SUM(G473:H473)</f>
        <v>10000</v>
      </c>
      <c r="J473" s="53"/>
      <c r="K473" s="53">
        <f>SUM(I473:J473)</f>
        <v>10000</v>
      </c>
      <c r="L473" s="53"/>
      <c r="M473" s="53">
        <f>SUM(K473:L473)</f>
        <v>10000</v>
      </c>
      <c r="N473" s="53"/>
      <c r="O473" s="53">
        <f>SUM(M473:N473)</f>
        <v>10000</v>
      </c>
      <c r="P473" s="53"/>
      <c r="Q473" s="53">
        <f>SUM(O473:P473)</f>
        <v>10000</v>
      </c>
      <c r="R473" s="53"/>
      <c r="S473" s="53">
        <f>SUM(Q473:R473)</f>
        <v>10000</v>
      </c>
      <c r="T473" s="53"/>
      <c r="U473" s="53">
        <f>SUM(S473:T473)</f>
        <v>10000</v>
      </c>
      <c r="V473" s="53"/>
      <c r="W473" s="53">
        <f>SUM(U473:V473)</f>
        <v>10000</v>
      </c>
      <c r="X473" s="53"/>
      <c r="Y473" s="53">
        <f>SUM(W473:X473)</f>
        <v>10000</v>
      </c>
      <c r="Z473" s="53"/>
      <c r="AA473" s="53">
        <f t="shared" si="309"/>
        <v>10000</v>
      </c>
      <c r="AB473" s="53"/>
      <c r="AC473" s="53">
        <f t="shared" si="310"/>
        <v>10000</v>
      </c>
      <c r="AD473" s="53"/>
      <c r="AE473" s="53">
        <f t="shared" si="311"/>
        <v>10000</v>
      </c>
      <c r="AF473" s="53"/>
      <c r="AG473" s="53">
        <f t="shared" si="324"/>
        <v>10000</v>
      </c>
      <c r="AH473" s="53"/>
      <c r="AI473" s="53">
        <f t="shared" si="316"/>
        <v>10000</v>
      </c>
      <c r="AJ473" s="53"/>
      <c r="AK473" s="53">
        <f t="shared" si="325"/>
        <v>10000</v>
      </c>
      <c r="AL473" s="75"/>
      <c r="AM473" s="75"/>
    </row>
    <row r="474" spans="1:39" s="3" customFormat="1" ht="22.5" customHeight="1">
      <c r="A474" s="22" t="s">
        <v>53</v>
      </c>
      <c r="B474" s="23"/>
      <c r="C474" s="24"/>
      <c r="D474" s="25" t="s">
        <v>133</v>
      </c>
      <c r="E474" s="26">
        <f aca="true" t="shared" si="330" ref="E474:X474">SUM(E475,E483,E485,)</f>
        <v>2084980</v>
      </c>
      <c r="F474" s="26">
        <f t="shared" si="330"/>
        <v>85000</v>
      </c>
      <c r="G474" s="26">
        <f t="shared" si="330"/>
        <v>2169980</v>
      </c>
      <c r="H474" s="26">
        <f t="shared" si="330"/>
        <v>8000</v>
      </c>
      <c r="I474" s="26">
        <f t="shared" si="330"/>
        <v>2177980</v>
      </c>
      <c r="J474" s="26">
        <f t="shared" si="330"/>
        <v>0</v>
      </c>
      <c r="K474" s="26">
        <f t="shared" si="330"/>
        <v>2177980</v>
      </c>
      <c r="L474" s="26">
        <f t="shared" si="330"/>
        <v>0</v>
      </c>
      <c r="M474" s="26">
        <f t="shared" si="330"/>
        <v>2177980</v>
      </c>
      <c r="N474" s="26">
        <f t="shared" si="330"/>
        <v>0</v>
      </c>
      <c r="O474" s="26">
        <f t="shared" si="330"/>
        <v>2177980</v>
      </c>
      <c r="P474" s="26">
        <f t="shared" si="330"/>
        <v>0</v>
      </c>
      <c r="Q474" s="26">
        <f t="shared" si="330"/>
        <v>2177980</v>
      </c>
      <c r="R474" s="26">
        <f t="shared" si="330"/>
        <v>0</v>
      </c>
      <c r="S474" s="26">
        <f t="shared" si="330"/>
        <v>2177980</v>
      </c>
      <c r="T474" s="26">
        <f t="shared" si="330"/>
        <v>3258</v>
      </c>
      <c r="U474" s="26">
        <f t="shared" si="330"/>
        <v>2181238</v>
      </c>
      <c r="V474" s="26">
        <f t="shared" si="330"/>
        <v>0</v>
      </c>
      <c r="W474" s="26">
        <f t="shared" si="330"/>
        <v>2181238</v>
      </c>
      <c r="X474" s="26">
        <f t="shared" si="330"/>
        <v>-2622</v>
      </c>
      <c r="Y474" s="26">
        <f aca="true" t="shared" si="331" ref="Y474:AE474">SUM(Y475,Y483,Y485,Y487)</f>
        <v>2178616</v>
      </c>
      <c r="Z474" s="26">
        <f t="shared" si="331"/>
        <v>14665</v>
      </c>
      <c r="AA474" s="26">
        <f t="shared" si="331"/>
        <v>2193281</v>
      </c>
      <c r="AB474" s="26">
        <f t="shared" si="331"/>
        <v>0</v>
      </c>
      <c r="AC474" s="26">
        <f t="shared" si="331"/>
        <v>2193281</v>
      </c>
      <c r="AD474" s="26">
        <f t="shared" si="331"/>
        <v>8995</v>
      </c>
      <c r="AE474" s="26">
        <f t="shared" si="331"/>
        <v>2202276</v>
      </c>
      <c r="AF474" s="26">
        <f aca="true" t="shared" si="332" ref="AF474:AK474">SUM(AF475,AF483,AF485,AF487)</f>
        <v>0</v>
      </c>
      <c r="AG474" s="26">
        <f t="shared" si="332"/>
        <v>2202276</v>
      </c>
      <c r="AH474" s="26">
        <f t="shared" si="332"/>
        <v>0</v>
      </c>
      <c r="AI474" s="26">
        <f t="shared" si="332"/>
        <v>2202276</v>
      </c>
      <c r="AJ474" s="26">
        <f t="shared" si="332"/>
        <v>0</v>
      </c>
      <c r="AK474" s="26">
        <f t="shared" si="332"/>
        <v>2202276</v>
      </c>
      <c r="AL474" s="92"/>
      <c r="AM474" s="92"/>
    </row>
    <row r="475" spans="1:39" s="15" customFormat="1" ht="21" customHeight="1">
      <c r="A475" s="41"/>
      <c r="B475" s="55" t="s">
        <v>134</v>
      </c>
      <c r="C475" s="59"/>
      <c r="D475" s="27" t="s">
        <v>146</v>
      </c>
      <c r="E475" s="53">
        <f aca="true" t="shared" si="333" ref="E475:Z475">SUM(E476:E482)</f>
        <v>682240</v>
      </c>
      <c r="F475" s="53">
        <f t="shared" si="333"/>
        <v>85000</v>
      </c>
      <c r="G475" s="53">
        <f t="shared" si="333"/>
        <v>767240</v>
      </c>
      <c r="H475" s="53">
        <f t="shared" si="333"/>
        <v>5500</v>
      </c>
      <c r="I475" s="53">
        <f t="shared" si="333"/>
        <v>772740</v>
      </c>
      <c r="J475" s="53">
        <f t="shared" si="333"/>
        <v>0</v>
      </c>
      <c r="K475" s="53">
        <f t="shared" si="333"/>
        <v>772740</v>
      </c>
      <c r="L475" s="53">
        <f t="shared" si="333"/>
        <v>0</v>
      </c>
      <c r="M475" s="53">
        <f t="shared" si="333"/>
        <v>772740</v>
      </c>
      <c r="N475" s="53">
        <f t="shared" si="333"/>
        <v>0</v>
      </c>
      <c r="O475" s="53">
        <f t="shared" si="333"/>
        <v>772740</v>
      </c>
      <c r="P475" s="53">
        <f t="shared" si="333"/>
        <v>0</v>
      </c>
      <c r="Q475" s="53">
        <f t="shared" si="333"/>
        <v>772740</v>
      </c>
      <c r="R475" s="53">
        <f t="shared" si="333"/>
        <v>0</v>
      </c>
      <c r="S475" s="53">
        <f t="shared" si="333"/>
        <v>772740</v>
      </c>
      <c r="T475" s="53">
        <f t="shared" si="333"/>
        <v>3258</v>
      </c>
      <c r="U475" s="53">
        <f t="shared" si="333"/>
        <v>775998</v>
      </c>
      <c r="V475" s="53">
        <f t="shared" si="333"/>
        <v>0</v>
      </c>
      <c r="W475" s="53">
        <f t="shared" si="333"/>
        <v>775998</v>
      </c>
      <c r="X475" s="53">
        <f t="shared" si="333"/>
        <v>-2622</v>
      </c>
      <c r="Y475" s="53">
        <f t="shared" si="333"/>
        <v>773376</v>
      </c>
      <c r="Z475" s="53">
        <f t="shared" si="333"/>
        <v>-6485</v>
      </c>
      <c r="AA475" s="53">
        <f aca="true" t="shared" si="334" ref="AA475:AA505">SUM(Y475:Z475)</f>
        <v>766891</v>
      </c>
      <c r="AB475" s="53">
        <f>SUM(AB476:AB482)</f>
        <v>0</v>
      </c>
      <c r="AC475" s="53">
        <f aca="true" t="shared" si="335" ref="AC475:AC505">SUM(AA475:AB475)</f>
        <v>766891</v>
      </c>
      <c r="AD475" s="53">
        <f>SUM(AD476:AD482)</f>
        <v>8995</v>
      </c>
      <c r="AE475" s="53">
        <f aca="true" t="shared" si="336" ref="AE475:AE505">SUM(AC475:AD475)</f>
        <v>775886</v>
      </c>
      <c r="AF475" s="53">
        <f>SUM(AF476:AF482)</f>
        <v>0</v>
      </c>
      <c r="AG475" s="53">
        <f aca="true" t="shared" si="337" ref="AG475:AG505">SUM(AE475:AF475)</f>
        <v>775886</v>
      </c>
      <c r="AH475" s="53">
        <f>SUM(AH476:AH482)</f>
        <v>0</v>
      </c>
      <c r="AI475" s="53">
        <f aca="true" t="shared" si="338" ref="AI475:AI505">SUM(AG475:AH475)</f>
        <v>775886</v>
      </c>
      <c r="AJ475" s="53">
        <f>SUM(AJ476:AJ482)</f>
        <v>0</v>
      </c>
      <c r="AK475" s="53">
        <f aca="true" t="shared" si="339" ref="AK475:AK505">SUM(AI475:AJ475)</f>
        <v>775886</v>
      </c>
      <c r="AL475" s="75"/>
      <c r="AM475" s="75"/>
    </row>
    <row r="476" spans="1:39" s="15" customFormat="1" ht="30.75" customHeight="1">
      <c r="A476" s="41"/>
      <c r="B476" s="55"/>
      <c r="C476" s="59">
        <v>2480</v>
      </c>
      <c r="D476" s="27" t="s">
        <v>160</v>
      </c>
      <c r="E476" s="53">
        <f>425200+5000+63000+121000</f>
        <v>614200</v>
      </c>
      <c r="F476" s="53">
        <f>15000+60000</f>
        <v>75000</v>
      </c>
      <c r="G476" s="53">
        <f aca="true" t="shared" si="340" ref="G476:G482">SUM(E476:F476)</f>
        <v>689200</v>
      </c>
      <c r="H476" s="53">
        <f>1500+500+3500</f>
        <v>5500</v>
      </c>
      <c r="I476" s="53">
        <f aca="true" t="shared" si="341" ref="I476:I482">SUM(G476:H476)</f>
        <v>694700</v>
      </c>
      <c r="J476" s="53"/>
      <c r="K476" s="53">
        <f aca="true" t="shared" si="342" ref="K476:K482">SUM(I476:J476)</f>
        <v>694700</v>
      </c>
      <c r="L476" s="53"/>
      <c r="M476" s="53">
        <f aca="true" t="shared" si="343" ref="M476:M482">SUM(K476:L476)</f>
        <v>694700</v>
      </c>
      <c r="N476" s="53"/>
      <c r="O476" s="53">
        <f aca="true" t="shared" si="344" ref="O476:O482">SUM(M476:N476)</f>
        <v>694700</v>
      </c>
      <c r="P476" s="53"/>
      <c r="Q476" s="53">
        <f aca="true" t="shared" si="345" ref="Q476:Q482">SUM(O476:P476)</f>
        <v>694700</v>
      </c>
      <c r="R476" s="53"/>
      <c r="S476" s="53">
        <f aca="true" t="shared" si="346" ref="S476:S482">SUM(Q476:R476)</f>
        <v>694700</v>
      </c>
      <c r="T476" s="53"/>
      <c r="U476" s="53">
        <f aca="true" t="shared" si="347" ref="U476:U482">SUM(S476:T476)</f>
        <v>694700</v>
      </c>
      <c r="V476" s="53"/>
      <c r="W476" s="53">
        <f aca="true" t="shared" si="348" ref="W476:W482">SUM(U476:V476)</f>
        <v>694700</v>
      </c>
      <c r="X476" s="53"/>
      <c r="Y476" s="53">
        <f aca="true" t="shared" si="349" ref="Y476:Y482">SUM(W476:X476)</f>
        <v>694700</v>
      </c>
      <c r="Z476" s="53"/>
      <c r="AA476" s="53">
        <f t="shared" si="334"/>
        <v>694700</v>
      </c>
      <c r="AB476" s="53"/>
      <c r="AC476" s="53">
        <f t="shared" si="335"/>
        <v>694700</v>
      </c>
      <c r="AD476" s="53"/>
      <c r="AE476" s="53">
        <f t="shared" si="336"/>
        <v>694700</v>
      </c>
      <c r="AF476" s="53"/>
      <c r="AG476" s="53">
        <f t="shared" si="337"/>
        <v>694700</v>
      </c>
      <c r="AH476" s="53"/>
      <c r="AI476" s="53">
        <f t="shared" si="338"/>
        <v>694700</v>
      </c>
      <c r="AJ476" s="53"/>
      <c r="AK476" s="53">
        <f t="shared" si="339"/>
        <v>694700</v>
      </c>
      <c r="AL476" s="75"/>
      <c r="AM476" s="75"/>
    </row>
    <row r="477" spans="1:39" s="15" customFormat="1" ht="21" customHeight="1">
      <c r="A477" s="41"/>
      <c r="B477" s="55"/>
      <c r="C477" s="41">
        <v>4210</v>
      </c>
      <c r="D477" s="27" t="s">
        <v>82</v>
      </c>
      <c r="E477" s="53">
        <v>23830</v>
      </c>
      <c r="F477" s="53"/>
      <c r="G477" s="53">
        <f t="shared" si="340"/>
        <v>23830</v>
      </c>
      <c r="H477" s="53"/>
      <c r="I477" s="53">
        <f t="shared" si="341"/>
        <v>23830</v>
      </c>
      <c r="J477" s="53"/>
      <c r="K477" s="53">
        <f t="shared" si="342"/>
        <v>23830</v>
      </c>
      <c r="L477" s="53"/>
      <c r="M477" s="53">
        <f t="shared" si="343"/>
        <v>23830</v>
      </c>
      <c r="N477" s="53"/>
      <c r="O477" s="53">
        <f t="shared" si="344"/>
        <v>23830</v>
      </c>
      <c r="P477" s="53"/>
      <c r="Q477" s="53">
        <f t="shared" si="345"/>
        <v>23830</v>
      </c>
      <c r="R477" s="53"/>
      <c r="S477" s="53">
        <f t="shared" si="346"/>
        <v>23830</v>
      </c>
      <c r="T477" s="53">
        <f>1000-260</f>
        <v>740</v>
      </c>
      <c r="U477" s="53">
        <f t="shared" si="347"/>
        <v>24570</v>
      </c>
      <c r="V477" s="53">
        <v>-170</v>
      </c>
      <c r="W477" s="53">
        <f t="shared" si="348"/>
        <v>24400</v>
      </c>
      <c r="X477" s="53">
        <v>-1880</v>
      </c>
      <c r="Y477" s="53">
        <f t="shared" si="349"/>
        <v>22520</v>
      </c>
      <c r="Z477" s="53">
        <f>-5040-1000</f>
        <v>-6040</v>
      </c>
      <c r="AA477" s="53">
        <f t="shared" si="334"/>
        <v>16480</v>
      </c>
      <c r="AB477" s="53">
        <v>-250</v>
      </c>
      <c r="AC477" s="53">
        <f t="shared" si="335"/>
        <v>16230</v>
      </c>
      <c r="AD477" s="53">
        <f>5654+120</f>
        <v>5774</v>
      </c>
      <c r="AE477" s="53">
        <f t="shared" si="336"/>
        <v>22004</v>
      </c>
      <c r="AF477" s="53"/>
      <c r="AG477" s="53">
        <f t="shared" si="337"/>
        <v>22004</v>
      </c>
      <c r="AH477" s="53">
        <v>500</v>
      </c>
      <c r="AI477" s="53">
        <f t="shared" si="338"/>
        <v>22504</v>
      </c>
      <c r="AJ477" s="53">
        <v>477</v>
      </c>
      <c r="AK477" s="53">
        <f t="shared" si="339"/>
        <v>22981</v>
      </c>
      <c r="AL477" s="75"/>
      <c r="AM477" s="75"/>
    </row>
    <row r="478" spans="1:39" s="15" customFormat="1" ht="24" customHeight="1">
      <c r="A478" s="41"/>
      <c r="B478" s="55"/>
      <c r="C478" s="41">
        <v>4260</v>
      </c>
      <c r="D478" s="27" t="s">
        <v>85</v>
      </c>
      <c r="E478" s="53">
        <v>12000</v>
      </c>
      <c r="F478" s="53"/>
      <c r="G478" s="53">
        <f t="shared" si="340"/>
        <v>12000</v>
      </c>
      <c r="H478" s="53"/>
      <c r="I478" s="53">
        <f t="shared" si="341"/>
        <v>12000</v>
      </c>
      <c r="J478" s="53"/>
      <c r="K478" s="53">
        <f t="shared" si="342"/>
        <v>12000</v>
      </c>
      <c r="L478" s="53"/>
      <c r="M478" s="53">
        <f t="shared" si="343"/>
        <v>12000</v>
      </c>
      <c r="N478" s="53"/>
      <c r="O478" s="53">
        <f t="shared" si="344"/>
        <v>12000</v>
      </c>
      <c r="P478" s="53"/>
      <c r="Q478" s="53">
        <f t="shared" si="345"/>
        <v>12000</v>
      </c>
      <c r="R478" s="53"/>
      <c r="S478" s="53">
        <f t="shared" si="346"/>
        <v>12000</v>
      </c>
      <c r="T478" s="53"/>
      <c r="U478" s="53">
        <f t="shared" si="347"/>
        <v>12000</v>
      </c>
      <c r="V478" s="53"/>
      <c r="W478" s="53">
        <f t="shared" si="348"/>
        <v>12000</v>
      </c>
      <c r="X478" s="53">
        <v>-232</v>
      </c>
      <c r="Y478" s="53">
        <f t="shared" si="349"/>
        <v>11768</v>
      </c>
      <c r="Z478" s="53">
        <v>690</v>
      </c>
      <c r="AA478" s="53">
        <f t="shared" si="334"/>
        <v>12458</v>
      </c>
      <c r="AB478" s="53">
        <v>250</v>
      </c>
      <c r="AC478" s="53">
        <f t="shared" si="335"/>
        <v>12708</v>
      </c>
      <c r="AD478" s="53">
        <f>-400+1454+236</f>
        <v>1290</v>
      </c>
      <c r="AE478" s="53">
        <f t="shared" si="336"/>
        <v>13998</v>
      </c>
      <c r="AF478" s="53"/>
      <c r="AG478" s="53">
        <f t="shared" si="337"/>
        <v>13998</v>
      </c>
      <c r="AH478" s="53"/>
      <c r="AI478" s="53">
        <f t="shared" si="338"/>
        <v>13998</v>
      </c>
      <c r="AJ478" s="53">
        <v>-477</v>
      </c>
      <c r="AK478" s="53">
        <f t="shared" si="339"/>
        <v>13521</v>
      </c>
      <c r="AL478" s="75"/>
      <c r="AM478" s="75"/>
    </row>
    <row r="479" spans="1:39" s="15" customFormat="1" ht="26.25" customHeight="1">
      <c r="A479" s="41"/>
      <c r="B479" s="55"/>
      <c r="C479" s="41">
        <v>4270</v>
      </c>
      <c r="D479" s="27" t="s">
        <v>68</v>
      </c>
      <c r="E479" s="53">
        <f>19230+2000-350</f>
        <v>20880</v>
      </c>
      <c r="F479" s="53">
        <v>5000</v>
      </c>
      <c r="G479" s="53">
        <f t="shared" si="340"/>
        <v>25880</v>
      </c>
      <c r="H479" s="53"/>
      <c r="I479" s="53">
        <f t="shared" si="341"/>
        <v>25880</v>
      </c>
      <c r="J479" s="53"/>
      <c r="K479" s="53">
        <f t="shared" si="342"/>
        <v>25880</v>
      </c>
      <c r="L479" s="53"/>
      <c r="M479" s="53">
        <f t="shared" si="343"/>
        <v>25880</v>
      </c>
      <c r="N479" s="53"/>
      <c r="O479" s="53">
        <f t="shared" si="344"/>
        <v>25880</v>
      </c>
      <c r="P479" s="53"/>
      <c r="Q479" s="53">
        <f t="shared" si="345"/>
        <v>25880</v>
      </c>
      <c r="R479" s="53">
        <v>-2000</v>
      </c>
      <c r="S479" s="53">
        <f t="shared" si="346"/>
        <v>23880</v>
      </c>
      <c r="T479" s="53">
        <v>2000</v>
      </c>
      <c r="U479" s="53">
        <f t="shared" si="347"/>
        <v>25880</v>
      </c>
      <c r="V479" s="53"/>
      <c r="W479" s="53">
        <f t="shared" si="348"/>
        <v>25880</v>
      </c>
      <c r="X479" s="53">
        <v>-1500</v>
      </c>
      <c r="Y479" s="53">
        <f t="shared" si="349"/>
        <v>24380</v>
      </c>
      <c r="Z479" s="53">
        <f>6940+1000</f>
        <v>7940</v>
      </c>
      <c r="AA479" s="53">
        <f t="shared" si="334"/>
        <v>32320</v>
      </c>
      <c r="AB479" s="53"/>
      <c r="AC479" s="53">
        <f t="shared" si="335"/>
        <v>32320</v>
      </c>
      <c r="AD479" s="53">
        <v>-1650</v>
      </c>
      <c r="AE479" s="53">
        <f t="shared" si="336"/>
        <v>30670</v>
      </c>
      <c r="AF479" s="53"/>
      <c r="AG479" s="53">
        <f t="shared" si="337"/>
        <v>30670</v>
      </c>
      <c r="AH479" s="53"/>
      <c r="AI479" s="53">
        <f t="shared" si="338"/>
        <v>30670</v>
      </c>
      <c r="AJ479" s="53"/>
      <c r="AK479" s="53">
        <f t="shared" si="339"/>
        <v>30670</v>
      </c>
      <c r="AL479" s="75"/>
      <c r="AM479" s="75"/>
    </row>
    <row r="480" spans="1:39" s="15" customFormat="1" ht="21" customHeight="1">
      <c r="A480" s="41"/>
      <c r="B480" s="55"/>
      <c r="C480" s="59">
        <v>4300</v>
      </c>
      <c r="D480" s="63" t="s">
        <v>69</v>
      </c>
      <c r="E480" s="53">
        <f>9495+350</f>
        <v>9845</v>
      </c>
      <c r="F480" s="53"/>
      <c r="G480" s="53">
        <f t="shared" si="340"/>
        <v>9845</v>
      </c>
      <c r="H480" s="53"/>
      <c r="I480" s="53">
        <f t="shared" si="341"/>
        <v>9845</v>
      </c>
      <c r="J480" s="53"/>
      <c r="K480" s="53">
        <f t="shared" si="342"/>
        <v>9845</v>
      </c>
      <c r="L480" s="53"/>
      <c r="M480" s="53">
        <f t="shared" si="343"/>
        <v>9845</v>
      </c>
      <c r="N480" s="53"/>
      <c r="O480" s="53">
        <f t="shared" si="344"/>
        <v>9845</v>
      </c>
      <c r="P480" s="53"/>
      <c r="Q480" s="53">
        <f t="shared" si="345"/>
        <v>9845</v>
      </c>
      <c r="R480" s="53"/>
      <c r="S480" s="53">
        <f t="shared" si="346"/>
        <v>9845</v>
      </c>
      <c r="T480" s="53">
        <f>258+260</f>
        <v>518</v>
      </c>
      <c r="U480" s="53">
        <f t="shared" si="347"/>
        <v>10363</v>
      </c>
      <c r="V480" s="53">
        <v>170</v>
      </c>
      <c r="W480" s="53">
        <f t="shared" si="348"/>
        <v>10533</v>
      </c>
      <c r="X480" s="53">
        <v>-510</v>
      </c>
      <c r="Y480" s="53">
        <f t="shared" si="349"/>
        <v>10023</v>
      </c>
      <c r="Z480" s="53">
        <v>-9075</v>
      </c>
      <c r="AA480" s="53">
        <f t="shared" si="334"/>
        <v>948</v>
      </c>
      <c r="AB480" s="53"/>
      <c r="AC480" s="53">
        <f t="shared" si="335"/>
        <v>948</v>
      </c>
      <c r="AD480" s="53"/>
      <c r="AE480" s="53">
        <f t="shared" si="336"/>
        <v>948</v>
      </c>
      <c r="AF480" s="53"/>
      <c r="AG480" s="53">
        <f t="shared" si="337"/>
        <v>948</v>
      </c>
      <c r="AH480" s="53"/>
      <c r="AI480" s="53">
        <f t="shared" si="338"/>
        <v>948</v>
      </c>
      <c r="AJ480" s="53"/>
      <c r="AK480" s="53">
        <f t="shared" si="339"/>
        <v>948</v>
      </c>
      <c r="AL480" s="75"/>
      <c r="AM480" s="75"/>
    </row>
    <row r="481" spans="1:39" s="15" customFormat="1" ht="26.25" customHeight="1">
      <c r="A481" s="41"/>
      <c r="B481" s="55"/>
      <c r="C481" s="59">
        <v>4430</v>
      </c>
      <c r="D481" s="63" t="s">
        <v>84</v>
      </c>
      <c r="E481" s="53">
        <v>1485</v>
      </c>
      <c r="F481" s="53"/>
      <c r="G481" s="53">
        <f t="shared" si="340"/>
        <v>1485</v>
      </c>
      <c r="H481" s="53"/>
      <c r="I481" s="53">
        <f t="shared" si="341"/>
        <v>1485</v>
      </c>
      <c r="J481" s="53"/>
      <c r="K481" s="53">
        <f t="shared" si="342"/>
        <v>1485</v>
      </c>
      <c r="L481" s="53"/>
      <c r="M481" s="53">
        <f t="shared" si="343"/>
        <v>1485</v>
      </c>
      <c r="N481" s="53"/>
      <c r="O481" s="53">
        <f t="shared" si="344"/>
        <v>1485</v>
      </c>
      <c r="P481" s="53"/>
      <c r="Q481" s="53">
        <f t="shared" si="345"/>
        <v>1485</v>
      </c>
      <c r="R481" s="53"/>
      <c r="S481" s="53">
        <f t="shared" si="346"/>
        <v>1485</v>
      </c>
      <c r="T481" s="53"/>
      <c r="U481" s="53">
        <f t="shared" si="347"/>
        <v>1485</v>
      </c>
      <c r="V481" s="53"/>
      <c r="W481" s="53">
        <f t="shared" si="348"/>
        <v>1485</v>
      </c>
      <c r="X481" s="53"/>
      <c r="Y481" s="53">
        <f t="shared" si="349"/>
        <v>1485</v>
      </c>
      <c r="Z481" s="53"/>
      <c r="AA481" s="53">
        <f t="shared" si="334"/>
        <v>1485</v>
      </c>
      <c r="AB481" s="53"/>
      <c r="AC481" s="53">
        <f t="shared" si="335"/>
        <v>1485</v>
      </c>
      <c r="AD481" s="53">
        <f>-29-40</f>
        <v>-69</v>
      </c>
      <c r="AE481" s="53">
        <f t="shared" si="336"/>
        <v>1416</v>
      </c>
      <c r="AF481" s="53"/>
      <c r="AG481" s="53">
        <f t="shared" si="337"/>
        <v>1416</v>
      </c>
      <c r="AH481" s="53"/>
      <c r="AI481" s="53">
        <f t="shared" si="338"/>
        <v>1416</v>
      </c>
      <c r="AJ481" s="53"/>
      <c r="AK481" s="53">
        <f t="shared" si="339"/>
        <v>1416</v>
      </c>
      <c r="AL481" s="75"/>
      <c r="AM481" s="75"/>
    </row>
    <row r="482" spans="1:41" s="15" customFormat="1" ht="21" customHeight="1">
      <c r="A482" s="41"/>
      <c r="B482" s="55"/>
      <c r="C482" s="59">
        <v>6050</v>
      </c>
      <c r="D482" s="27" t="s">
        <v>63</v>
      </c>
      <c r="E482" s="53">
        <v>0</v>
      </c>
      <c r="F482" s="53">
        <v>5000</v>
      </c>
      <c r="G482" s="53">
        <f t="shared" si="340"/>
        <v>5000</v>
      </c>
      <c r="H482" s="53"/>
      <c r="I482" s="53">
        <f t="shared" si="341"/>
        <v>5000</v>
      </c>
      <c r="J482" s="53"/>
      <c r="K482" s="53">
        <f t="shared" si="342"/>
        <v>5000</v>
      </c>
      <c r="L482" s="53"/>
      <c r="M482" s="53">
        <f t="shared" si="343"/>
        <v>5000</v>
      </c>
      <c r="N482" s="53"/>
      <c r="O482" s="53">
        <f t="shared" si="344"/>
        <v>5000</v>
      </c>
      <c r="P482" s="53"/>
      <c r="Q482" s="53">
        <f t="shared" si="345"/>
        <v>5000</v>
      </c>
      <c r="R482" s="53">
        <v>2000</v>
      </c>
      <c r="S482" s="53">
        <f t="shared" si="346"/>
        <v>7000</v>
      </c>
      <c r="T482" s="53"/>
      <c r="U482" s="53">
        <f t="shared" si="347"/>
        <v>7000</v>
      </c>
      <c r="V482" s="53"/>
      <c r="W482" s="53">
        <f t="shared" si="348"/>
        <v>7000</v>
      </c>
      <c r="X482" s="53">
        <v>1500</v>
      </c>
      <c r="Y482" s="53">
        <f t="shared" si="349"/>
        <v>8500</v>
      </c>
      <c r="Z482" s="53"/>
      <c r="AA482" s="53">
        <f t="shared" si="334"/>
        <v>8500</v>
      </c>
      <c r="AB482" s="53"/>
      <c r="AC482" s="53">
        <f t="shared" si="335"/>
        <v>8500</v>
      </c>
      <c r="AD482" s="53">
        <v>3650</v>
      </c>
      <c r="AE482" s="53">
        <f t="shared" si="336"/>
        <v>12150</v>
      </c>
      <c r="AF482" s="53"/>
      <c r="AG482" s="53">
        <f t="shared" si="337"/>
        <v>12150</v>
      </c>
      <c r="AH482" s="53">
        <v>-500</v>
      </c>
      <c r="AI482" s="53">
        <f t="shared" si="338"/>
        <v>11650</v>
      </c>
      <c r="AJ482" s="53"/>
      <c r="AK482" s="53">
        <f t="shared" si="339"/>
        <v>11650</v>
      </c>
      <c r="AL482" s="75"/>
      <c r="AM482" s="75"/>
      <c r="AN482" s="75"/>
      <c r="AO482" s="75"/>
    </row>
    <row r="483" spans="1:39" s="15" customFormat="1" ht="18.75" customHeight="1">
      <c r="A483" s="41"/>
      <c r="B483" s="55" t="s">
        <v>54</v>
      </c>
      <c r="C483" s="59"/>
      <c r="D483" s="27" t="s">
        <v>55</v>
      </c>
      <c r="E483" s="53">
        <f aca="true" t="shared" si="350" ref="E483:AJ483">E484</f>
        <v>961740</v>
      </c>
      <c r="F483" s="53">
        <f t="shared" si="350"/>
        <v>0</v>
      </c>
      <c r="G483" s="53">
        <f t="shared" si="350"/>
        <v>961740</v>
      </c>
      <c r="H483" s="53">
        <f t="shared" si="350"/>
        <v>500</v>
      </c>
      <c r="I483" s="53">
        <f t="shared" si="350"/>
        <v>962240</v>
      </c>
      <c r="J483" s="53">
        <f t="shared" si="350"/>
        <v>0</v>
      </c>
      <c r="K483" s="53">
        <f t="shared" si="350"/>
        <v>962240</v>
      </c>
      <c r="L483" s="53">
        <f t="shared" si="350"/>
        <v>0</v>
      </c>
      <c r="M483" s="53">
        <f t="shared" si="350"/>
        <v>962240</v>
      </c>
      <c r="N483" s="53">
        <f t="shared" si="350"/>
        <v>0</v>
      </c>
      <c r="O483" s="53">
        <f t="shared" si="350"/>
        <v>962240</v>
      </c>
      <c r="P483" s="53">
        <f t="shared" si="350"/>
        <v>0</v>
      </c>
      <c r="Q483" s="53">
        <f t="shared" si="350"/>
        <v>962240</v>
      </c>
      <c r="R483" s="53">
        <f t="shared" si="350"/>
        <v>0</v>
      </c>
      <c r="S483" s="53">
        <f t="shared" si="350"/>
        <v>962240</v>
      </c>
      <c r="T483" s="53">
        <f t="shared" si="350"/>
        <v>0</v>
      </c>
      <c r="U483" s="53">
        <f t="shared" si="350"/>
        <v>962240</v>
      </c>
      <c r="V483" s="53">
        <f t="shared" si="350"/>
        <v>0</v>
      </c>
      <c r="W483" s="53">
        <f t="shared" si="350"/>
        <v>962240</v>
      </c>
      <c r="X483" s="53">
        <f t="shared" si="350"/>
        <v>0</v>
      </c>
      <c r="Y483" s="53">
        <f t="shared" si="350"/>
        <v>962240</v>
      </c>
      <c r="Z483" s="53">
        <f t="shared" si="350"/>
        <v>0</v>
      </c>
      <c r="AA483" s="53">
        <f t="shared" si="334"/>
        <v>962240</v>
      </c>
      <c r="AB483" s="53">
        <f t="shared" si="350"/>
        <v>0</v>
      </c>
      <c r="AC483" s="53">
        <f t="shared" si="335"/>
        <v>962240</v>
      </c>
      <c r="AD483" s="53">
        <f t="shared" si="350"/>
        <v>0</v>
      </c>
      <c r="AE483" s="53">
        <f t="shared" si="336"/>
        <v>962240</v>
      </c>
      <c r="AF483" s="53">
        <f t="shared" si="350"/>
        <v>0</v>
      </c>
      <c r="AG483" s="53">
        <f t="shared" si="337"/>
        <v>962240</v>
      </c>
      <c r="AH483" s="53">
        <f t="shared" si="350"/>
        <v>0</v>
      </c>
      <c r="AI483" s="53">
        <f t="shared" si="338"/>
        <v>962240</v>
      </c>
      <c r="AJ483" s="53">
        <f t="shared" si="350"/>
        <v>0</v>
      </c>
      <c r="AK483" s="53">
        <f t="shared" si="339"/>
        <v>962240</v>
      </c>
      <c r="AL483" s="75"/>
      <c r="AM483" s="75"/>
    </row>
    <row r="484" spans="1:39" s="15" customFormat="1" ht="26.25" customHeight="1">
      <c r="A484" s="41"/>
      <c r="B484" s="55"/>
      <c r="C484" s="59">
        <v>2480</v>
      </c>
      <c r="D484" s="27" t="s">
        <v>160</v>
      </c>
      <c r="E484" s="53">
        <f>45900+915840</f>
        <v>961740</v>
      </c>
      <c r="F484" s="53"/>
      <c r="G484" s="53">
        <f>SUM(E484:F484)</f>
        <v>961740</v>
      </c>
      <c r="H484" s="53">
        <v>500</v>
      </c>
      <c r="I484" s="53">
        <f>SUM(G484:H484)</f>
        <v>962240</v>
      </c>
      <c r="J484" s="53"/>
      <c r="K484" s="53">
        <f>SUM(I484:J484)</f>
        <v>962240</v>
      </c>
      <c r="L484" s="53"/>
      <c r="M484" s="53">
        <f>SUM(K484:L484)</f>
        <v>962240</v>
      </c>
      <c r="N484" s="53"/>
      <c r="O484" s="53">
        <f>SUM(M484:N484)</f>
        <v>962240</v>
      </c>
      <c r="P484" s="53"/>
      <c r="Q484" s="53">
        <f>SUM(O484:P484)</f>
        <v>962240</v>
      </c>
      <c r="R484" s="53"/>
      <c r="S484" s="53">
        <f>SUM(Q484:R484)</f>
        <v>962240</v>
      </c>
      <c r="T484" s="53"/>
      <c r="U484" s="53">
        <f>SUM(S484:T484)</f>
        <v>962240</v>
      </c>
      <c r="V484" s="53"/>
      <c r="W484" s="53">
        <f>SUM(U484:V484)</f>
        <v>962240</v>
      </c>
      <c r="X484" s="53"/>
      <c r="Y484" s="53">
        <f>SUM(W484:X484)</f>
        <v>962240</v>
      </c>
      <c r="Z484" s="53"/>
      <c r="AA484" s="53">
        <f t="shared" si="334"/>
        <v>962240</v>
      </c>
      <c r="AB484" s="53"/>
      <c r="AC484" s="53">
        <f t="shared" si="335"/>
        <v>962240</v>
      </c>
      <c r="AD484" s="53"/>
      <c r="AE484" s="53">
        <f t="shared" si="336"/>
        <v>962240</v>
      </c>
      <c r="AF484" s="53"/>
      <c r="AG484" s="53">
        <f t="shared" si="337"/>
        <v>962240</v>
      </c>
      <c r="AH484" s="53"/>
      <c r="AI484" s="53">
        <f t="shared" si="338"/>
        <v>962240</v>
      </c>
      <c r="AJ484" s="53"/>
      <c r="AK484" s="53">
        <f t="shared" si="339"/>
        <v>962240</v>
      </c>
      <c r="AL484" s="75"/>
      <c r="AM484" s="75"/>
    </row>
    <row r="485" spans="1:39" s="15" customFormat="1" ht="20.25" customHeight="1">
      <c r="A485" s="41"/>
      <c r="B485" s="55" t="s">
        <v>135</v>
      </c>
      <c r="C485" s="59"/>
      <c r="D485" s="27" t="s">
        <v>136</v>
      </c>
      <c r="E485" s="53">
        <f aca="true" t="shared" si="351" ref="E485:AJ485">E486</f>
        <v>441000</v>
      </c>
      <c r="F485" s="53">
        <f t="shared" si="351"/>
        <v>0</v>
      </c>
      <c r="G485" s="53">
        <f t="shared" si="351"/>
        <v>441000</v>
      </c>
      <c r="H485" s="53">
        <f t="shared" si="351"/>
        <v>2000</v>
      </c>
      <c r="I485" s="53">
        <f t="shared" si="351"/>
        <v>443000</v>
      </c>
      <c r="J485" s="53">
        <f t="shared" si="351"/>
        <v>0</v>
      </c>
      <c r="K485" s="53">
        <f t="shared" si="351"/>
        <v>443000</v>
      </c>
      <c r="L485" s="53">
        <f t="shared" si="351"/>
        <v>0</v>
      </c>
      <c r="M485" s="53">
        <f t="shared" si="351"/>
        <v>443000</v>
      </c>
      <c r="N485" s="53">
        <f t="shared" si="351"/>
        <v>0</v>
      </c>
      <c r="O485" s="53">
        <f t="shared" si="351"/>
        <v>443000</v>
      </c>
      <c r="P485" s="53">
        <f t="shared" si="351"/>
        <v>0</v>
      </c>
      <c r="Q485" s="53">
        <f t="shared" si="351"/>
        <v>443000</v>
      </c>
      <c r="R485" s="53">
        <f t="shared" si="351"/>
        <v>0</v>
      </c>
      <c r="S485" s="53">
        <f t="shared" si="351"/>
        <v>443000</v>
      </c>
      <c r="T485" s="53">
        <f t="shared" si="351"/>
        <v>0</v>
      </c>
      <c r="U485" s="53">
        <f t="shared" si="351"/>
        <v>443000</v>
      </c>
      <c r="V485" s="53">
        <f t="shared" si="351"/>
        <v>0</v>
      </c>
      <c r="W485" s="53">
        <f t="shared" si="351"/>
        <v>443000</v>
      </c>
      <c r="X485" s="53">
        <f t="shared" si="351"/>
        <v>0</v>
      </c>
      <c r="Y485" s="53">
        <f t="shared" si="351"/>
        <v>443000</v>
      </c>
      <c r="Z485" s="53">
        <f t="shared" si="351"/>
        <v>0</v>
      </c>
      <c r="AA485" s="53">
        <f t="shared" si="334"/>
        <v>443000</v>
      </c>
      <c r="AB485" s="53">
        <f t="shared" si="351"/>
        <v>0</v>
      </c>
      <c r="AC485" s="53">
        <f t="shared" si="335"/>
        <v>443000</v>
      </c>
      <c r="AD485" s="53">
        <f t="shared" si="351"/>
        <v>0</v>
      </c>
      <c r="AE485" s="53">
        <f t="shared" si="336"/>
        <v>443000</v>
      </c>
      <c r="AF485" s="53">
        <f t="shared" si="351"/>
        <v>0</v>
      </c>
      <c r="AG485" s="53">
        <f t="shared" si="337"/>
        <v>443000</v>
      </c>
      <c r="AH485" s="53">
        <f t="shared" si="351"/>
        <v>0</v>
      </c>
      <c r="AI485" s="53">
        <f t="shared" si="338"/>
        <v>443000</v>
      </c>
      <c r="AJ485" s="53">
        <f t="shared" si="351"/>
        <v>0</v>
      </c>
      <c r="AK485" s="53">
        <f t="shared" si="339"/>
        <v>443000</v>
      </c>
      <c r="AL485" s="75"/>
      <c r="AM485" s="75"/>
    </row>
    <row r="486" spans="1:39" s="15" customFormat="1" ht="27" customHeight="1">
      <c r="A486" s="41"/>
      <c r="B486" s="55"/>
      <c r="C486" s="59">
        <v>2480</v>
      </c>
      <c r="D486" s="27" t="s">
        <v>160</v>
      </c>
      <c r="E486" s="53">
        <v>441000</v>
      </c>
      <c r="F486" s="53"/>
      <c r="G486" s="53">
        <f>SUM(E486:F486)</f>
        <v>441000</v>
      </c>
      <c r="H486" s="53">
        <f>500+1000+500</f>
        <v>2000</v>
      </c>
      <c r="I486" s="53">
        <f>SUM(G486:H486)</f>
        <v>443000</v>
      </c>
      <c r="J486" s="53"/>
      <c r="K486" s="53">
        <f>SUM(I486:J486)</f>
        <v>443000</v>
      </c>
      <c r="L486" s="53"/>
      <c r="M486" s="53">
        <f>SUM(K486:L486)</f>
        <v>443000</v>
      </c>
      <c r="N486" s="53"/>
      <c r="O486" s="53">
        <f>SUM(M486:N486)</f>
        <v>443000</v>
      </c>
      <c r="P486" s="53"/>
      <c r="Q486" s="53">
        <f>SUM(O486:P486)</f>
        <v>443000</v>
      </c>
      <c r="R486" s="53"/>
      <c r="S486" s="53">
        <f>SUM(Q486:R486)</f>
        <v>443000</v>
      </c>
      <c r="T486" s="53"/>
      <c r="U486" s="53">
        <f>SUM(S486:T486)</f>
        <v>443000</v>
      </c>
      <c r="V486" s="53"/>
      <c r="W486" s="53">
        <f>SUM(U486:V486)</f>
        <v>443000</v>
      </c>
      <c r="X486" s="53"/>
      <c r="Y486" s="53">
        <f>SUM(W486:X486)</f>
        <v>443000</v>
      </c>
      <c r="Z486" s="53"/>
      <c r="AA486" s="53">
        <f t="shared" si="334"/>
        <v>443000</v>
      </c>
      <c r="AB486" s="53"/>
      <c r="AC486" s="53">
        <f t="shared" si="335"/>
        <v>443000</v>
      </c>
      <c r="AD486" s="53"/>
      <c r="AE486" s="53">
        <f t="shared" si="336"/>
        <v>443000</v>
      </c>
      <c r="AF486" s="53"/>
      <c r="AG486" s="53">
        <f t="shared" si="337"/>
        <v>443000</v>
      </c>
      <c r="AH486" s="53"/>
      <c r="AI486" s="53">
        <f t="shared" si="338"/>
        <v>443000</v>
      </c>
      <c r="AJ486" s="53"/>
      <c r="AK486" s="53">
        <f t="shared" si="339"/>
        <v>443000</v>
      </c>
      <c r="AL486" s="75"/>
      <c r="AM486" s="75"/>
    </row>
    <row r="487" spans="1:39" s="15" customFormat="1" ht="21.75" customHeight="1">
      <c r="A487" s="41"/>
      <c r="B487" s="55">
        <v>92120</v>
      </c>
      <c r="C487" s="59"/>
      <c r="D487" s="27" t="s">
        <v>254</v>
      </c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>
        <f>SUM(Y488)</f>
        <v>0</v>
      </c>
      <c r="Z487" s="53">
        <f>SUM(Z488)</f>
        <v>21150</v>
      </c>
      <c r="AA487" s="53">
        <f t="shared" si="334"/>
        <v>21150</v>
      </c>
      <c r="AB487" s="53">
        <f>SUM(AB488)</f>
        <v>0</v>
      </c>
      <c r="AC487" s="53">
        <f t="shared" si="335"/>
        <v>21150</v>
      </c>
      <c r="AD487" s="53">
        <f>SUM(AD488)</f>
        <v>0</v>
      </c>
      <c r="AE487" s="53">
        <f t="shared" si="336"/>
        <v>21150</v>
      </c>
      <c r="AF487" s="53">
        <f>SUM(AF488)</f>
        <v>0</v>
      </c>
      <c r="AG487" s="53">
        <f t="shared" si="337"/>
        <v>21150</v>
      </c>
      <c r="AH487" s="53">
        <f>SUM(AH488)</f>
        <v>0</v>
      </c>
      <c r="AI487" s="53">
        <f t="shared" si="338"/>
        <v>21150</v>
      </c>
      <c r="AJ487" s="53">
        <f>SUM(AJ488)</f>
        <v>0</v>
      </c>
      <c r="AK487" s="53">
        <f t="shared" si="339"/>
        <v>21150</v>
      </c>
      <c r="AL487" s="75"/>
      <c r="AM487" s="75"/>
    </row>
    <row r="488" spans="1:39" s="15" customFormat="1" ht="60">
      <c r="A488" s="41"/>
      <c r="B488" s="55"/>
      <c r="C488" s="59">
        <v>2720</v>
      </c>
      <c r="D488" s="27" t="s">
        <v>255</v>
      </c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>
        <v>0</v>
      </c>
      <c r="Z488" s="53">
        <v>21150</v>
      </c>
      <c r="AA488" s="53">
        <f t="shared" si="334"/>
        <v>21150</v>
      </c>
      <c r="AB488" s="53"/>
      <c r="AC488" s="53">
        <f t="shared" si="335"/>
        <v>21150</v>
      </c>
      <c r="AD488" s="53"/>
      <c r="AE488" s="53">
        <f t="shared" si="336"/>
        <v>21150</v>
      </c>
      <c r="AF488" s="53"/>
      <c r="AG488" s="53">
        <f t="shared" si="337"/>
        <v>21150</v>
      </c>
      <c r="AH488" s="53"/>
      <c r="AI488" s="53">
        <f t="shared" si="338"/>
        <v>21150</v>
      </c>
      <c r="AJ488" s="53"/>
      <c r="AK488" s="53">
        <f t="shared" si="339"/>
        <v>21150</v>
      </c>
      <c r="AL488" s="75"/>
      <c r="AM488" s="75"/>
    </row>
    <row r="489" spans="1:39" s="3" customFormat="1" ht="24.75" customHeight="1">
      <c r="A489" s="22" t="s">
        <v>137</v>
      </c>
      <c r="B489" s="23"/>
      <c r="C489" s="24"/>
      <c r="D489" s="25" t="s">
        <v>56</v>
      </c>
      <c r="E489" s="26">
        <f aca="true" t="shared" si="352" ref="E489:Z489">SUM(E495,E492,E490)</f>
        <v>1318390</v>
      </c>
      <c r="F489" s="26">
        <f t="shared" si="352"/>
        <v>400000</v>
      </c>
      <c r="G489" s="26">
        <f t="shared" si="352"/>
        <v>1718390</v>
      </c>
      <c r="H489" s="26">
        <f t="shared" si="352"/>
        <v>2900</v>
      </c>
      <c r="I489" s="26">
        <f t="shared" si="352"/>
        <v>1721290</v>
      </c>
      <c r="J489" s="26">
        <f t="shared" si="352"/>
        <v>0</v>
      </c>
      <c r="K489" s="26">
        <f t="shared" si="352"/>
        <v>1721290</v>
      </c>
      <c r="L489" s="26">
        <f t="shared" si="352"/>
        <v>0</v>
      </c>
      <c r="M489" s="26">
        <f t="shared" si="352"/>
        <v>1721290</v>
      </c>
      <c r="N489" s="26">
        <f t="shared" si="352"/>
        <v>0</v>
      </c>
      <c r="O489" s="26">
        <f t="shared" si="352"/>
        <v>1721290</v>
      </c>
      <c r="P489" s="26">
        <f t="shared" si="352"/>
        <v>187000</v>
      </c>
      <c r="Q489" s="26">
        <f t="shared" si="352"/>
        <v>1908290</v>
      </c>
      <c r="R489" s="26">
        <f t="shared" si="352"/>
        <v>0</v>
      </c>
      <c r="S489" s="26">
        <f t="shared" si="352"/>
        <v>1908290</v>
      </c>
      <c r="T489" s="26">
        <f t="shared" si="352"/>
        <v>-2000</v>
      </c>
      <c r="U489" s="26">
        <f t="shared" si="352"/>
        <v>1906290</v>
      </c>
      <c r="V489" s="26">
        <f t="shared" si="352"/>
        <v>0</v>
      </c>
      <c r="W489" s="26">
        <f t="shared" si="352"/>
        <v>1906290</v>
      </c>
      <c r="X489" s="26">
        <f t="shared" si="352"/>
        <v>-1650</v>
      </c>
      <c r="Y489" s="26">
        <f t="shared" si="352"/>
        <v>1904640</v>
      </c>
      <c r="Z489" s="26">
        <f t="shared" si="352"/>
        <v>-517702</v>
      </c>
      <c r="AA489" s="26">
        <f t="shared" si="334"/>
        <v>1386938</v>
      </c>
      <c r="AB489" s="26">
        <f>SUM(AB495,AB492,AB490)</f>
        <v>0</v>
      </c>
      <c r="AC489" s="26">
        <f t="shared" si="335"/>
        <v>1386938</v>
      </c>
      <c r="AD489" s="26">
        <f>SUM(AD495,AD492,AD490)</f>
        <v>-196</v>
      </c>
      <c r="AE489" s="26">
        <f t="shared" si="336"/>
        <v>1386742</v>
      </c>
      <c r="AF489" s="26">
        <f>SUM(AF495,AF492,AF490)</f>
        <v>0</v>
      </c>
      <c r="AG489" s="26">
        <f t="shared" si="337"/>
        <v>1386742</v>
      </c>
      <c r="AH489" s="26">
        <f>SUM(AH495,AH492,AH490)</f>
        <v>0</v>
      </c>
      <c r="AI489" s="26">
        <f t="shared" si="338"/>
        <v>1386742</v>
      </c>
      <c r="AJ489" s="26">
        <f>SUM(AJ495,AJ492,AJ490)</f>
        <v>0</v>
      </c>
      <c r="AK489" s="26">
        <f t="shared" si="339"/>
        <v>1386742</v>
      </c>
      <c r="AL489" s="92"/>
      <c r="AM489" s="92"/>
    </row>
    <row r="490" spans="1:39" s="15" customFormat="1" ht="23.25" customHeight="1">
      <c r="A490" s="41"/>
      <c r="B490" s="60">
        <v>92601</v>
      </c>
      <c r="C490" s="59"/>
      <c r="D490" s="27" t="s">
        <v>232</v>
      </c>
      <c r="E490" s="53">
        <f aca="true" t="shared" si="353" ref="E490:AJ490">SUM(E491)</f>
        <v>880000</v>
      </c>
      <c r="F490" s="53">
        <f t="shared" si="353"/>
        <v>240000</v>
      </c>
      <c r="G490" s="53">
        <f t="shared" si="353"/>
        <v>1120000</v>
      </c>
      <c r="H490" s="53">
        <f t="shared" si="353"/>
        <v>0</v>
      </c>
      <c r="I490" s="53">
        <f t="shared" si="353"/>
        <v>1120000</v>
      </c>
      <c r="J490" s="53">
        <f t="shared" si="353"/>
        <v>0</v>
      </c>
      <c r="K490" s="53">
        <f t="shared" si="353"/>
        <v>1120000</v>
      </c>
      <c r="L490" s="53">
        <f t="shared" si="353"/>
        <v>0</v>
      </c>
      <c r="M490" s="53">
        <f t="shared" si="353"/>
        <v>1120000</v>
      </c>
      <c r="N490" s="53">
        <f t="shared" si="353"/>
        <v>0</v>
      </c>
      <c r="O490" s="53">
        <f t="shared" si="353"/>
        <v>1120000</v>
      </c>
      <c r="P490" s="53">
        <f t="shared" si="353"/>
        <v>187000</v>
      </c>
      <c r="Q490" s="53">
        <f t="shared" si="353"/>
        <v>1307000</v>
      </c>
      <c r="R490" s="53">
        <f t="shared" si="353"/>
        <v>0</v>
      </c>
      <c r="S490" s="53">
        <f t="shared" si="353"/>
        <v>1307000</v>
      </c>
      <c r="T490" s="53">
        <f t="shared" si="353"/>
        <v>0</v>
      </c>
      <c r="U490" s="53">
        <f t="shared" si="353"/>
        <v>1307000</v>
      </c>
      <c r="V490" s="53">
        <f t="shared" si="353"/>
        <v>0</v>
      </c>
      <c r="W490" s="53">
        <f t="shared" si="353"/>
        <v>1307000</v>
      </c>
      <c r="X490" s="53">
        <f t="shared" si="353"/>
        <v>0</v>
      </c>
      <c r="Y490" s="53">
        <f t="shared" si="353"/>
        <v>1307000</v>
      </c>
      <c r="Z490" s="53">
        <f t="shared" si="353"/>
        <v>-537000</v>
      </c>
      <c r="AA490" s="53">
        <f t="shared" si="334"/>
        <v>770000</v>
      </c>
      <c r="AB490" s="53">
        <f t="shared" si="353"/>
        <v>0</v>
      </c>
      <c r="AC490" s="53">
        <f t="shared" si="335"/>
        <v>770000</v>
      </c>
      <c r="AD490" s="53">
        <f t="shared" si="353"/>
        <v>0</v>
      </c>
      <c r="AE490" s="53">
        <f t="shared" si="336"/>
        <v>770000</v>
      </c>
      <c r="AF490" s="53">
        <f t="shared" si="353"/>
        <v>0</v>
      </c>
      <c r="AG490" s="53">
        <f t="shared" si="337"/>
        <v>770000</v>
      </c>
      <c r="AH490" s="53">
        <f t="shared" si="353"/>
        <v>0</v>
      </c>
      <c r="AI490" s="53">
        <f t="shared" si="338"/>
        <v>770000</v>
      </c>
      <c r="AJ490" s="53">
        <f t="shared" si="353"/>
        <v>0</v>
      </c>
      <c r="AK490" s="53">
        <f t="shared" si="339"/>
        <v>770000</v>
      </c>
      <c r="AL490" s="75"/>
      <c r="AM490" s="75"/>
    </row>
    <row r="491" spans="1:41" s="15" customFormat="1" ht="24.75" customHeight="1">
      <c r="A491" s="41"/>
      <c r="B491" s="60"/>
      <c r="C491" s="59">
        <v>6050</v>
      </c>
      <c r="D491" s="27" t="s">
        <v>63</v>
      </c>
      <c r="E491" s="53">
        <f>530000+350000</f>
        <v>880000</v>
      </c>
      <c r="F491" s="53">
        <f>-180000+70000+350000</f>
        <v>240000</v>
      </c>
      <c r="G491" s="53">
        <f>SUM(E491:F491)</f>
        <v>1120000</v>
      </c>
      <c r="H491" s="53"/>
      <c r="I491" s="53">
        <f>SUM(G491:H491)</f>
        <v>1120000</v>
      </c>
      <c r="J491" s="53"/>
      <c r="K491" s="53">
        <f>SUM(I491:J491)</f>
        <v>1120000</v>
      </c>
      <c r="L491" s="53"/>
      <c r="M491" s="53">
        <f>SUM(K491:L491)</f>
        <v>1120000</v>
      </c>
      <c r="N491" s="53"/>
      <c r="O491" s="53">
        <f>SUM(M491:N491)</f>
        <v>1120000</v>
      </c>
      <c r="P491" s="53">
        <f>187000</f>
        <v>187000</v>
      </c>
      <c r="Q491" s="53">
        <f>SUM(O491:P491)</f>
        <v>1307000</v>
      </c>
      <c r="R491" s="53"/>
      <c r="S491" s="53">
        <f>SUM(Q491:R491)</f>
        <v>1307000</v>
      </c>
      <c r="T491" s="53"/>
      <c r="U491" s="53">
        <f>SUM(S491:T491)</f>
        <v>1307000</v>
      </c>
      <c r="V491" s="53"/>
      <c r="W491" s="53">
        <f>SUM(U491:V491)</f>
        <v>1307000</v>
      </c>
      <c r="X491" s="53"/>
      <c r="Y491" s="53">
        <f>SUM(W491:X491)</f>
        <v>1307000</v>
      </c>
      <c r="Z491" s="53">
        <v>-537000</v>
      </c>
      <c r="AA491" s="53">
        <f t="shared" si="334"/>
        <v>770000</v>
      </c>
      <c r="AB491" s="53"/>
      <c r="AC491" s="53">
        <f t="shared" si="335"/>
        <v>770000</v>
      </c>
      <c r="AD491" s="53"/>
      <c r="AE491" s="53">
        <f t="shared" si="336"/>
        <v>770000</v>
      </c>
      <c r="AF491" s="53"/>
      <c r="AG491" s="53">
        <f t="shared" si="337"/>
        <v>770000</v>
      </c>
      <c r="AH491" s="53"/>
      <c r="AI491" s="53">
        <f t="shared" si="338"/>
        <v>770000</v>
      </c>
      <c r="AJ491" s="53"/>
      <c r="AK491" s="53">
        <f t="shared" si="339"/>
        <v>770000</v>
      </c>
      <c r="AL491" s="75"/>
      <c r="AM491" s="75"/>
      <c r="AN491" s="75"/>
      <c r="AO491" s="75"/>
    </row>
    <row r="492" spans="1:39" s="15" customFormat="1" ht="19.5" customHeight="1">
      <c r="A492" s="41"/>
      <c r="B492" s="60">
        <v>92604</v>
      </c>
      <c r="C492" s="59"/>
      <c r="D492" s="27" t="s">
        <v>164</v>
      </c>
      <c r="E492" s="53">
        <f aca="true" t="shared" si="354" ref="E492:Z492">SUM(E493:E494)</f>
        <v>90000</v>
      </c>
      <c r="F492" s="53">
        <f t="shared" si="354"/>
        <v>30000</v>
      </c>
      <c r="G492" s="53">
        <f t="shared" si="354"/>
        <v>120000</v>
      </c>
      <c r="H492" s="53">
        <f t="shared" si="354"/>
        <v>0</v>
      </c>
      <c r="I492" s="53">
        <f t="shared" si="354"/>
        <v>120000</v>
      </c>
      <c r="J492" s="53">
        <f t="shared" si="354"/>
        <v>0</v>
      </c>
      <c r="K492" s="53">
        <f t="shared" si="354"/>
        <v>120000</v>
      </c>
      <c r="L492" s="53">
        <f t="shared" si="354"/>
        <v>0</v>
      </c>
      <c r="M492" s="53">
        <f t="shared" si="354"/>
        <v>120000</v>
      </c>
      <c r="N492" s="53">
        <f t="shared" si="354"/>
        <v>0</v>
      </c>
      <c r="O492" s="53">
        <f t="shared" si="354"/>
        <v>120000</v>
      </c>
      <c r="P492" s="53">
        <f t="shared" si="354"/>
        <v>0</v>
      </c>
      <c r="Q492" s="53">
        <f t="shared" si="354"/>
        <v>120000</v>
      </c>
      <c r="R492" s="53">
        <f t="shared" si="354"/>
        <v>0</v>
      </c>
      <c r="S492" s="53">
        <f t="shared" si="354"/>
        <v>120000</v>
      </c>
      <c r="T492" s="53">
        <f t="shared" si="354"/>
        <v>0</v>
      </c>
      <c r="U492" s="53">
        <f t="shared" si="354"/>
        <v>120000</v>
      </c>
      <c r="V492" s="53">
        <f t="shared" si="354"/>
        <v>0</v>
      </c>
      <c r="W492" s="53">
        <f t="shared" si="354"/>
        <v>120000</v>
      </c>
      <c r="X492" s="53">
        <f t="shared" si="354"/>
        <v>0</v>
      </c>
      <c r="Y492" s="53">
        <f t="shared" si="354"/>
        <v>120000</v>
      </c>
      <c r="Z492" s="53">
        <f t="shared" si="354"/>
        <v>0</v>
      </c>
      <c r="AA492" s="53">
        <f t="shared" si="334"/>
        <v>120000</v>
      </c>
      <c r="AB492" s="53">
        <f>SUM(AB493:AB494)</f>
        <v>0</v>
      </c>
      <c r="AC492" s="53">
        <f t="shared" si="335"/>
        <v>120000</v>
      </c>
      <c r="AD492" s="53">
        <f>SUM(AD493:AD494)</f>
        <v>0</v>
      </c>
      <c r="AE492" s="53">
        <f t="shared" si="336"/>
        <v>120000</v>
      </c>
      <c r="AF492" s="53">
        <f>SUM(AF493:AF494)</f>
        <v>0</v>
      </c>
      <c r="AG492" s="53">
        <f t="shared" si="337"/>
        <v>120000</v>
      </c>
      <c r="AH492" s="53">
        <f>SUM(AH493:AH494)</f>
        <v>0</v>
      </c>
      <c r="AI492" s="53">
        <f t="shared" si="338"/>
        <v>120000</v>
      </c>
      <c r="AJ492" s="53">
        <f>SUM(AJ493:AJ494)</f>
        <v>0</v>
      </c>
      <c r="AK492" s="53">
        <f t="shared" si="339"/>
        <v>120000</v>
      </c>
      <c r="AL492" s="75"/>
      <c r="AM492" s="75"/>
    </row>
    <row r="493" spans="1:39" s="15" customFormat="1" ht="21.75" customHeight="1">
      <c r="A493" s="41"/>
      <c r="B493" s="60"/>
      <c r="C493" s="59">
        <v>4270</v>
      </c>
      <c r="D493" s="27" t="s">
        <v>68</v>
      </c>
      <c r="E493" s="53">
        <v>10000</v>
      </c>
      <c r="F493" s="53"/>
      <c r="G493" s="53">
        <f>SUM(E493:F493)</f>
        <v>10000</v>
      </c>
      <c r="H493" s="53"/>
      <c r="I493" s="53">
        <f>SUM(G493:H493)</f>
        <v>10000</v>
      </c>
      <c r="J493" s="53"/>
      <c r="K493" s="53">
        <f>SUM(I493:J493)</f>
        <v>10000</v>
      </c>
      <c r="L493" s="53"/>
      <c r="M493" s="53">
        <f>SUM(K493:L493)</f>
        <v>10000</v>
      </c>
      <c r="N493" s="53"/>
      <c r="O493" s="53">
        <f>SUM(M493:N493)</f>
        <v>10000</v>
      </c>
      <c r="P493" s="53"/>
      <c r="Q493" s="53">
        <f>SUM(O493:P493)</f>
        <v>10000</v>
      </c>
      <c r="R493" s="53"/>
      <c r="S493" s="53">
        <f>SUM(Q493:R493)</f>
        <v>10000</v>
      </c>
      <c r="T493" s="53"/>
      <c r="U493" s="53">
        <f>SUM(S493:T493)</f>
        <v>10000</v>
      </c>
      <c r="V493" s="53"/>
      <c r="W493" s="53">
        <f>SUM(U493:V493)</f>
        <v>10000</v>
      </c>
      <c r="X493" s="53"/>
      <c r="Y493" s="53">
        <f>SUM(W493:X493)</f>
        <v>10000</v>
      </c>
      <c r="Z493" s="53"/>
      <c r="AA493" s="53">
        <f t="shared" si="334"/>
        <v>10000</v>
      </c>
      <c r="AB493" s="53"/>
      <c r="AC493" s="53">
        <f t="shared" si="335"/>
        <v>10000</v>
      </c>
      <c r="AD493" s="53"/>
      <c r="AE493" s="53">
        <f t="shared" si="336"/>
        <v>10000</v>
      </c>
      <c r="AF493" s="53"/>
      <c r="AG493" s="53">
        <f t="shared" si="337"/>
        <v>10000</v>
      </c>
      <c r="AH493" s="53"/>
      <c r="AI493" s="53">
        <f t="shared" si="338"/>
        <v>10000</v>
      </c>
      <c r="AJ493" s="53"/>
      <c r="AK493" s="53">
        <f t="shared" si="339"/>
        <v>10000</v>
      </c>
      <c r="AL493" s="75"/>
      <c r="AM493" s="75"/>
    </row>
    <row r="494" spans="1:39" s="15" customFormat="1" ht="21" customHeight="1">
      <c r="A494" s="41"/>
      <c r="B494" s="60"/>
      <c r="C494" s="59">
        <v>4300</v>
      </c>
      <c r="D494" s="63" t="s">
        <v>69</v>
      </c>
      <c r="E494" s="53">
        <f>60000+20000</f>
        <v>80000</v>
      </c>
      <c r="F494" s="53">
        <v>30000</v>
      </c>
      <c r="G494" s="53">
        <f>SUM(E494:F494)</f>
        <v>110000</v>
      </c>
      <c r="H494" s="53"/>
      <c r="I494" s="53">
        <f>SUM(G494:H494)</f>
        <v>110000</v>
      </c>
      <c r="J494" s="53"/>
      <c r="K494" s="53">
        <f>SUM(I494:J494)</f>
        <v>110000</v>
      </c>
      <c r="L494" s="53"/>
      <c r="M494" s="53">
        <f>SUM(K494:L494)</f>
        <v>110000</v>
      </c>
      <c r="N494" s="53"/>
      <c r="O494" s="53">
        <f>SUM(M494:N494)</f>
        <v>110000</v>
      </c>
      <c r="P494" s="53"/>
      <c r="Q494" s="53">
        <f>SUM(O494:P494)</f>
        <v>110000</v>
      </c>
      <c r="R494" s="53"/>
      <c r="S494" s="53">
        <f>SUM(Q494:R494)</f>
        <v>110000</v>
      </c>
      <c r="T494" s="53"/>
      <c r="U494" s="53">
        <f>SUM(S494:T494)</f>
        <v>110000</v>
      </c>
      <c r="V494" s="53"/>
      <c r="W494" s="53">
        <f>SUM(U494:V494)</f>
        <v>110000</v>
      </c>
      <c r="X494" s="53"/>
      <c r="Y494" s="53">
        <f>SUM(W494:X494)</f>
        <v>110000</v>
      </c>
      <c r="Z494" s="53"/>
      <c r="AA494" s="53">
        <f t="shared" si="334"/>
        <v>110000</v>
      </c>
      <c r="AB494" s="53"/>
      <c r="AC494" s="53">
        <f t="shared" si="335"/>
        <v>110000</v>
      </c>
      <c r="AD494" s="53"/>
      <c r="AE494" s="53">
        <f t="shared" si="336"/>
        <v>110000</v>
      </c>
      <c r="AF494" s="53"/>
      <c r="AG494" s="53">
        <f t="shared" si="337"/>
        <v>110000</v>
      </c>
      <c r="AH494" s="53"/>
      <c r="AI494" s="53">
        <f t="shared" si="338"/>
        <v>110000</v>
      </c>
      <c r="AJ494" s="53"/>
      <c r="AK494" s="53">
        <f t="shared" si="339"/>
        <v>110000</v>
      </c>
      <c r="AL494" s="75"/>
      <c r="AM494" s="75"/>
    </row>
    <row r="495" spans="1:39" s="15" customFormat="1" ht="18.75" customHeight="1">
      <c r="A495" s="59"/>
      <c r="B495" s="62">
        <v>92605</v>
      </c>
      <c r="C495" s="59"/>
      <c r="D495" s="27" t="s">
        <v>57</v>
      </c>
      <c r="E495" s="53">
        <f aca="true" t="shared" si="355" ref="E495:R495">SUM(E496:E503)</f>
        <v>348390</v>
      </c>
      <c r="F495" s="53">
        <f t="shared" si="355"/>
        <v>130000</v>
      </c>
      <c r="G495" s="53">
        <f t="shared" si="355"/>
        <v>478390</v>
      </c>
      <c r="H495" s="53">
        <f t="shared" si="355"/>
        <v>2900</v>
      </c>
      <c r="I495" s="53">
        <f t="shared" si="355"/>
        <v>481290</v>
      </c>
      <c r="J495" s="53">
        <f t="shared" si="355"/>
        <v>0</v>
      </c>
      <c r="K495" s="53">
        <f t="shared" si="355"/>
        <v>481290</v>
      </c>
      <c r="L495" s="53">
        <f t="shared" si="355"/>
        <v>0</v>
      </c>
      <c r="M495" s="53">
        <f t="shared" si="355"/>
        <v>481290</v>
      </c>
      <c r="N495" s="53">
        <f t="shared" si="355"/>
        <v>0</v>
      </c>
      <c r="O495" s="53">
        <f t="shared" si="355"/>
        <v>481290</v>
      </c>
      <c r="P495" s="53">
        <f t="shared" si="355"/>
        <v>0</v>
      </c>
      <c r="Q495" s="53">
        <f t="shared" si="355"/>
        <v>481290</v>
      </c>
      <c r="R495" s="53">
        <f t="shared" si="355"/>
        <v>0</v>
      </c>
      <c r="S495" s="53">
        <f aca="true" t="shared" si="356" ref="S495:Z495">SUM(S496:S504)</f>
        <v>481290</v>
      </c>
      <c r="T495" s="53">
        <f t="shared" si="356"/>
        <v>-2000</v>
      </c>
      <c r="U495" s="53">
        <f t="shared" si="356"/>
        <v>479290</v>
      </c>
      <c r="V495" s="53">
        <f t="shared" si="356"/>
        <v>0</v>
      </c>
      <c r="W495" s="53">
        <f t="shared" si="356"/>
        <v>479290</v>
      </c>
      <c r="X495" s="53">
        <f t="shared" si="356"/>
        <v>-1650</v>
      </c>
      <c r="Y495" s="53">
        <f t="shared" si="356"/>
        <v>477640</v>
      </c>
      <c r="Z495" s="53">
        <f t="shared" si="356"/>
        <v>19298</v>
      </c>
      <c r="AA495" s="53">
        <f t="shared" si="334"/>
        <v>496938</v>
      </c>
      <c r="AB495" s="53">
        <f>SUM(AB496:AB504)</f>
        <v>0</v>
      </c>
      <c r="AC495" s="53">
        <f t="shared" si="335"/>
        <v>496938</v>
      </c>
      <c r="AD495" s="53">
        <f>SUM(AD496:AD504)</f>
        <v>-196</v>
      </c>
      <c r="AE495" s="53">
        <f t="shared" si="336"/>
        <v>496742</v>
      </c>
      <c r="AF495" s="53">
        <f>SUM(AF496:AF504)</f>
        <v>0</v>
      </c>
      <c r="AG495" s="53">
        <f t="shared" si="337"/>
        <v>496742</v>
      </c>
      <c r="AH495" s="53">
        <f>SUM(AH496:AH504)</f>
        <v>0</v>
      </c>
      <c r="AI495" s="53">
        <f t="shared" si="338"/>
        <v>496742</v>
      </c>
      <c r="AJ495" s="53">
        <f>SUM(AJ496:AJ504)</f>
        <v>0</v>
      </c>
      <c r="AK495" s="53">
        <f t="shared" si="339"/>
        <v>496742</v>
      </c>
      <c r="AL495" s="75"/>
      <c r="AM495" s="75"/>
    </row>
    <row r="496" spans="1:39" s="15" customFormat="1" ht="36">
      <c r="A496" s="59"/>
      <c r="B496" s="62"/>
      <c r="C496" s="59">
        <v>2630</v>
      </c>
      <c r="D496" s="27" t="s">
        <v>184</v>
      </c>
      <c r="E496" s="53">
        <f>250000+3100+1300+2000</f>
        <v>256400</v>
      </c>
      <c r="F496" s="53">
        <f>80000+30000</f>
        <v>110000</v>
      </c>
      <c r="G496" s="53">
        <f>SUM(E496:F496)</f>
        <v>366400</v>
      </c>
      <c r="H496" s="53"/>
      <c r="I496" s="53">
        <f>SUM(G496:H496)</f>
        <v>366400</v>
      </c>
      <c r="J496" s="53"/>
      <c r="K496" s="53">
        <f>SUM(I496:J496)</f>
        <v>366400</v>
      </c>
      <c r="L496" s="53">
        <v>-256400</v>
      </c>
      <c r="M496" s="53">
        <f aca="true" t="shared" si="357" ref="M496:M503">SUM(K496:L496)</f>
        <v>110000</v>
      </c>
      <c r="N496" s="53"/>
      <c r="O496" s="53">
        <f aca="true" t="shared" si="358" ref="O496:O503">SUM(M496:N496)</f>
        <v>110000</v>
      </c>
      <c r="P496" s="53"/>
      <c r="Q496" s="53">
        <f aca="true" t="shared" si="359" ref="Q496:Q503">SUM(O496:P496)</f>
        <v>110000</v>
      </c>
      <c r="R496" s="53"/>
      <c r="S496" s="53">
        <f aca="true" t="shared" si="360" ref="S496:S503">SUM(Q496:R496)</f>
        <v>110000</v>
      </c>
      <c r="T496" s="53"/>
      <c r="U496" s="53">
        <f aca="true" t="shared" si="361" ref="U496:U504">SUM(S496:T496)</f>
        <v>110000</v>
      </c>
      <c r="V496" s="53">
        <v>-110000</v>
      </c>
      <c r="W496" s="53">
        <f aca="true" t="shared" si="362" ref="W496:W504">SUM(U496:V496)</f>
        <v>0</v>
      </c>
      <c r="X496" s="53"/>
      <c r="Y496" s="53">
        <f aca="true" t="shared" si="363" ref="Y496:Y504">SUM(W496:X496)</f>
        <v>0</v>
      </c>
      <c r="Z496" s="53">
        <v>15000</v>
      </c>
      <c r="AA496" s="53">
        <f t="shared" si="334"/>
        <v>15000</v>
      </c>
      <c r="AB496" s="53"/>
      <c r="AC496" s="53">
        <f t="shared" si="335"/>
        <v>15000</v>
      </c>
      <c r="AD496" s="53"/>
      <c r="AE496" s="53">
        <f t="shared" si="336"/>
        <v>15000</v>
      </c>
      <c r="AF496" s="53">
        <v>-15000</v>
      </c>
      <c r="AG496" s="53">
        <f t="shared" si="337"/>
        <v>0</v>
      </c>
      <c r="AH496" s="53"/>
      <c r="AI496" s="53">
        <f t="shared" si="338"/>
        <v>0</v>
      </c>
      <c r="AJ496" s="53"/>
      <c r="AK496" s="53">
        <f t="shared" si="339"/>
        <v>0</v>
      </c>
      <c r="AL496" s="75"/>
      <c r="AM496" s="75"/>
    </row>
    <row r="497" spans="1:39" s="15" customFormat="1" ht="36">
      <c r="A497" s="59"/>
      <c r="B497" s="62"/>
      <c r="C497" s="59">
        <v>2820</v>
      </c>
      <c r="D497" s="27" t="s">
        <v>259</v>
      </c>
      <c r="E497" s="53"/>
      <c r="F497" s="53"/>
      <c r="G497" s="53"/>
      <c r="H497" s="53"/>
      <c r="I497" s="53"/>
      <c r="J497" s="53"/>
      <c r="K497" s="53">
        <v>0</v>
      </c>
      <c r="L497" s="53">
        <f>109500+67500+5400+9000+4700+4000+6000+8000+15000+6500+5000+13000+800+1100+900</f>
        <v>256400</v>
      </c>
      <c r="M497" s="53">
        <f t="shared" si="357"/>
        <v>256400</v>
      </c>
      <c r="N497" s="53"/>
      <c r="O497" s="53">
        <f t="shared" si="358"/>
        <v>256400</v>
      </c>
      <c r="P497" s="53"/>
      <c r="Q497" s="53">
        <f t="shared" si="359"/>
        <v>256400</v>
      </c>
      <c r="R497" s="53"/>
      <c r="S497" s="53">
        <f t="shared" si="360"/>
        <v>256400</v>
      </c>
      <c r="T497" s="53"/>
      <c r="U497" s="53">
        <f t="shared" si="361"/>
        <v>256400</v>
      </c>
      <c r="V497" s="53">
        <v>110000</v>
      </c>
      <c r="W497" s="53">
        <f t="shared" si="362"/>
        <v>366400</v>
      </c>
      <c r="X497" s="53"/>
      <c r="Y497" s="53">
        <f t="shared" si="363"/>
        <v>366400</v>
      </c>
      <c r="Z497" s="53"/>
      <c r="AA497" s="53">
        <f t="shared" si="334"/>
        <v>366400</v>
      </c>
      <c r="AB497" s="53"/>
      <c r="AC497" s="53">
        <f t="shared" si="335"/>
        <v>366400</v>
      </c>
      <c r="AD497" s="53"/>
      <c r="AE497" s="53">
        <f t="shared" si="336"/>
        <v>366400</v>
      </c>
      <c r="AF497" s="53">
        <v>15000</v>
      </c>
      <c r="AG497" s="53">
        <f t="shared" si="337"/>
        <v>381400</v>
      </c>
      <c r="AH497" s="53"/>
      <c r="AI497" s="53">
        <f t="shared" si="338"/>
        <v>381400</v>
      </c>
      <c r="AJ497" s="53"/>
      <c r="AK497" s="53">
        <f t="shared" si="339"/>
        <v>381400</v>
      </c>
      <c r="AL497" s="75"/>
      <c r="AM497" s="75"/>
    </row>
    <row r="498" spans="1:39" s="15" customFormat="1" ht="24" customHeight="1">
      <c r="A498" s="59"/>
      <c r="B498" s="62"/>
      <c r="C498" s="59">
        <v>4110</v>
      </c>
      <c r="D498" s="27" t="s">
        <v>76</v>
      </c>
      <c r="E498" s="53">
        <v>1000</v>
      </c>
      <c r="F498" s="53"/>
      <c r="G498" s="53">
        <f aca="true" t="shared" si="364" ref="G498:G503">SUM(E498:F498)</f>
        <v>1000</v>
      </c>
      <c r="H498" s="53"/>
      <c r="I498" s="53">
        <f aca="true" t="shared" si="365" ref="I498:I503">SUM(G498:H498)</f>
        <v>1000</v>
      </c>
      <c r="J498" s="53"/>
      <c r="K498" s="53">
        <f aca="true" t="shared" si="366" ref="K498:K503">SUM(I498:J498)</f>
        <v>1000</v>
      </c>
      <c r="L498" s="53"/>
      <c r="M498" s="53">
        <f t="shared" si="357"/>
        <v>1000</v>
      </c>
      <c r="N498" s="53"/>
      <c r="O498" s="53">
        <f t="shared" si="358"/>
        <v>1000</v>
      </c>
      <c r="P498" s="53"/>
      <c r="Q498" s="53">
        <f t="shared" si="359"/>
        <v>1000</v>
      </c>
      <c r="R498" s="53"/>
      <c r="S498" s="53">
        <f t="shared" si="360"/>
        <v>1000</v>
      </c>
      <c r="T498" s="53"/>
      <c r="U498" s="53">
        <f t="shared" si="361"/>
        <v>1000</v>
      </c>
      <c r="V498" s="53"/>
      <c r="W498" s="53">
        <f t="shared" si="362"/>
        <v>1000</v>
      </c>
      <c r="X498" s="53"/>
      <c r="Y498" s="53">
        <f t="shared" si="363"/>
        <v>1000</v>
      </c>
      <c r="Z498" s="53"/>
      <c r="AA498" s="53">
        <f t="shared" si="334"/>
        <v>1000</v>
      </c>
      <c r="AB498" s="53"/>
      <c r="AC498" s="53">
        <f t="shared" si="335"/>
        <v>1000</v>
      </c>
      <c r="AD498" s="53"/>
      <c r="AE498" s="53">
        <f t="shared" si="336"/>
        <v>1000</v>
      </c>
      <c r="AF498" s="53"/>
      <c r="AG498" s="53">
        <f t="shared" si="337"/>
        <v>1000</v>
      </c>
      <c r="AH498" s="53"/>
      <c r="AI498" s="53">
        <f t="shared" si="338"/>
        <v>1000</v>
      </c>
      <c r="AJ498" s="53"/>
      <c r="AK498" s="53">
        <f t="shared" si="339"/>
        <v>1000</v>
      </c>
      <c r="AL498" s="75"/>
      <c r="AM498" s="75"/>
    </row>
    <row r="499" spans="1:39" s="15" customFormat="1" ht="23.25" customHeight="1">
      <c r="A499" s="59"/>
      <c r="B499" s="62"/>
      <c r="C499" s="59">
        <v>4120</v>
      </c>
      <c r="D499" s="27" t="s">
        <v>77</v>
      </c>
      <c r="E499" s="53">
        <v>100</v>
      </c>
      <c r="F499" s="53"/>
      <c r="G499" s="53">
        <f t="shared" si="364"/>
        <v>100</v>
      </c>
      <c r="H499" s="53"/>
      <c r="I499" s="53">
        <f t="shared" si="365"/>
        <v>100</v>
      </c>
      <c r="J499" s="53"/>
      <c r="K499" s="53">
        <f t="shared" si="366"/>
        <v>100</v>
      </c>
      <c r="L499" s="53"/>
      <c r="M499" s="53">
        <f t="shared" si="357"/>
        <v>100</v>
      </c>
      <c r="N499" s="53"/>
      <c r="O499" s="53">
        <f t="shared" si="358"/>
        <v>100</v>
      </c>
      <c r="P499" s="53"/>
      <c r="Q499" s="53">
        <f t="shared" si="359"/>
        <v>100</v>
      </c>
      <c r="R499" s="53"/>
      <c r="S499" s="53">
        <f t="shared" si="360"/>
        <v>100</v>
      </c>
      <c r="T499" s="53"/>
      <c r="U499" s="53">
        <f t="shared" si="361"/>
        <v>100</v>
      </c>
      <c r="V499" s="53"/>
      <c r="W499" s="53">
        <f t="shared" si="362"/>
        <v>100</v>
      </c>
      <c r="X499" s="53"/>
      <c r="Y499" s="53">
        <f t="shared" si="363"/>
        <v>100</v>
      </c>
      <c r="Z499" s="53"/>
      <c r="AA499" s="53">
        <f t="shared" si="334"/>
        <v>100</v>
      </c>
      <c r="AB499" s="53"/>
      <c r="AC499" s="53">
        <f t="shared" si="335"/>
        <v>100</v>
      </c>
      <c r="AD499" s="53"/>
      <c r="AE499" s="53">
        <f t="shared" si="336"/>
        <v>100</v>
      </c>
      <c r="AF499" s="53"/>
      <c r="AG499" s="53">
        <f t="shared" si="337"/>
        <v>100</v>
      </c>
      <c r="AH499" s="53"/>
      <c r="AI499" s="53">
        <f t="shared" si="338"/>
        <v>100</v>
      </c>
      <c r="AJ499" s="53"/>
      <c r="AK499" s="53">
        <f t="shared" si="339"/>
        <v>100</v>
      </c>
      <c r="AL499" s="75"/>
      <c r="AM499" s="75"/>
    </row>
    <row r="500" spans="1:39" s="15" customFormat="1" ht="24" customHeight="1">
      <c r="A500" s="59"/>
      <c r="B500" s="62"/>
      <c r="C500" s="59">
        <v>4170</v>
      </c>
      <c r="D500" s="27" t="s">
        <v>163</v>
      </c>
      <c r="E500" s="53">
        <f>35000+5000-1000-100+15000</f>
        <v>53900</v>
      </c>
      <c r="F500" s="53">
        <v>8000</v>
      </c>
      <c r="G500" s="53">
        <f t="shared" si="364"/>
        <v>61900</v>
      </c>
      <c r="H500" s="53"/>
      <c r="I500" s="53">
        <f t="shared" si="365"/>
        <v>61900</v>
      </c>
      <c r="J500" s="53"/>
      <c r="K500" s="53">
        <f t="shared" si="366"/>
        <v>61900</v>
      </c>
      <c r="L500" s="53"/>
      <c r="M500" s="53">
        <f t="shared" si="357"/>
        <v>61900</v>
      </c>
      <c r="N500" s="53"/>
      <c r="O500" s="53">
        <f t="shared" si="358"/>
        <v>61900</v>
      </c>
      <c r="P500" s="53"/>
      <c r="Q500" s="53">
        <f t="shared" si="359"/>
        <v>61900</v>
      </c>
      <c r="R500" s="53"/>
      <c r="S500" s="53">
        <f t="shared" si="360"/>
        <v>61900</v>
      </c>
      <c r="T500" s="53"/>
      <c r="U500" s="53">
        <f t="shared" si="361"/>
        <v>61900</v>
      </c>
      <c r="V500" s="53"/>
      <c r="W500" s="53">
        <f t="shared" si="362"/>
        <v>61900</v>
      </c>
      <c r="X500" s="53"/>
      <c r="Y500" s="53">
        <f t="shared" si="363"/>
        <v>61900</v>
      </c>
      <c r="Z500" s="53"/>
      <c r="AA500" s="53">
        <f t="shared" si="334"/>
        <v>61900</v>
      </c>
      <c r="AB500" s="53"/>
      <c r="AC500" s="53">
        <f t="shared" si="335"/>
        <v>61900</v>
      </c>
      <c r="AD500" s="53"/>
      <c r="AE500" s="53">
        <f t="shared" si="336"/>
        <v>61900</v>
      </c>
      <c r="AF500" s="53"/>
      <c r="AG500" s="53">
        <f t="shared" si="337"/>
        <v>61900</v>
      </c>
      <c r="AH500" s="53"/>
      <c r="AI500" s="53">
        <f t="shared" si="338"/>
        <v>61900</v>
      </c>
      <c r="AJ500" s="53"/>
      <c r="AK500" s="53">
        <f t="shared" si="339"/>
        <v>61900</v>
      </c>
      <c r="AL500" s="75"/>
      <c r="AM500" s="75"/>
    </row>
    <row r="501" spans="1:39" s="15" customFormat="1" ht="23.25" customHeight="1">
      <c r="A501" s="59"/>
      <c r="B501" s="55"/>
      <c r="C501" s="41">
        <v>4210</v>
      </c>
      <c r="D501" s="27" t="s">
        <v>82</v>
      </c>
      <c r="E501" s="53">
        <f>1300+2000+3150+500+1000+500+1000+900+7000</f>
        <v>17350</v>
      </c>
      <c r="F501" s="53">
        <v>4000</v>
      </c>
      <c r="G501" s="53">
        <f t="shared" si="364"/>
        <v>21350</v>
      </c>
      <c r="H501" s="53">
        <f>400+500+2000</f>
        <v>2900</v>
      </c>
      <c r="I501" s="53">
        <f t="shared" si="365"/>
        <v>24250</v>
      </c>
      <c r="J501" s="53"/>
      <c r="K501" s="53">
        <f t="shared" si="366"/>
        <v>24250</v>
      </c>
      <c r="L501" s="53"/>
      <c r="M501" s="53">
        <f t="shared" si="357"/>
        <v>24250</v>
      </c>
      <c r="N501" s="53"/>
      <c r="O501" s="53">
        <f t="shared" si="358"/>
        <v>24250</v>
      </c>
      <c r="P501" s="53">
        <v>-560</v>
      </c>
      <c r="Q501" s="53">
        <f t="shared" si="359"/>
        <v>23690</v>
      </c>
      <c r="R501" s="53"/>
      <c r="S501" s="53">
        <f t="shared" si="360"/>
        <v>23690</v>
      </c>
      <c r="T501" s="53">
        <v>-3200</v>
      </c>
      <c r="U501" s="53">
        <f t="shared" si="361"/>
        <v>20490</v>
      </c>
      <c r="V501" s="53">
        <v>2500</v>
      </c>
      <c r="W501" s="53">
        <f t="shared" si="362"/>
        <v>22990</v>
      </c>
      <c r="X501" s="53">
        <v>-1500</v>
      </c>
      <c r="Y501" s="53">
        <f t="shared" si="363"/>
        <v>21490</v>
      </c>
      <c r="Z501" s="53">
        <v>4896</v>
      </c>
      <c r="AA501" s="53">
        <f t="shared" si="334"/>
        <v>26386</v>
      </c>
      <c r="AB501" s="53">
        <f>-600-250</f>
        <v>-850</v>
      </c>
      <c r="AC501" s="53">
        <f t="shared" si="335"/>
        <v>25536</v>
      </c>
      <c r="AD501" s="53">
        <v>-196</v>
      </c>
      <c r="AE501" s="53">
        <f t="shared" si="336"/>
        <v>25340</v>
      </c>
      <c r="AF501" s="53">
        <v>-600</v>
      </c>
      <c r="AG501" s="53">
        <f t="shared" si="337"/>
        <v>24740</v>
      </c>
      <c r="AH501" s="53">
        <v>-500</v>
      </c>
      <c r="AI501" s="53">
        <f t="shared" si="338"/>
        <v>24240</v>
      </c>
      <c r="AJ501" s="53"/>
      <c r="AK501" s="53">
        <f t="shared" si="339"/>
        <v>24240</v>
      </c>
      <c r="AL501" s="75"/>
      <c r="AM501" s="75"/>
    </row>
    <row r="502" spans="1:39" s="15" customFormat="1" ht="24" customHeight="1">
      <c r="A502" s="59"/>
      <c r="B502" s="55"/>
      <c r="C502" s="41">
        <v>4260</v>
      </c>
      <c r="D502" s="27" t="s">
        <v>85</v>
      </c>
      <c r="E502" s="53">
        <v>500</v>
      </c>
      <c r="F502" s="53"/>
      <c r="G502" s="53">
        <f t="shared" si="364"/>
        <v>500</v>
      </c>
      <c r="H502" s="53"/>
      <c r="I502" s="53">
        <f t="shared" si="365"/>
        <v>500</v>
      </c>
      <c r="J502" s="53"/>
      <c r="K502" s="53">
        <f t="shared" si="366"/>
        <v>500</v>
      </c>
      <c r="L502" s="53"/>
      <c r="M502" s="53">
        <f t="shared" si="357"/>
        <v>500</v>
      </c>
      <c r="N502" s="53"/>
      <c r="O502" s="53">
        <f t="shared" si="358"/>
        <v>500</v>
      </c>
      <c r="P502" s="53"/>
      <c r="Q502" s="53">
        <f t="shared" si="359"/>
        <v>500</v>
      </c>
      <c r="R502" s="53"/>
      <c r="S502" s="53">
        <f t="shared" si="360"/>
        <v>500</v>
      </c>
      <c r="T502" s="53"/>
      <c r="U502" s="53">
        <f t="shared" si="361"/>
        <v>500</v>
      </c>
      <c r="V502" s="53"/>
      <c r="W502" s="53">
        <f t="shared" si="362"/>
        <v>500</v>
      </c>
      <c r="X502" s="53">
        <v>-150</v>
      </c>
      <c r="Y502" s="53">
        <f t="shared" si="363"/>
        <v>350</v>
      </c>
      <c r="Z502" s="53"/>
      <c r="AA502" s="53">
        <f t="shared" si="334"/>
        <v>350</v>
      </c>
      <c r="AB502" s="53"/>
      <c r="AC502" s="53">
        <f t="shared" si="335"/>
        <v>350</v>
      </c>
      <c r="AD502" s="53"/>
      <c r="AE502" s="53">
        <f t="shared" si="336"/>
        <v>350</v>
      </c>
      <c r="AF502" s="53"/>
      <c r="AG502" s="53">
        <f t="shared" si="337"/>
        <v>350</v>
      </c>
      <c r="AH502" s="53"/>
      <c r="AI502" s="53">
        <f t="shared" si="338"/>
        <v>350</v>
      </c>
      <c r="AJ502" s="53">
        <v>26</v>
      </c>
      <c r="AK502" s="53">
        <f t="shared" si="339"/>
        <v>376</v>
      </c>
      <c r="AL502" s="75"/>
      <c r="AM502" s="75"/>
    </row>
    <row r="503" spans="1:39" s="15" customFormat="1" ht="23.25" customHeight="1">
      <c r="A503" s="59"/>
      <c r="B503" s="55"/>
      <c r="C503" s="59">
        <v>4300</v>
      </c>
      <c r="D503" s="63" t="s">
        <v>69</v>
      </c>
      <c r="E503" s="53">
        <f>2000+5000+12140</f>
        <v>19140</v>
      </c>
      <c r="F503" s="53">
        <v>8000</v>
      </c>
      <c r="G503" s="53">
        <f t="shared" si="364"/>
        <v>27140</v>
      </c>
      <c r="H503" s="53"/>
      <c r="I503" s="53">
        <f t="shared" si="365"/>
        <v>27140</v>
      </c>
      <c r="J503" s="53"/>
      <c r="K503" s="53">
        <f t="shared" si="366"/>
        <v>27140</v>
      </c>
      <c r="L503" s="53"/>
      <c r="M503" s="53">
        <f t="shared" si="357"/>
        <v>27140</v>
      </c>
      <c r="N503" s="53"/>
      <c r="O503" s="53">
        <f t="shared" si="358"/>
        <v>27140</v>
      </c>
      <c r="P503" s="53">
        <v>560</v>
      </c>
      <c r="Q503" s="53">
        <f t="shared" si="359"/>
        <v>27700</v>
      </c>
      <c r="R503" s="53"/>
      <c r="S503" s="53">
        <f t="shared" si="360"/>
        <v>27700</v>
      </c>
      <c r="T503" s="53">
        <v>-3200</v>
      </c>
      <c r="U503" s="53">
        <f t="shared" si="361"/>
        <v>24500</v>
      </c>
      <c r="V503" s="53">
        <v>-2500</v>
      </c>
      <c r="W503" s="53">
        <f t="shared" si="362"/>
        <v>22000</v>
      </c>
      <c r="X503" s="53"/>
      <c r="Y503" s="53">
        <f t="shared" si="363"/>
        <v>22000</v>
      </c>
      <c r="Z503" s="53">
        <v>-598</v>
      </c>
      <c r="AA503" s="53">
        <f t="shared" si="334"/>
        <v>21402</v>
      </c>
      <c r="AB503" s="53">
        <f>600+250</f>
        <v>850</v>
      </c>
      <c r="AC503" s="53">
        <f t="shared" si="335"/>
        <v>22252</v>
      </c>
      <c r="AD503" s="53"/>
      <c r="AE503" s="53">
        <f t="shared" si="336"/>
        <v>22252</v>
      </c>
      <c r="AF503" s="53">
        <v>600</v>
      </c>
      <c r="AG503" s="53">
        <f t="shared" si="337"/>
        <v>22852</v>
      </c>
      <c r="AH503" s="53">
        <v>500</v>
      </c>
      <c r="AI503" s="53">
        <f t="shared" si="338"/>
        <v>23352</v>
      </c>
      <c r="AJ503" s="53">
        <v>-26</v>
      </c>
      <c r="AK503" s="53">
        <f t="shared" si="339"/>
        <v>23326</v>
      </c>
      <c r="AL503" s="75"/>
      <c r="AM503" s="75"/>
    </row>
    <row r="504" spans="1:41" s="15" customFormat="1" ht="24" customHeight="1">
      <c r="A504" s="59"/>
      <c r="B504" s="41"/>
      <c r="C504" s="59">
        <v>6060</v>
      </c>
      <c r="D504" s="27" t="s">
        <v>86</v>
      </c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>
        <v>0</v>
      </c>
      <c r="T504" s="53">
        <v>4400</v>
      </c>
      <c r="U504" s="53">
        <f t="shared" si="361"/>
        <v>4400</v>
      </c>
      <c r="V504" s="53"/>
      <c r="W504" s="53">
        <f t="shared" si="362"/>
        <v>4400</v>
      </c>
      <c r="X504" s="53"/>
      <c r="Y504" s="53">
        <f t="shared" si="363"/>
        <v>4400</v>
      </c>
      <c r="Z504" s="53"/>
      <c r="AA504" s="53">
        <f t="shared" si="334"/>
        <v>4400</v>
      </c>
      <c r="AB504" s="53"/>
      <c r="AC504" s="53">
        <f t="shared" si="335"/>
        <v>4400</v>
      </c>
      <c r="AD504" s="53"/>
      <c r="AE504" s="53">
        <f t="shared" si="336"/>
        <v>4400</v>
      </c>
      <c r="AF504" s="53"/>
      <c r="AG504" s="53">
        <f t="shared" si="337"/>
        <v>4400</v>
      </c>
      <c r="AH504" s="53"/>
      <c r="AI504" s="53">
        <f t="shared" si="338"/>
        <v>4400</v>
      </c>
      <c r="AJ504" s="53"/>
      <c r="AK504" s="53">
        <f t="shared" si="339"/>
        <v>4400</v>
      </c>
      <c r="AL504" s="75"/>
      <c r="AM504" s="75"/>
      <c r="AN504" s="75"/>
      <c r="AO504" s="75"/>
    </row>
    <row r="505" spans="1:39" s="4" customFormat="1" ht="24.75" customHeight="1">
      <c r="A505" s="78"/>
      <c r="B505" s="97"/>
      <c r="C505" s="1"/>
      <c r="D505" s="24" t="s">
        <v>58</v>
      </c>
      <c r="E505" s="26">
        <f aca="true" t="shared" si="367" ref="E505:P505">SUM(E489,E474,E444,E405,E327,E310,E208,E204,E201,E191,E144,E138,E66,E57,E34,E23,E7,E20)</f>
        <v>56119940</v>
      </c>
      <c r="F505" s="26">
        <f t="shared" si="367"/>
        <v>983000</v>
      </c>
      <c r="G505" s="26">
        <f t="shared" si="367"/>
        <v>57102940</v>
      </c>
      <c r="H505" s="26">
        <f t="shared" si="367"/>
        <v>11500</v>
      </c>
      <c r="I505" s="26">
        <f t="shared" si="367"/>
        <v>57114440</v>
      </c>
      <c r="J505" s="26">
        <f t="shared" si="367"/>
        <v>0</v>
      </c>
      <c r="K505" s="26">
        <f t="shared" si="367"/>
        <v>57114440</v>
      </c>
      <c r="L505" s="26">
        <f t="shared" si="367"/>
        <v>165286</v>
      </c>
      <c r="M505" s="26">
        <f t="shared" si="367"/>
        <v>57279726</v>
      </c>
      <c r="N505" s="26">
        <f t="shared" si="367"/>
        <v>0</v>
      </c>
      <c r="O505" s="26">
        <f t="shared" si="367"/>
        <v>57279726</v>
      </c>
      <c r="P505" s="26">
        <f t="shared" si="367"/>
        <v>2671236</v>
      </c>
      <c r="Q505" s="26">
        <f aca="true" t="shared" si="368" ref="Q505:Z505">SUM(Q489,Q474,Q444,Q405,Q327,Q310,Q208,Q204,Q201,Q191,Q144,Q138,Q66,Q57,Q34,Q23,Q7,Q20,Q389)</f>
        <v>59950962</v>
      </c>
      <c r="R505" s="26">
        <f t="shared" si="368"/>
        <v>371319</v>
      </c>
      <c r="S505" s="26">
        <f t="shared" si="368"/>
        <v>60322281</v>
      </c>
      <c r="T505" s="26">
        <f t="shared" si="368"/>
        <v>2483742</v>
      </c>
      <c r="U505" s="26">
        <f t="shared" si="368"/>
        <v>62806023</v>
      </c>
      <c r="V505" s="26">
        <f t="shared" si="368"/>
        <v>78907</v>
      </c>
      <c r="W505" s="26">
        <f t="shared" si="368"/>
        <v>62884930</v>
      </c>
      <c r="X505" s="26">
        <f t="shared" si="368"/>
        <v>2510282</v>
      </c>
      <c r="Y505" s="26">
        <f t="shared" si="368"/>
        <v>65395212</v>
      </c>
      <c r="Z505" s="26">
        <f t="shared" si="368"/>
        <v>-158528</v>
      </c>
      <c r="AA505" s="26">
        <f t="shared" si="334"/>
        <v>65236684</v>
      </c>
      <c r="AB505" s="26">
        <f>SUM(AB489,AB474,AB444,AB405,AB327,AB310,AB208,AB204,AB201,AB191,AB144,AB138,AB66,AB57,AB34,AB23,AB7,AB20,AB389)</f>
        <v>838678</v>
      </c>
      <c r="AC505" s="26">
        <f t="shared" si="335"/>
        <v>66075362</v>
      </c>
      <c r="AD505" s="26">
        <f>SUM(AD489,AD474,AD444,AD405,AD327,AD310,AD208,AD204,AD201,AD191,AD144,AD138,AD66,AD57,AD34,AD23,AD7,AD20,AD389)</f>
        <v>-187704</v>
      </c>
      <c r="AE505" s="26">
        <f t="shared" si="336"/>
        <v>65887658</v>
      </c>
      <c r="AF505" s="26">
        <f>SUM(AF489,AF474,AF444,AF405,AF327,AF310,AF208,AF204,AF201,AF191,AF144,AF138,AF66,AF57,AF34,AF23,AF7,AF20,AF389)</f>
        <v>0</v>
      </c>
      <c r="AG505" s="26">
        <f t="shared" si="337"/>
        <v>65887658</v>
      </c>
      <c r="AH505" s="26">
        <f>SUM(AH489,AH474,AH444,AH405,AH327,AH310,AH208,AH204,AH201,AH191,AH144,AH138,AH66,AH57,AH34,AH23,AH7,AH20,AH389)</f>
        <v>35884</v>
      </c>
      <c r="AI505" s="26">
        <f t="shared" si="338"/>
        <v>65923542</v>
      </c>
      <c r="AJ505" s="26">
        <f>SUM(AJ489,AJ474,AJ444,AJ405,AJ327,AJ310,AJ208,AJ204,AJ201,AJ191,AJ144,AJ138,AJ66,AJ57,AJ34,AJ23,AJ7,AJ20,AJ389)</f>
        <v>0</v>
      </c>
      <c r="AK505" s="26">
        <f t="shared" si="339"/>
        <v>65923542</v>
      </c>
      <c r="AL505" s="16"/>
      <c r="AM505" s="16"/>
    </row>
    <row r="506" spans="1:41" ht="25.5" customHeight="1">
      <c r="A506" s="33"/>
      <c r="B506" s="33"/>
      <c r="C506" s="33"/>
      <c r="D506" s="33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N506" s="32"/>
      <c r="AO506" s="32"/>
    </row>
    <row r="507" spans="1:39" s="12" customFormat="1" ht="12.75">
      <c r="A507" s="14"/>
      <c r="B507" s="14"/>
      <c r="C507" s="14"/>
      <c r="D507" s="70"/>
      <c r="E507" s="85"/>
      <c r="F507" s="85"/>
      <c r="G507" s="85"/>
      <c r="H507" s="85"/>
      <c r="I507" s="85"/>
      <c r="J507" s="85"/>
      <c r="K507" s="85"/>
      <c r="L507" s="67"/>
      <c r="M507" s="85"/>
      <c r="N507" s="67"/>
      <c r="O507" s="85"/>
      <c r="P507" s="67"/>
      <c r="Q507" s="85"/>
      <c r="R507" s="67"/>
      <c r="S507" s="85"/>
      <c r="T507" s="67"/>
      <c r="U507" s="85"/>
      <c r="V507" s="67"/>
      <c r="W507" s="85"/>
      <c r="X507" s="67"/>
      <c r="Y507" s="85"/>
      <c r="Z507" s="67"/>
      <c r="AA507" s="85"/>
      <c r="AB507" s="67"/>
      <c r="AC507" s="85"/>
      <c r="AD507" s="67"/>
      <c r="AE507" s="85"/>
      <c r="AF507" s="67"/>
      <c r="AG507" s="85"/>
      <c r="AH507" s="67"/>
      <c r="AI507" s="85"/>
      <c r="AJ507" s="67"/>
      <c r="AK507" s="85"/>
      <c r="AL507" s="77"/>
      <c r="AM507" s="77"/>
    </row>
    <row r="508" spans="1:39" s="12" customFormat="1" ht="17.25" customHeight="1">
      <c r="A508" s="14"/>
      <c r="B508" s="14"/>
      <c r="C508" s="14"/>
      <c r="D508" s="70"/>
      <c r="E508" s="85"/>
      <c r="F508" s="85"/>
      <c r="G508" s="85"/>
      <c r="H508" s="85"/>
      <c r="I508" s="85"/>
      <c r="J508" s="85"/>
      <c r="K508" s="85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77"/>
      <c r="AM508" s="77"/>
    </row>
    <row r="509" spans="1:39" s="12" customFormat="1" ht="17.25" customHeight="1">
      <c r="A509" s="14"/>
      <c r="B509" s="14"/>
      <c r="C509" s="14"/>
      <c r="D509" s="70"/>
      <c r="E509" s="85"/>
      <c r="F509" s="85"/>
      <c r="G509" s="85"/>
      <c r="H509" s="85"/>
      <c r="I509" s="85"/>
      <c r="J509" s="85"/>
      <c r="K509" s="85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77"/>
      <c r="AM509" s="77"/>
    </row>
    <row r="510" spans="4:39" s="87" customFormat="1" ht="17.25" customHeight="1">
      <c r="D510" s="8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95"/>
      <c r="U510" s="68"/>
      <c r="V510" s="95"/>
      <c r="W510" s="68"/>
      <c r="X510" s="99"/>
      <c r="Y510" s="68"/>
      <c r="Z510" s="99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93"/>
      <c r="AM510" s="93"/>
    </row>
    <row r="511" spans="4:39" s="87" customFormat="1" ht="17.25" customHeight="1">
      <c r="D511" s="8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95"/>
      <c r="U511" s="68"/>
      <c r="V511" s="95"/>
      <c r="W511" s="68"/>
      <c r="X511" s="99"/>
      <c r="Y511" s="68"/>
      <c r="Z511" s="99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93"/>
      <c r="AM511" s="93"/>
    </row>
    <row r="512" spans="4:39" s="87" customFormat="1" ht="17.25" customHeight="1">
      <c r="D512" s="8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95"/>
      <c r="U512" s="68"/>
      <c r="V512" s="95"/>
      <c r="W512" s="68"/>
      <c r="X512" s="98"/>
      <c r="Y512" s="68"/>
      <c r="Z512" s="98"/>
      <c r="AA512" s="68"/>
      <c r="AB512" s="68"/>
      <c r="AC512" s="68"/>
      <c r="AD512" s="68"/>
      <c r="AE512" s="68"/>
      <c r="AF512" s="68"/>
      <c r="AG512" s="68"/>
      <c r="AH512" s="140"/>
      <c r="AI512" s="68"/>
      <c r="AJ512" s="140"/>
      <c r="AK512" s="68"/>
      <c r="AL512" s="93"/>
      <c r="AM512" s="93"/>
    </row>
    <row r="513" spans="4:39" s="87" customFormat="1" ht="17.25" customHeight="1">
      <c r="D513" s="8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98"/>
      <c r="Y513" s="68"/>
      <c r="Z513" s="9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93"/>
      <c r="AM513" s="93"/>
    </row>
    <row r="514" spans="4:39" s="87" customFormat="1" ht="17.25" customHeight="1">
      <c r="D514" s="8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98"/>
      <c r="Y514" s="68"/>
      <c r="Z514" s="9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93"/>
      <c r="AM514" s="93"/>
    </row>
    <row r="515" spans="4:39" s="87" customFormat="1" ht="17.25" customHeight="1">
      <c r="D515" s="8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98">
        <v>22260</v>
      </c>
      <c r="Y515" s="68" t="s">
        <v>287</v>
      </c>
      <c r="Z515" s="98"/>
      <c r="AA515" s="68"/>
      <c r="AB515" s="68">
        <v>235595</v>
      </c>
      <c r="AC515" s="68" t="s">
        <v>361</v>
      </c>
      <c r="AD515" s="68"/>
      <c r="AE515" s="68"/>
      <c r="AF515" s="68"/>
      <c r="AG515" s="68"/>
      <c r="AH515" s="68"/>
      <c r="AI515" s="68"/>
      <c r="AJ515" s="68"/>
      <c r="AK515" s="68"/>
      <c r="AL515" s="93"/>
      <c r="AM515" s="93"/>
    </row>
    <row r="516" spans="4:39" s="87" customFormat="1" ht="17.25" customHeight="1">
      <c r="D516" s="8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98">
        <v>31920</v>
      </c>
      <c r="Y516" s="68" t="s">
        <v>288</v>
      </c>
      <c r="Z516" s="98"/>
      <c r="AA516" s="68"/>
      <c r="AB516" s="68">
        <v>11122</v>
      </c>
      <c r="AC516" s="68" t="s">
        <v>362</v>
      </c>
      <c r="AD516" s="68"/>
      <c r="AE516" s="68"/>
      <c r="AF516" s="68"/>
      <c r="AG516" s="68"/>
      <c r="AH516" s="68"/>
      <c r="AI516" s="68"/>
      <c r="AJ516" s="68"/>
      <c r="AK516" s="68"/>
      <c r="AL516" s="93"/>
      <c r="AM516" s="93"/>
    </row>
    <row r="517" spans="4:39" s="87" customFormat="1" ht="17.25" customHeight="1">
      <c r="D517" s="8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98">
        <v>700</v>
      </c>
      <c r="Y517" s="68" t="s">
        <v>289</v>
      </c>
      <c r="Z517" s="98"/>
      <c r="AA517" s="68"/>
      <c r="AB517" s="68">
        <v>132</v>
      </c>
      <c r="AC517" s="68" t="s">
        <v>363</v>
      </c>
      <c r="AD517" s="68"/>
      <c r="AE517" s="68"/>
      <c r="AF517" s="68"/>
      <c r="AG517" s="68"/>
      <c r="AH517" s="68"/>
      <c r="AI517" s="68"/>
      <c r="AJ517" s="68"/>
      <c r="AK517" s="68"/>
      <c r="AL517" s="93"/>
      <c r="AM517" s="93"/>
    </row>
    <row r="518" spans="4:39" s="87" customFormat="1" ht="17.25" customHeight="1">
      <c r="D518" s="8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98"/>
      <c r="Y518" s="68"/>
      <c r="Z518" s="98"/>
      <c r="AA518" s="68"/>
      <c r="AB518" s="68">
        <v>109757</v>
      </c>
      <c r="AC518" s="68" t="s">
        <v>366</v>
      </c>
      <c r="AD518" s="68"/>
      <c r="AE518" s="68"/>
      <c r="AF518" s="68"/>
      <c r="AG518" s="68"/>
      <c r="AH518" s="68"/>
      <c r="AI518" s="68"/>
      <c r="AJ518" s="68"/>
      <c r="AK518" s="68"/>
      <c r="AL518" s="93"/>
      <c r="AM518" s="93"/>
    </row>
    <row r="519" spans="4:39" s="87" customFormat="1" ht="17.25" customHeight="1">
      <c r="D519" s="8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99">
        <v>-20000</v>
      </c>
      <c r="X519" s="99"/>
      <c r="Y519" s="68" t="s">
        <v>291</v>
      </c>
      <c r="Z519" s="99"/>
      <c r="AA519" s="68"/>
      <c r="AB519" s="140">
        <f>SUM(AB508:AB518)</f>
        <v>356606</v>
      </c>
      <c r="AC519" s="68">
        <f>SUM(AB519)</f>
        <v>356606</v>
      </c>
      <c r="AD519" s="140"/>
      <c r="AE519" s="68"/>
      <c r="AF519" s="140"/>
      <c r="AG519" s="68"/>
      <c r="AH519" s="140"/>
      <c r="AI519" s="68"/>
      <c r="AJ519" s="140"/>
      <c r="AK519" s="68"/>
      <c r="AL519" s="93"/>
      <c r="AM519" s="93"/>
    </row>
    <row r="520" spans="4:39" s="87" customFormat="1" ht="17.25" customHeight="1">
      <c r="D520" s="8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99"/>
      <c r="X520" s="99">
        <v>20000</v>
      </c>
      <c r="Y520" s="68" t="s">
        <v>290</v>
      </c>
      <c r="Z520" s="99"/>
      <c r="AA520" s="68"/>
      <c r="AB520" s="99"/>
      <c r="AC520" s="68"/>
      <c r="AD520" s="99"/>
      <c r="AE520" s="68"/>
      <c r="AF520" s="99"/>
      <c r="AG520" s="68"/>
      <c r="AH520" s="99"/>
      <c r="AI520" s="68"/>
      <c r="AJ520" s="99"/>
      <c r="AK520" s="68"/>
      <c r="AL520" s="93"/>
      <c r="AM520" s="93"/>
    </row>
    <row r="521" spans="4:39" s="87" customFormat="1" ht="17.25" customHeight="1">
      <c r="D521" s="8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99"/>
      <c r="X521" s="99"/>
      <c r="Y521" s="68"/>
      <c r="Z521" s="99"/>
      <c r="AA521" s="68"/>
      <c r="AB521" s="99"/>
      <c r="AC521" s="68"/>
      <c r="AD521" s="99"/>
      <c r="AE521" s="68"/>
      <c r="AF521" s="99"/>
      <c r="AG521" s="68"/>
      <c r="AH521" s="99"/>
      <c r="AI521" s="68"/>
      <c r="AJ521" s="99"/>
      <c r="AK521" s="68"/>
      <c r="AL521" s="93"/>
      <c r="AM521" s="93"/>
    </row>
    <row r="522" spans="4:39" s="87" customFormat="1" ht="17.25" customHeight="1">
      <c r="D522" s="8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99"/>
      <c r="X522" s="99"/>
      <c r="Y522" s="68"/>
      <c r="Z522" s="99"/>
      <c r="AA522" s="68"/>
      <c r="AB522" s="99"/>
      <c r="AC522" s="68"/>
      <c r="AD522" s="99"/>
      <c r="AE522" s="68"/>
      <c r="AF522" s="99"/>
      <c r="AG522" s="68"/>
      <c r="AH522" s="99"/>
      <c r="AI522" s="68"/>
      <c r="AJ522" s="99"/>
      <c r="AK522" s="68"/>
      <c r="AL522" s="93"/>
      <c r="AM522" s="93"/>
    </row>
    <row r="523" spans="4:39" s="87" customFormat="1" ht="17.25" customHeight="1">
      <c r="D523" s="8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99"/>
      <c r="X523" s="99"/>
      <c r="Y523" s="68"/>
      <c r="Z523" s="99"/>
      <c r="AA523" s="68"/>
      <c r="AB523" s="99"/>
      <c r="AC523" s="68"/>
      <c r="AD523" s="99"/>
      <c r="AE523" s="68"/>
      <c r="AF523" s="99"/>
      <c r="AG523" s="68"/>
      <c r="AH523" s="99"/>
      <c r="AI523" s="68"/>
      <c r="AJ523" s="99"/>
      <c r="AK523" s="68"/>
      <c r="AL523" s="93"/>
      <c r="AM523" s="93"/>
    </row>
    <row r="524" spans="4:39" s="87" customFormat="1" ht="17.25" customHeight="1">
      <c r="D524" s="8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99"/>
      <c r="X524" s="99"/>
      <c r="Y524" s="68"/>
      <c r="Z524" s="99"/>
      <c r="AA524" s="68"/>
      <c r="AB524" s="99"/>
      <c r="AC524" s="68"/>
      <c r="AD524" s="99"/>
      <c r="AE524" s="68"/>
      <c r="AF524" s="99"/>
      <c r="AG524" s="68"/>
      <c r="AH524" s="99"/>
      <c r="AI524" s="68"/>
      <c r="AJ524" s="99"/>
      <c r="AK524" s="68"/>
      <c r="AL524" s="93"/>
      <c r="AM524" s="93"/>
    </row>
    <row r="525" spans="4:39" s="87" customFormat="1" ht="17.25" customHeight="1">
      <c r="D525" s="8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99"/>
      <c r="X525" s="99"/>
      <c r="Y525" s="68"/>
      <c r="Z525" s="99"/>
      <c r="AA525" s="68"/>
      <c r="AB525" s="99"/>
      <c r="AC525" s="68"/>
      <c r="AD525" s="99"/>
      <c r="AE525" s="68"/>
      <c r="AF525" s="99"/>
      <c r="AG525" s="68"/>
      <c r="AH525" s="99"/>
      <c r="AI525" s="68"/>
      <c r="AJ525" s="99"/>
      <c r="AK525" s="68"/>
      <c r="AL525" s="93"/>
      <c r="AM525" s="93"/>
    </row>
    <row r="526" spans="4:39" s="87" customFormat="1" ht="17.25" customHeight="1">
      <c r="D526" s="8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99"/>
      <c r="X526" s="99"/>
      <c r="Y526" s="68"/>
      <c r="Z526" s="99"/>
      <c r="AA526" s="68"/>
      <c r="AB526" s="99"/>
      <c r="AC526" s="68"/>
      <c r="AD526" s="99"/>
      <c r="AE526" s="68"/>
      <c r="AF526" s="99"/>
      <c r="AG526" s="68"/>
      <c r="AH526" s="99"/>
      <c r="AI526" s="68"/>
      <c r="AJ526" s="99"/>
      <c r="AK526" s="68"/>
      <c r="AL526" s="93"/>
      <c r="AM526" s="93"/>
    </row>
    <row r="527" spans="4:39" s="87" customFormat="1" ht="17.25" customHeight="1">
      <c r="D527" s="8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99"/>
      <c r="X527" s="99"/>
      <c r="Y527" s="68"/>
      <c r="Z527" s="99"/>
      <c r="AA527" s="68"/>
      <c r="AB527" s="99"/>
      <c r="AC527" s="68"/>
      <c r="AD527" s="99"/>
      <c r="AE527" s="68"/>
      <c r="AF527" s="99"/>
      <c r="AG527" s="68"/>
      <c r="AH527" s="99"/>
      <c r="AI527" s="68"/>
      <c r="AJ527" s="99"/>
      <c r="AK527" s="68"/>
      <c r="AL527" s="93"/>
      <c r="AM527" s="93"/>
    </row>
    <row r="528" spans="4:39" s="87" customFormat="1" ht="17.25" customHeight="1">
      <c r="D528" s="8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99"/>
      <c r="X528" s="99"/>
      <c r="Y528" s="68"/>
      <c r="Z528" s="99"/>
      <c r="AA528" s="68"/>
      <c r="AB528" s="99"/>
      <c r="AC528" s="68"/>
      <c r="AD528" s="99"/>
      <c r="AE528" s="68"/>
      <c r="AF528" s="99"/>
      <c r="AG528" s="68"/>
      <c r="AH528" s="99"/>
      <c r="AI528" s="68"/>
      <c r="AJ528" s="99"/>
      <c r="AK528" s="68"/>
      <c r="AL528" s="93"/>
      <c r="AM528" s="93"/>
    </row>
    <row r="529" spans="4:39" s="87" customFormat="1" ht="17.25" customHeight="1">
      <c r="D529" s="8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99"/>
      <c r="X529" s="99"/>
      <c r="Y529" s="68"/>
      <c r="Z529" s="99"/>
      <c r="AA529" s="68"/>
      <c r="AB529" s="99"/>
      <c r="AC529" s="68"/>
      <c r="AD529" s="99"/>
      <c r="AE529" s="68"/>
      <c r="AF529" s="99"/>
      <c r="AG529" s="68"/>
      <c r="AH529" s="99"/>
      <c r="AI529" s="68"/>
      <c r="AJ529" s="99"/>
      <c r="AK529" s="68"/>
      <c r="AL529" s="93"/>
      <c r="AM529" s="93"/>
    </row>
    <row r="530" spans="4:39" s="87" customFormat="1" ht="17.25" customHeight="1">
      <c r="D530" s="8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98">
        <v>-26752</v>
      </c>
      <c r="X530" s="68"/>
      <c r="Y530" s="68"/>
      <c r="Z530" s="68"/>
      <c r="AA530" s="68"/>
      <c r="AB530" s="68"/>
      <c r="AC530" s="68"/>
      <c r="AD530" s="68"/>
      <c r="AE530" s="140"/>
      <c r="AF530" s="68"/>
      <c r="AG530" s="140"/>
      <c r="AH530" s="68"/>
      <c r="AI530" s="140"/>
      <c r="AJ530" s="68"/>
      <c r="AK530" s="140"/>
      <c r="AL530" s="93"/>
      <c r="AM530" s="93"/>
    </row>
    <row r="531" spans="4:39" s="87" customFormat="1" ht="17.25" customHeight="1">
      <c r="D531" s="8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99">
        <v>26752</v>
      </c>
      <c r="Y531" s="68" t="s">
        <v>292</v>
      </c>
      <c r="Z531" s="99"/>
      <c r="AA531" s="68"/>
      <c r="AB531" s="99"/>
      <c r="AC531" s="68"/>
      <c r="AD531" s="99"/>
      <c r="AE531" s="68"/>
      <c r="AF531" s="99"/>
      <c r="AG531" s="68"/>
      <c r="AH531" s="99"/>
      <c r="AI531" s="68"/>
      <c r="AJ531" s="99"/>
      <c r="AK531" s="68"/>
      <c r="AL531" s="93"/>
      <c r="AM531" s="93"/>
    </row>
    <row r="532" spans="4:39" s="87" customFormat="1" ht="17.25" customHeight="1">
      <c r="D532" s="8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98">
        <v>20500</v>
      </c>
      <c r="Y532" s="68" t="s">
        <v>293</v>
      </c>
      <c r="Z532" s="98"/>
      <c r="AA532" s="68"/>
      <c r="AB532" s="98"/>
      <c r="AC532" s="68"/>
      <c r="AD532" s="98"/>
      <c r="AE532" s="68"/>
      <c r="AF532" s="98"/>
      <c r="AG532" s="68"/>
      <c r="AH532" s="98"/>
      <c r="AI532" s="68"/>
      <c r="AJ532" s="98"/>
      <c r="AK532" s="68"/>
      <c r="AL532" s="93"/>
      <c r="AM532" s="93"/>
    </row>
    <row r="533" spans="4:39" s="87" customFormat="1" ht="17.25" customHeight="1">
      <c r="D533" s="8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98">
        <v>52500</v>
      </c>
      <c r="Y533" s="68" t="s">
        <v>306</v>
      </c>
      <c r="Z533" s="98"/>
      <c r="AA533" s="68"/>
      <c r="AB533" s="98"/>
      <c r="AC533" s="68"/>
      <c r="AD533" s="98"/>
      <c r="AE533" s="68"/>
      <c r="AF533" s="98"/>
      <c r="AG533" s="68"/>
      <c r="AH533" s="98"/>
      <c r="AI533" s="68"/>
      <c r="AJ533" s="98"/>
      <c r="AK533" s="68"/>
      <c r="AL533" s="93"/>
      <c r="AM533" s="100"/>
    </row>
    <row r="534" spans="4:39" s="87" customFormat="1" ht="17.25" customHeight="1">
      <c r="D534" s="8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99">
        <v>-250000</v>
      </c>
      <c r="X534" s="68"/>
      <c r="Y534" s="68" t="s">
        <v>211</v>
      </c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93"/>
      <c r="AM534" s="100"/>
    </row>
    <row r="535" spans="4:39" s="87" customFormat="1" ht="17.25" customHeight="1">
      <c r="D535" s="8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99">
        <v>-781200</v>
      </c>
      <c r="X535" s="68"/>
      <c r="Y535" s="68" t="s">
        <v>294</v>
      </c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93"/>
      <c r="AM535" s="93"/>
    </row>
    <row r="536" spans="4:39" s="87" customFormat="1" ht="17.25" customHeight="1">
      <c r="D536" s="8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98">
        <f>-2200</f>
        <v>-2200</v>
      </c>
      <c r="X536" s="68"/>
      <c r="Y536" s="68" t="s">
        <v>295</v>
      </c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93"/>
      <c r="AM536" s="93"/>
    </row>
    <row r="537" spans="4:39" s="87" customFormat="1" ht="17.25" customHeight="1">
      <c r="D537" s="8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 t="s">
        <v>296</v>
      </c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93"/>
      <c r="AM537" s="93"/>
    </row>
    <row r="538" spans="4:39" s="87" customFormat="1" ht="17.25" customHeight="1">
      <c r="D538" s="8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98">
        <v>2211</v>
      </c>
      <c r="Y538" s="68" t="s">
        <v>285</v>
      </c>
      <c r="Z538" s="98"/>
      <c r="AA538" s="68"/>
      <c r="AB538" s="98"/>
      <c r="AC538" s="68"/>
      <c r="AD538" s="98"/>
      <c r="AE538" s="68"/>
      <c r="AF538" s="98"/>
      <c r="AG538" s="68"/>
      <c r="AH538" s="98"/>
      <c r="AI538" s="68"/>
      <c r="AJ538" s="98"/>
      <c r="AK538" s="68"/>
      <c r="AL538" s="93"/>
      <c r="AM538" s="93"/>
    </row>
    <row r="539" spans="4:39" s="87" customFormat="1" ht="17.25" customHeight="1">
      <c r="D539" s="8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98">
        <v>20250</v>
      </c>
      <c r="Y539" s="68" t="s">
        <v>299</v>
      </c>
      <c r="Z539" s="98"/>
      <c r="AA539" s="68"/>
      <c r="AB539" s="98"/>
      <c r="AC539" s="68"/>
      <c r="AD539" s="98"/>
      <c r="AE539" s="68"/>
      <c r="AF539" s="98"/>
      <c r="AG539" s="68"/>
      <c r="AH539" s="98"/>
      <c r="AI539" s="68"/>
      <c r="AJ539" s="98"/>
      <c r="AK539" s="68"/>
      <c r="AL539" s="93"/>
      <c r="AM539" s="93"/>
    </row>
    <row r="540" spans="4:39" s="87" customFormat="1" ht="17.25" customHeight="1">
      <c r="D540" s="8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98">
        <v>37000</v>
      </c>
      <c r="Y540" s="68" t="s">
        <v>297</v>
      </c>
      <c r="Z540" s="98"/>
      <c r="AA540" s="68"/>
      <c r="AB540" s="98"/>
      <c r="AC540" s="68"/>
      <c r="AD540" s="98"/>
      <c r="AE540" s="68"/>
      <c r="AF540" s="98"/>
      <c r="AG540" s="68"/>
      <c r="AH540" s="98"/>
      <c r="AI540" s="68"/>
      <c r="AJ540" s="98"/>
      <c r="AK540" s="68"/>
      <c r="AL540" s="93"/>
      <c r="AM540" s="93"/>
    </row>
    <row r="541" spans="4:39" s="87" customFormat="1" ht="17.25" customHeight="1">
      <c r="D541" s="8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98">
        <v>14060</v>
      </c>
      <c r="Y541" s="68" t="s">
        <v>300</v>
      </c>
      <c r="Z541" s="98"/>
      <c r="AA541" s="68"/>
      <c r="AB541" s="98"/>
      <c r="AC541" s="68"/>
      <c r="AD541" s="98"/>
      <c r="AE541" s="68"/>
      <c r="AF541" s="98"/>
      <c r="AG541" s="68"/>
      <c r="AH541" s="98"/>
      <c r="AI541" s="68"/>
      <c r="AJ541" s="98"/>
      <c r="AK541" s="68"/>
      <c r="AL541" s="93"/>
      <c r="AM541" s="93"/>
    </row>
    <row r="542" spans="4:39" s="87" customFormat="1" ht="17.25" customHeight="1">
      <c r="D542" s="8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98">
        <v>8000</v>
      </c>
      <c r="Y542" s="68" t="s">
        <v>298</v>
      </c>
      <c r="Z542" s="98"/>
      <c r="AA542" s="68"/>
      <c r="AB542" s="98"/>
      <c r="AC542" s="68"/>
      <c r="AD542" s="98"/>
      <c r="AE542" s="68"/>
      <c r="AF542" s="98"/>
      <c r="AG542" s="68"/>
      <c r="AH542" s="98"/>
      <c r="AI542" s="68"/>
      <c r="AJ542" s="98"/>
      <c r="AK542" s="68"/>
      <c r="AL542" s="93"/>
      <c r="AM542" s="93"/>
    </row>
    <row r="543" spans="4:39" s="87" customFormat="1" ht="17.25" customHeight="1">
      <c r="D543" s="8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98">
        <v>2000</v>
      </c>
      <c r="Y543" s="68" t="s">
        <v>301</v>
      </c>
      <c r="Z543" s="98"/>
      <c r="AA543" s="68"/>
      <c r="AB543" s="98"/>
      <c r="AC543" s="68"/>
      <c r="AD543" s="98"/>
      <c r="AE543" s="68"/>
      <c r="AF543" s="98"/>
      <c r="AG543" s="68"/>
      <c r="AH543" s="98"/>
      <c r="AI543" s="68"/>
      <c r="AJ543" s="98"/>
      <c r="AK543" s="68"/>
      <c r="AL543" s="93"/>
      <c r="AM543" s="93"/>
    </row>
    <row r="544" spans="4:39" s="87" customFormat="1" ht="17.25" customHeight="1">
      <c r="D544" s="8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98">
        <v>10000</v>
      </c>
      <c r="Y544" s="68" t="s">
        <v>302</v>
      </c>
      <c r="Z544" s="98"/>
      <c r="AA544" s="68"/>
      <c r="AB544" s="98"/>
      <c r="AC544" s="68"/>
      <c r="AD544" s="98"/>
      <c r="AE544" s="68"/>
      <c r="AF544" s="98"/>
      <c r="AG544" s="68"/>
      <c r="AH544" s="98"/>
      <c r="AI544" s="68"/>
      <c r="AJ544" s="98"/>
      <c r="AK544" s="68"/>
      <c r="AL544" s="93"/>
      <c r="AM544" s="93"/>
    </row>
    <row r="545" spans="4:39" s="87" customFormat="1" ht="17.25" customHeight="1">
      <c r="D545" s="8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98">
        <v>40000</v>
      </c>
      <c r="Y545" s="68" t="s">
        <v>303</v>
      </c>
      <c r="Z545" s="98"/>
      <c r="AA545" s="68"/>
      <c r="AB545" s="98"/>
      <c r="AC545" s="68"/>
      <c r="AD545" s="98"/>
      <c r="AE545" s="68"/>
      <c r="AF545" s="98"/>
      <c r="AG545" s="68"/>
      <c r="AH545" s="98"/>
      <c r="AI545" s="68"/>
      <c r="AJ545" s="98"/>
      <c r="AK545" s="68"/>
      <c r="AL545" s="93"/>
      <c r="AM545" s="93"/>
    </row>
    <row r="546" spans="4:39" s="87" customFormat="1" ht="17.25" customHeight="1">
      <c r="D546" s="8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99">
        <v>-20000</v>
      </c>
      <c r="X546" s="68"/>
      <c r="Y546" s="68" t="s">
        <v>304</v>
      </c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93"/>
      <c r="AM546" s="93"/>
    </row>
    <row r="547" spans="4:39" s="87" customFormat="1" ht="17.25" customHeight="1">
      <c r="D547" s="8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98">
        <v>5000</v>
      </c>
      <c r="Y547" s="68" t="s">
        <v>305</v>
      </c>
      <c r="Z547" s="98"/>
      <c r="AA547" s="68"/>
      <c r="AB547" s="98"/>
      <c r="AC547" s="68"/>
      <c r="AD547" s="98"/>
      <c r="AE547" s="68"/>
      <c r="AF547" s="98"/>
      <c r="AG547" s="68"/>
      <c r="AH547" s="98"/>
      <c r="AI547" s="68"/>
      <c r="AJ547" s="98"/>
      <c r="AK547" s="68"/>
      <c r="AL547" s="93"/>
      <c r="AM547" s="93"/>
    </row>
    <row r="548" spans="4:39" s="87" customFormat="1" ht="17.25" customHeight="1">
      <c r="D548" s="8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98">
        <v>205164</v>
      </c>
      <c r="Y548" s="68" t="s">
        <v>227</v>
      </c>
      <c r="Z548" s="98"/>
      <c r="AA548" s="68"/>
      <c r="AB548" s="98"/>
      <c r="AC548" s="68"/>
      <c r="AD548" s="98"/>
      <c r="AE548" s="68"/>
      <c r="AF548" s="98"/>
      <c r="AG548" s="68"/>
      <c r="AH548" s="98"/>
      <c r="AI548" s="68"/>
      <c r="AJ548" s="98"/>
      <c r="AK548" s="68"/>
      <c r="AL548" s="93"/>
      <c r="AM548" s="93"/>
    </row>
    <row r="549" spans="4:39" s="87" customFormat="1" ht="17.25" customHeight="1">
      <c r="D549" s="8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99">
        <v>100000</v>
      </c>
      <c r="Y549" s="68" t="s">
        <v>307</v>
      </c>
      <c r="Z549" s="99"/>
      <c r="AA549" s="68"/>
      <c r="AB549" s="99"/>
      <c r="AC549" s="68"/>
      <c r="AD549" s="99"/>
      <c r="AE549" s="68"/>
      <c r="AF549" s="99"/>
      <c r="AG549" s="68"/>
      <c r="AH549" s="99"/>
      <c r="AI549" s="68"/>
      <c r="AJ549" s="99"/>
      <c r="AK549" s="68"/>
      <c r="AL549" s="93"/>
      <c r="AM549" s="93"/>
    </row>
    <row r="550" spans="4:39" s="87" customFormat="1" ht="17.25" customHeight="1">
      <c r="D550" s="8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98">
        <v>-10376</v>
      </c>
      <c r="X550" s="98"/>
      <c r="Y550" s="68" t="s">
        <v>308</v>
      </c>
      <c r="Z550" s="98"/>
      <c r="AA550" s="68"/>
      <c r="AB550" s="98"/>
      <c r="AC550" s="68"/>
      <c r="AD550" s="98"/>
      <c r="AE550" s="68"/>
      <c r="AF550" s="98"/>
      <c r="AG550" s="68"/>
      <c r="AH550" s="98"/>
      <c r="AI550" s="68"/>
      <c r="AJ550" s="98"/>
      <c r="AK550" s="68"/>
      <c r="AL550" s="93"/>
      <c r="AM550" s="93"/>
    </row>
    <row r="551" spans="4:39" s="87" customFormat="1" ht="17.25" customHeight="1">
      <c r="D551" s="8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98"/>
      <c r="X551" s="98">
        <v>20376</v>
      </c>
      <c r="Y551" s="68" t="s">
        <v>309</v>
      </c>
      <c r="Z551" s="98"/>
      <c r="AA551" s="68"/>
      <c r="AB551" s="98"/>
      <c r="AC551" s="68"/>
      <c r="AD551" s="98"/>
      <c r="AE551" s="68"/>
      <c r="AF551" s="98"/>
      <c r="AG551" s="68"/>
      <c r="AH551" s="98"/>
      <c r="AI551" s="68"/>
      <c r="AJ551" s="98"/>
      <c r="AK551" s="68"/>
      <c r="AL551" s="93"/>
      <c r="AM551" s="93"/>
    </row>
    <row r="552" spans="4:39" s="87" customFormat="1" ht="17.25" customHeight="1">
      <c r="D552" s="8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98">
        <v>1500</v>
      </c>
      <c r="Y552" s="68" t="s">
        <v>310</v>
      </c>
      <c r="Z552" s="98"/>
      <c r="AA552" s="68"/>
      <c r="AB552" s="98"/>
      <c r="AC552" s="68"/>
      <c r="AD552" s="98"/>
      <c r="AE552" s="68"/>
      <c r="AF552" s="98"/>
      <c r="AG552" s="68"/>
      <c r="AH552" s="98"/>
      <c r="AI552" s="68"/>
      <c r="AJ552" s="98"/>
      <c r="AK552" s="68"/>
      <c r="AL552" s="93"/>
      <c r="AM552" s="93"/>
    </row>
    <row r="553" spans="4:39" s="87" customFormat="1" ht="17.25" customHeight="1">
      <c r="D553" s="8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98">
        <v>1909</v>
      </c>
      <c r="Y553" s="68" t="s">
        <v>311</v>
      </c>
      <c r="Z553" s="98"/>
      <c r="AA553" s="68"/>
      <c r="AB553" s="98"/>
      <c r="AC553" s="68"/>
      <c r="AD553" s="98"/>
      <c r="AE553" s="68"/>
      <c r="AF553" s="98"/>
      <c r="AG553" s="68"/>
      <c r="AH553" s="98"/>
      <c r="AI553" s="68"/>
      <c r="AJ553" s="98"/>
      <c r="AK553" s="68"/>
      <c r="AL553" s="93"/>
      <c r="AM553" s="93"/>
    </row>
    <row r="554" spans="4:39" s="87" customFormat="1" ht="17.25" customHeight="1">
      <c r="D554" s="8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99">
        <v>2967195</v>
      </c>
      <c r="Y554" s="68" t="s">
        <v>267</v>
      </c>
      <c r="Z554" s="99"/>
      <c r="AA554" s="68"/>
      <c r="AB554" s="99"/>
      <c r="AC554" s="68"/>
      <c r="AD554" s="99"/>
      <c r="AE554" s="68"/>
      <c r="AF554" s="99"/>
      <c r="AG554" s="68"/>
      <c r="AH554" s="99"/>
      <c r="AI554" s="68"/>
      <c r="AJ554" s="99"/>
      <c r="AK554" s="68"/>
      <c r="AL554" s="93"/>
      <c r="AM554" s="93"/>
    </row>
    <row r="555" spans="4:39" s="87" customFormat="1" ht="17.25" customHeight="1">
      <c r="D555" s="8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99">
        <v>167246</v>
      </c>
      <c r="Y555" s="68" t="s">
        <v>296</v>
      </c>
      <c r="Z555" s="99"/>
      <c r="AA555" s="68"/>
      <c r="AB555" s="99"/>
      <c r="AC555" s="68"/>
      <c r="AD555" s="99"/>
      <c r="AE555" s="68"/>
      <c r="AF555" s="99"/>
      <c r="AG555" s="68"/>
      <c r="AH555" s="99"/>
      <c r="AI555" s="68"/>
      <c r="AJ555" s="99"/>
      <c r="AK555" s="68"/>
      <c r="AL555" s="93"/>
      <c r="AM555" s="93"/>
    </row>
    <row r="556" spans="4:39" s="87" customFormat="1" ht="17.25" customHeight="1">
      <c r="D556" s="8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98">
        <v>58000</v>
      </c>
      <c r="Y556" s="68" t="s">
        <v>268</v>
      </c>
      <c r="Z556" s="98"/>
      <c r="AA556" s="68"/>
      <c r="AB556" s="98"/>
      <c r="AC556" s="68"/>
      <c r="AD556" s="98"/>
      <c r="AE556" s="68"/>
      <c r="AF556" s="98"/>
      <c r="AG556" s="68"/>
      <c r="AH556" s="98"/>
      <c r="AI556" s="68"/>
      <c r="AJ556" s="98"/>
      <c r="AK556" s="68"/>
      <c r="AL556" s="93"/>
      <c r="AM556" s="93"/>
    </row>
    <row r="557" spans="4:39" s="87" customFormat="1" ht="17.25" customHeight="1">
      <c r="D557" s="8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98">
        <v>-279000</v>
      </c>
      <c r="X557" s="68"/>
      <c r="Y557" s="68" t="s">
        <v>212</v>
      </c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93"/>
      <c r="AM557" s="93"/>
    </row>
    <row r="558" spans="4:39" s="87" customFormat="1" ht="17.25" customHeight="1">
      <c r="D558" s="8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93"/>
      <c r="AM558" s="93"/>
    </row>
    <row r="559" spans="4:39" s="87" customFormat="1" ht="17.25" customHeight="1">
      <c r="D559" s="8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99">
        <v>-20000</v>
      </c>
      <c r="X559" s="68"/>
      <c r="Y559" s="68" t="s">
        <v>214</v>
      </c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93"/>
      <c r="AM559" s="93"/>
    </row>
    <row r="560" spans="4:39" s="87" customFormat="1" ht="17.25" customHeight="1">
      <c r="D560" s="8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99">
        <v>-661</v>
      </c>
      <c r="X560" s="68"/>
      <c r="Y560" s="68" t="s">
        <v>213</v>
      </c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93"/>
      <c r="AM560" s="93"/>
    </row>
    <row r="561" spans="4:39" s="87" customFormat="1" ht="17.25" customHeight="1">
      <c r="D561" s="8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98">
        <v>100000</v>
      </c>
      <c r="Y561" s="68" t="s">
        <v>307</v>
      </c>
      <c r="Z561" s="98"/>
      <c r="AA561" s="68"/>
      <c r="AB561" s="98"/>
      <c r="AC561" s="68"/>
      <c r="AD561" s="98"/>
      <c r="AE561" s="68"/>
      <c r="AF561" s="98"/>
      <c r="AG561" s="68"/>
      <c r="AH561" s="98"/>
      <c r="AI561" s="68"/>
      <c r="AJ561" s="98"/>
      <c r="AK561" s="68"/>
      <c r="AL561" s="93"/>
      <c r="AM561" s="93"/>
    </row>
    <row r="562" spans="4:39" s="87" customFormat="1" ht="17.25" customHeight="1">
      <c r="D562" s="8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98">
        <v>-20000</v>
      </c>
      <c r="X562" s="68"/>
      <c r="Y562" s="68" t="s">
        <v>215</v>
      </c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93"/>
      <c r="AM562" s="93"/>
    </row>
    <row r="563" spans="4:39" s="87" customFormat="1" ht="17.25" customHeight="1">
      <c r="D563" s="8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99">
        <v>-500</v>
      </c>
      <c r="X563" s="68"/>
      <c r="Y563" s="68" t="s">
        <v>217</v>
      </c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93"/>
      <c r="AM563" s="93"/>
    </row>
    <row r="564" spans="4:39" s="87" customFormat="1" ht="17.25" customHeight="1">
      <c r="D564" s="8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98">
        <v>-200000</v>
      </c>
      <c r="X564" s="68"/>
      <c r="Y564" s="68" t="s">
        <v>216</v>
      </c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93"/>
      <c r="AM564" s="93"/>
    </row>
    <row r="565" spans="4:39" s="87" customFormat="1" ht="17.25" customHeight="1">
      <c r="D565" s="8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99">
        <v>-20000</v>
      </c>
      <c r="X565" s="68"/>
      <c r="Y565" s="68" t="s">
        <v>218</v>
      </c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93"/>
      <c r="AM565" s="93"/>
    </row>
    <row r="566" spans="4:39" s="87" customFormat="1" ht="17.25" customHeight="1">
      <c r="D566" s="8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>
        <v>32762</v>
      </c>
      <c r="S566" s="68"/>
      <c r="T566" s="68">
        <v>500000</v>
      </c>
      <c r="U566" s="68" t="s">
        <v>36</v>
      </c>
      <c r="V566" s="68"/>
      <c r="W566" s="95">
        <f>SUM(W508:W565)</f>
        <v>-1650689</v>
      </c>
      <c r="X566" s="95">
        <f>SUM(X508:X565)</f>
        <v>3934543</v>
      </c>
      <c r="Y566" s="68"/>
      <c r="Z566" s="95"/>
      <c r="AA566" s="68"/>
      <c r="AB566" s="95"/>
      <c r="AC566" s="68"/>
      <c r="AD566" s="95"/>
      <c r="AE566" s="68"/>
      <c r="AF566" s="95"/>
      <c r="AG566" s="68"/>
      <c r="AH566" s="95"/>
      <c r="AI566" s="68"/>
      <c r="AJ566" s="95"/>
      <c r="AK566" s="68"/>
      <c r="AL566" s="93"/>
      <c r="AM566" s="93"/>
    </row>
    <row r="567" spans="4:39" s="87" customFormat="1" ht="17.25" customHeight="1">
      <c r="D567" s="8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>
        <v>3621</v>
      </c>
      <c r="S567" s="68"/>
      <c r="T567" s="68">
        <v>600000</v>
      </c>
      <c r="U567" s="68" t="s">
        <v>37</v>
      </c>
      <c r="V567" s="68"/>
      <c r="W567" s="68"/>
      <c r="X567" s="68">
        <f>SUM(W566:X566)</f>
        <v>2283854</v>
      </c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93"/>
      <c r="AM567" s="93"/>
    </row>
    <row r="568" spans="4:39" s="87" customFormat="1" ht="17.25" customHeight="1">
      <c r="D568" s="8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>
        <v>5000</v>
      </c>
      <c r="U568" s="68" t="s">
        <v>313</v>
      </c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93"/>
      <c r="AM568" s="93"/>
    </row>
    <row r="569" spans="4:39" s="87" customFormat="1" ht="17.25" customHeight="1">
      <c r="D569" s="8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>
        <v>25000</v>
      </c>
      <c r="U569" s="68" t="s">
        <v>314</v>
      </c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93"/>
      <c r="AM569" s="93"/>
    </row>
    <row r="570" spans="4:39" s="87" customFormat="1" ht="17.25" customHeight="1">
      <c r="D570" s="8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 t="s">
        <v>205</v>
      </c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93"/>
      <c r="AM570" s="93"/>
    </row>
    <row r="571" spans="4:39" s="87" customFormat="1" ht="17.25" customHeight="1">
      <c r="D571" s="8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 t="s">
        <v>206</v>
      </c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93"/>
      <c r="AM571" s="93"/>
    </row>
    <row r="572" spans="4:39" s="87" customFormat="1" ht="17.25" customHeight="1">
      <c r="D572" s="8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 t="s">
        <v>207</v>
      </c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93"/>
      <c r="AM572" s="93"/>
    </row>
    <row r="573" spans="4:39" s="87" customFormat="1" ht="17.25" customHeight="1">
      <c r="D573" s="8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 t="s">
        <v>208</v>
      </c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93"/>
      <c r="AM573" s="93"/>
    </row>
    <row r="574" spans="4:39" s="87" customFormat="1" ht="17.25" customHeight="1">
      <c r="D574" s="8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 t="s">
        <v>209</v>
      </c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93"/>
      <c r="AM574" s="93"/>
    </row>
    <row r="575" spans="4:39" s="87" customFormat="1" ht="17.25" customHeight="1">
      <c r="D575" s="8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 t="s">
        <v>210</v>
      </c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93"/>
      <c r="AM575" s="93"/>
    </row>
    <row r="576" spans="4:39" s="87" customFormat="1" ht="17.25" customHeight="1">
      <c r="D576" s="8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>
        <v>447</v>
      </c>
      <c r="U576" s="68" t="s">
        <v>9</v>
      </c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93"/>
      <c r="AM576" s="93"/>
    </row>
    <row r="577" spans="4:39" s="87" customFormat="1" ht="17.25" customHeight="1">
      <c r="D577" s="8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95">
        <v>192361</v>
      </c>
      <c r="U577" s="68" t="s">
        <v>10</v>
      </c>
      <c r="V577" s="95"/>
      <c r="W577" s="68"/>
      <c r="X577" s="95"/>
      <c r="Y577" s="68"/>
      <c r="Z577" s="95"/>
      <c r="AA577" s="68"/>
      <c r="AB577" s="95"/>
      <c r="AC577" s="68"/>
      <c r="AD577" s="95"/>
      <c r="AE577" s="68"/>
      <c r="AF577" s="95"/>
      <c r="AG577" s="68"/>
      <c r="AH577" s="95"/>
      <c r="AI577" s="68"/>
      <c r="AJ577" s="95"/>
      <c r="AK577" s="68"/>
      <c r="AL577" s="93"/>
      <c r="AM577" s="93"/>
    </row>
    <row r="578" spans="4:39" s="87" customFormat="1" ht="17.25" customHeight="1">
      <c r="D578" s="8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>
        <v>1064</v>
      </c>
      <c r="U578" s="68" t="s">
        <v>257</v>
      </c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93"/>
      <c r="AM578" s="93"/>
    </row>
    <row r="579" spans="4:39" s="87" customFormat="1" ht="17.25" customHeight="1">
      <c r="D579" s="8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>
        <v>62000</v>
      </c>
      <c r="S579" s="68"/>
      <c r="T579" s="95">
        <f>SUM(T510:T578)</f>
        <v>1323872</v>
      </c>
      <c r="U579" s="68"/>
      <c r="V579" s="95"/>
      <c r="W579" s="68"/>
      <c r="X579" s="95"/>
      <c r="Y579" s="68"/>
      <c r="Z579" s="95"/>
      <c r="AA579" s="68"/>
      <c r="AB579" s="95"/>
      <c r="AC579" s="68"/>
      <c r="AD579" s="95"/>
      <c r="AE579" s="68"/>
      <c r="AF579" s="95"/>
      <c r="AG579" s="68"/>
      <c r="AH579" s="95"/>
      <c r="AI579" s="68"/>
      <c r="AJ579" s="95"/>
      <c r="AK579" s="68"/>
      <c r="AL579" s="93"/>
      <c r="AM579" s="93"/>
    </row>
    <row r="580" spans="4:39" s="87" customFormat="1" ht="17.25" customHeight="1">
      <c r="D580" s="8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95">
        <f>SUM(Q510:Q513)</f>
        <v>0</v>
      </c>
      <c r="R580" s="95">
        <f>SUM(R510:R579)</f>
        <v>98383</v>
      </c>
      <c r="S580" s="68"/>
      <c r="T580" s="95"/>
      <c r="U580" s="68"/>
      <c r="V580" s="95"/>
      <c r="W580" s="68"/>
      <c r="X580" s="95"/>
      <c r="Y580" s="68"/>
      <c r="Z580" s="95"/>
      <c r="AA580" s="68"/>
      <c r="AB580" s="95"/>
      <c r="AC580" s="68"/>
      <c r="AD580" s="95"/>
      <c r="AE580" s="68"/>
      <c r="AF580" s="95"/>
      <c r="AG580" s="68"/>
      <c r="AH580" s="95"/>
      <c r="AI580" s="68"/>
      <c r="AJ580" s="95"/>
      <c r="AK580" s="68"/>
      <c r="AL580" s="93"/>
      <c r="AM580" s="93"/>
    </row>
    <row r="581" spans="4:39" s="87" customFormat="1" ht="17.25" customHeight="1">
      <c r="D581" s="8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93"/>
      <c r="AM581" s="93"/>
    </row>
    <row r="582" spans="4:39" s="87" customFormat="1" ht="11.25">
      <c r="D582" s="8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>
        <f>SUM(Q580-R580)</f>
        <v>-98383</v>
      </c>
      <c r="S582" s="68">
        <v>10704</v>
      </c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93"/>
      <c r="AM582" s="93"/>
    </row>
    <row r="583" spans="4:39" s="87" customFormat="1" ht="11.25">
      <c r="D583" s="8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>
        <v>9158</v>
      </c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93"/>
      <c r="AM583" s="93"/>
    </row>
    <row r="584" spans="4:39" s="87" customFormat="1" ht="11.25">
      <c r="D584" s="8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>
        <v>62000</v>
      </c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93"/>
      <c r="AM584" s="93"/>
    </row>
    <row r="585" spans="4:39" s="87" customFormat="1" ht="11.25">
      <c r="D585" s="8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>
        <v>3621</v>
      </c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93"/>
      <c r="AM585" s="93"/>
    </row>
    <row r="586" spans="4:39" s="87" customFormat="1" ht="11.25">
      <c r="D586" s="8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>
        <v>32762</v>
      </c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93"/>
      <c r="AM586" s="93"/>
    </row>
    <row r="587" spans="4:39" s="87" customFormat="1" ht="11.25">
      <c r="D587" s="8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95">
        <f>SUM(S582:S586)</f>
        <v>118245</v>
      </c>
      <c r="T587" s="68"/>
      <c r="U587" s="95"/>
      <c r="V587" s="68"/>
      <c r="W587" s="95"/>
      <c r="X587" s="68"/>
      <c r="Y587" s="95"/>
      <c r="Z587" s="68"/>
      <c r="AA587" s="95"/>
      <c r="AB587" s="68"/>
      <c r="AC587" s="95"/>
      <c r="AD587" s="68"/>
      <c r="AE587" s="95"/>
      <c r="AF587" s="68"/>
      <c r="AG587" s="95"/>
      <c r="AH587" s="68"/>
      <c r="AI587" s="95"/>
      <c r="AJ587" s="68"/>
      <c r="AK587" s="95"/>
      <c r="AL587" s="93"/>
      <c r="AM587" s="93"/>
    </row>
    <row r="588" spans="4:39" s="87" customFormat="1" ht="11.25">
      <c r="D588" s="8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93"/>
      <c r="AM588" s="93"/>
    </row>
    <row r="589" spans="4:39" s="87" customFormat="1" ht="11.25">
      <c r="D589" s="8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93"/>
      <c r="AM589" s="93"/>
    </row>
    <row r="590" spans="5:39" s="87" customFormat="1" ht="19.5" customHeight="1">
      <c r="E590" s="89"/>
      <c r="F590" s="89"/>
      <c r="G590" s="68"/>
      <c r="H590" s="89"/>
      <c r="I590" s="68"/>
      <c r="J590" s="89"/>
      <c r="K590" s="68"/>
      <c r="L590" s="89"/>
      <c r="M590" s="68"/>
      <c r="N590" s="89"/>
      <c r="O590" s="68"/>
      <c r="P590" s="89"/>
      <c r="Q590" s="68"/>
      <c r="R590" s="89"/>
      <c r="S590" s="68"/>
      <c r="T590" s="89"/>
      <c r="U590" s="68"/>
      <c r="V590" s="89"/>
      <c r="W590" s="68"/>
      <c r="X590" s="89"/>
      <c r="Y590" s="68"/>
      <c r="Z590" s="89"/>
      <c r="AA590" s="68"/>
      <c r="AB590" s="89"/>
      <c r="AC590" s="68"/>
      <c r="AD590" s="89"/>
      <c r="AE590" s="68"/>
      <c r="AF590" s="89"/>
      <c r="AG590" s="68"/>
      <c r="AH590" s="89"/>
      <c r="AI590" s="68"/>
      <c r="AJ590" s="89"/>
      <c r="AK590" s="68"/>
      <c r="AL590" s="93"/>
      <c r="AM590" s="93"/>
    </row>
    <row r="591" spans="5:39" s="87" customFormat="1" ht="19.5" customHeight="1">
      <c r="E591" s="89"/>
      <c r="F591" s="89"/>
      <c r="G591" s="68"/>
      <c r="H591" s="89"/>
      <c r="I591" s="68"/>
      <c r="J591" s="89"/>
      <c r="K591" s="68"/>
      <c r="L591" s="89"/>
      <c r="M591" s="68"/>
      <c r="N591" s="89"/>
      <c r="O591" s="68"/>
      <c r="P591" s="89"/>
      <c r="Q591" s="68"/>
      <c r="R591" s="89"/>
      <c r="S591" s="68"/>
      <c r="T591" s="89"/>
      <c r="U591" s="68"/>
      <c r="V591" s="89"/>
      <c r="W591" s="68"/>
      <c r="X591" s="89"/>
      <c r="Y591" s="68"/>
      <c r="Z591" s="89"/>
      <c r="AA591" s="68"/>
      <c r="AB591" s="89"/>
      <c r="AC591" s="68"/>
      <c r="AD591" s="89"/>
      <c r="AE591" s="68"/>
      <c r="AF591" s="89"/>
      <c r="AG591" s="68"/>
      <c r="AH591" s="89"/>
      <c r="AI591" s="68"/>
      <c r="AJ591" s="89"/>
      <c r="AK591" s="68"/>
      <c r="AL591" s="93"/>
      <c r="AM591" s="93"/>
    </row>
    <row r="592" spans="5:39" s="87" customFormat="1" ht="19.5" customHeight="1">
      <c r="E592" s="89"/>
      <c r="F592" s="89"/>
      <c r="G592" s="68"/>
      <c r="H592" s="89"/>
      <c r="I592" s="68"/>
      <c r="J592" s="89"/>
      <c r="K592" s="68"/>
      <c r="L592" s="89"/>
      <c r="M592" s="68"/>
      <c r="N592" s="89"/>
      <c r="O592" s="68"/>
      <c r="P592" s="89"/>
      <c r="Q592" s="68"/>
      <c r="R592" s="89"/>
      <c r="S592" s="68"/>
      <c r="T592" s="89"/>
      <c r="U592" s="68"/>
      <c r="V592" s="89"/>
      <c r="W592" s="68"/>
      <c r="X592" s="89"/>
      <c r="Y592" s="68"/>
      <c r="Z592" s="89"/>
      <c r="AA592" s="68"/>
      <c r="AB592" s="89"/>
      <c r="AC592" s="68"/>
      <c r="AD592" s="89"/>
      <c r="AE592" s="68"/>
      <c r="AF592" s="89"/>
      <c r="AG592" s="68"/>
      <c r="AH592" s="89"/>
      <c r="AI592" s="68"/>
      <c r="AJ592" s="89"/>
      <c r="AK592" s="68"/>
      <c r="AL592" s="93"/>
      <c r="AM592" s="93"/>
    </row>
    <row r="593" spans="5:39" s="87" customFormat="1" ht="19.5" customHeight="1">
      <c r="E593" s="89"/>
      <c r="F593" s="89"/>
      <c r="G593" s="68"/>
      <c r="H593" s="89"/>
      <c r="I593" s="68"/>
      <c r="J593" s="89"/>
      <c r="K593" s="68"/>
      <c r="L593" s="89"/>
      <c r="M593" s="68"/>
      <c r="N593" s="89"/>
      <c r="O593" s="68"/>
      <c r="P593" s="89"/>
      <c r="Q593" s="68"/>
      <c r="R593" s="89"/>
      <c r="S593" s="68"/>
      <c r="T593" s="89"/>
      <c r="U593" s="68"/>
      <c r="V593" s="89"/>
      <c r="W593" s="68"/>
      <c r="X593" s="89"/>
      <c r="Y593" s="68"/>
      <c r="Z593" s="89"/>
      <c r="AA593" s="68"/>
      <c r="AB593" s="89"/>
      <c r="AC593" s="68"/>
      <c r="AD593" s="89"/>
      <c r="AE593" s="68"/>
      <c r="AF593" s="89"/>
      <c r="AG593" s="68"/>
      <c r="AH593" s="89"/>
      <c r="AI593" s="68"/>
      <c r="AJ593" s="89"/>
      <c r="AK593" s="68"/>
      <c r="AL593" s="93"/>
      <c r="AM593" s="93"/>
    </row>
    <row r="594" spans="5:39" s="87" customFormat="1" ht="19.5" customHeight="1"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93"/>
      <c r="AM594" s="93"/>
    </row>
    <row r="595" spans="5:39" s="87" customFormat="1" ht="19.5" customHeight="1"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93"/>
      <c r="AM595" s="93"/>
    </row>
    <row r="596" spans="5:39" s="87" customFormat="1" ht="19.5" customHeight="1"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93"/>
      <c r="AM596" s="93"/>
    </row>
    <row r="597" spans="5:39" s="87" customFormat="1" ht="19.5" customHeight="1"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93"/>
      <c r="AM597" s="93"/>
    </row>
    <row r="598" spans="5:39" s="87" customFormat="1" ht="19.5" customHeight="1"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93"/>
      <c r="AM598" s="93"/>
    </row>
    <row r="599" spans="5:39" s="87" customFormat="1" ht="19.5" customHeight="1"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93"/>
      <c r="AM599" s="93"/>
    </row>
    <row r="600" spans="5:39" s="87" customFormat="1" ht="19.5" customHeight="1"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3"/>
      <c r="AM600" s="93"/>
    </row>
    <row r="601" spans="4:39" s="87" customFormat="1" ht="19.5" customHeight="1">
      <c r="D601" s="88"/>
      <c r="E601" s="68"/>
      <c r="F601" s="68"/>
      <c r="G601" s="89"/>
      <c r="H601" s="68"/>
      <c r="I601" s="89"/>
      <c r="J601" s="68"/>
      <c r="K601" s="89"/>
      <c r="L601" s="89"/>
      <c r="M601" s="89"/>
      <c r="N601" s="89"/>
      <c r="O601" s="89"/>
      <c r="P601" s="89"/>
      <c r="Q601" s="90"/>
      <c r="R601" s="89"/>
      <c r="S601" s="90"/>
      <c r="T601" s="89"/>
      <c r="U601" s="90"/>
      <c r="V601" s="89"/>
      <c r="W601" s="90"/>
      <c r="X601" s="89"/>
      <c r="Y601" s="90"/>
      <c r="Z601" s="89"/>
      <c r="AA601" s="90"/>
      <c r="AB601" s="89"/>
      <c r="AC601" s="90"/>
      <c r="AD601" s="89"/>
      <c r="AE601" s="90"/>
      <c r="AF601" s="89"/>
      <c r="AG601" s="90"/>
      <c r="AH601" s="89"/>
      <c r="AI601" s="90"/>
      <c r="AJ601" s="89"/>
      <c r="AK601" s="90"/>
      <c r="AL601" s="93"/>
      <c r="AM601" s="93"/>
    </row>
    <row r="602" spans="1:39" s="12" customFormat="1" ht="19.5" customHeight="1">
      <c r="A602" s="14"/>
      <c r="B602" s="14"/>
      <c r="C602" s="14"/>
      <c r="D602" s="70"/>
      <c r="E602" s="67"/>
      <c r="F602" s="67"/>
      <c r="G602" s="13"/>
      <c r="H602" s="67"/>
      <c r="I602" s="13"/>
      <c r="J602" s="67"/>
      <c r="K602" s="13"/>
      <c r="L602" s="67"/>
      <c r="M602" s="13"/>
      <c r="N602" s="67"/>
      <c r="O602" s="13"/>
      <c r="P602" s="67"/>
      <c r="Q602" s="13"/>
      <c r="R602" s="67"/>
      <c r="S602" s="13"/>
      <c r="T602" s="67"/>
      <c r="U602" s="13"/>
      <c r="V602" s="67"/>
      <c r="W602" s="13"/>
      <c r="X602" s="67"/>
      <c r="Y602" s="13"/>
      <c r="Z602" s="67"/>
      <c r="AA602" s="13"/>
      <c r="AB602" s="67"/>
      <c r="AC602" s="13"/>
      <c r="AD602" s="67"/>
      <c r="AE602" s="13"/>
      <c r="AF602" s="67"/>
      <c r="AG602" s="13"/>
      <c r="AH602" s="67"/>
      <c r="AI602" s="13"/>
      <c r="AJ602" s="67"/>
      <c r="AK602" s="13"/>
      <c r="AL602" s="77"/>
      <c r="AM602" s="77"/>
    </row>
    <row r="603" spans="1:39" s="12" customFormat="1" ht="19.5" customHeight="1">
      <c r="A603" s="14"/>
      <c r="B603" s="14"/>
      <c r="C603" s="14"/>
      <c r="D603" s="14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77"/>
      <c r="AM603" s="77"/>
    </row>
    <row r="604" spans="1:39" s="12" customFormat="1" ht="19.5" customHeight="1">
      <c r="A604" s="14"/>
      <c r="B604" s="14"/>
      <c r="C604" s="14"/>
      <c r="D604" s="14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73"/>
      <c r="Q604" s="13"/>
      <c r="R604" s="73"/>
      <c r="S604" s="13"/>
      <c r="T604" s="73"/>
      <c r="U604" s="13"/>
      <c r="V604" s="73"/>
      <c r="W604" s="13"/>
      <c r="X604" s="73"/>
      <c r="Y604" s="13"/>
      <c r="Z604" s="73"/>
      <c r="AA604" s="13"/>
      <c r="AB604" s="73"/>
      <c r="AC604" s="13"/>
      <c r="AD604" s="73"/>
      <c r="AE604" s="13"/>
      <c r="AF604" s="73"/>
      <c r="AG604" s="13"/>
      <c r="AH604" s="73"/>
      <c r="AI604" s="13"/>
      <c r="AJ604" s="73"/>
      <c r="AK604" s="13"/>
      <c r="AL604" s="77"/>
      <c r="AM604" s="77"/>
    </row>
    <row r="605" spans="1:39" s="12" customFormat="1" ht="19.5" customHeight="1">
      <c r="A605" s="14"/>
      <c r="B605" s="14"/>
      <c r="C605" s="14"/>
      <c r="D605" s="14"/>
      <c r="E605" s="13"/>
      <c r="F605" s="13"/>
      <c r="G605" s="73"/>
      <c r="H605" s="13"/>
      <c r="I605" s="73"/>
      <c r="J605" s="13"/>
      <c r="K605" s="73"/>
      <c r="L605" s="13"/>
      <c r="M605" s="73"/>
      <c r="N605" s="13"/>
      <c r="O605" s="73"/>
      <c r="P605" s="13"/>
      <c r="Q605" s="73"/>
      <c r="R605" s="13"/>
      <c r="S605" s="73"/>
      <c r="T605" s="13"/>
      <c r="U605" s="73"/>
      <c r="V605" s="13"/>
      <c r="W605" s="73"/>
      <c r="X605" s="13"/>
      <c r="Y605" s="73"/>
      <c r="Z605" s="13"/>
      <c r="AA605" s="73"/>
      <c r="AB605" s="13"/>
      <c r="AC605" s="73"/>
      <c r="AD605" s="13"/>
      <c r="AE605" s="73"/>
      <c r="AF605" s="13"/>
      <c r="AG605" s="73"/>
      <c r="AH605" s="13"/>
      <c r="AI605" s="73"/>
      <c r="AJ605" s="13"/>
      <c r="AK605" s="73"/>
      <c r="AL605" s="77"/>
      <c r="AM605" s="77"/>
    </row>
    <row r="606" spans="1:39" s="12" customFormat="1" ht="19.5" customHeight="1">
      <c r="A606" s="14"/>
      <c r="B606" s="14"/>
      <c r="C606" s="14"/>
      <c r="D606" s="14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77"/>
      <c r="AM606" s="77"/>
    </row>
    <row r="607" spans="1:39" s="12" customFormat="1" ht="19.5" customHeight="1">
      <c r="A607" s="14"/>
      <c r="B607" s="14"/>
      <c r="C607" s="14"/>
      <c r="D607" s="14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77"/>
      <c r="AM607" s="77"/>
    </row>
    <row r="608" spans="1:39" s="12" customFormat="1" ht="19.5" customHeight="1">
      <c r="A608" s="14"/>
      <c r="B608" s="14"/>
      <c r="C608" s="14"/>
      <c r="D608" s="14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77"/>
      <c r="AM608" s="77"/>
    </row>
    <row r="609" spans="1:39" s="12" customFormat="1" ht="19.5" customHeight="1">
      <c r="A609" s="14"/>
      <c r="B609" s="14"/>
      <c r="C609" s="14"/>
      <c r="D609" s="14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77"/>
      <c r="AM609" s="77"/>
    </row>
    <row r="610" spans="1:39" s="12" customFormat="1" ht="19.5" customHeight="1">
      <c r="A610" s="14"/>
      <c r="B610" s="14"/>
      <c r="C610" s="14"/>
      <c r="D610" s="14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77"/>
      <c r="AM610" s="77"/>
    </row>
    <row r="611" spans="1:39" s="12" customFormat="1" ht="19.5" customHeight="1">
      <c r="A611" s="14"/>
      <c r="B611" s="14"/>
      <c r="C611" s="14"/>
      <c r="D611" s="14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77"/>
      <c r="AM611" s="77"/>
    </row>
    <row r="612" spans="1:39" s="12" customFormat="1" ht="19.5" customHeight="1">
      <c r="A612" s="14"/>
      <c r="B612" s="14"/>
      <c r="C612" s="14"/>
      <c r="D612" s="14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77"/>
      <c r="AM612" s="77"/>
    </row>
    <row r="613" spans="1:39" s="12" customFormat="1" ht="19.5" customHeight="1">
      <c r="A613" s="14"/>
      <c r="B613" s="14"/>
      <c r="C613" s="14"/>
      <c r="D613" s="14"/>
      <c r="E613" s="13"/>
      <c r="F613" s="73"/>
      <c r="G613" s="13"/>
      <c r="H613" s="73"/>
      <c r="I613" s="13"/>
      <c r="J613" s="73"/>
      <c r="K613" s="13"/>
      <c r="L613" s="73"/>
      <c r="M613" s="13"/>
      <c r="N613" s="73"/>
      <c r="O613" s="13"/>
      <c r="P613" s="73"/>
      <c r="Q613" s="13"/>
      <c r="R613" s="73"/>
      <c r="S613" s="13"/>
      <c r="T613" s="73"/>
      <c r="U613" s="13"/>
      <c r="V613" s="73"/>
      <c r="W613" s="13"/>
      <c r="X613" s="73"/>
      <c r="Y613" s="13"/>
      <c r="Z613" s="73"/>
      <c r="AA613" s="13"/>
      <c r="AB613" s="73"/>
      <c r="AC613" s="13"/>
      <c r="AD613" s="73"/>
      <c r="AE613" s="13"/>
      <c r="AF613" s="73"/>
      <c r="AG613" s="13"/>
      <c r="AH613" s="73"/>
      <c r="AI613" s="13"/>
      <c r="AJ613" s="73"/>
      <c r="AK613" s="13"/>
      <c r="AL613" s="77"/>
      <c r="AM613" s="77"/>
    </row>
    <row r="614" spans="1:39" s="12" customFormat="1" ht="12.75">
      <c r="A614" s="14"/>
      <c r="B614" s="14"/>
      <c r="C614" s="14"/>
      <c r="D614" s="14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77"/>
      <c r="AM614" s="77"/>
    </row>
    <row r="615" spans="1:39" s="12" customFormat="1" ht="12.75">
      <c r="A615" s="14"/>
      <c r="B615" s="14"/>
      <c r="C615" s="14"/>
      <c r="D615" s="14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77"/>
      <c r="AM615" s="77"/>
    </row>
    <row r="616" spans="1:39" s="12" customFormat="1" ht="12.75">
      <c r="A616" s="14"/>
      <c r="B616" s="14"/>
      <c r="C616" s="14"/>
      <c r="D616" s="14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77"/>
      <c r="AM616" s="77"/>
    </row>
    <row r="617" spans="1:39" s="12" customFormat="1" ht="12.75">
      <c r="A617" s="14"/>
      <c r="B617" s="14"/>
      <c r="C617" s="14"/>
      <c r="D617" s="14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77"/>
      <c r="AM617" s="77"/>
    </row>
    <row r="618" spans="1:39" s="12" customFormat="1" ht="12.75">
      <c r="A618" s="14"/>
      <c r="B618" s="14"/>
      <c r="C618" s="14"/>
      <c r="D618" s="14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77"/>
      <c r="AM618" s="77"/>
    </row>
    <row r="619" spans="1:39" s="12" customFormat="1" ht="12.75">
      <c r="A619" s="14"/>
      <c r="B619" s="14"/>
      <c r="C619" s="14"/>
      <c r="D619" s="14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77"/>
      <c r="AM619" s="77"/>
    </row>
    <row r="620" spans="1:39" s="12" customFormat="1" ht="12.75">
      <c r="A620" s="14"/>
      <c r="B620" s="14"/>
      <c r="C620" s="14"/>
      <c r="D620" s="14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77"/>
      <c r="AM620" s="77"/>
    </row>
    <row r="621" spans="1:39" s="12" customFormat="1" ht="12.75">
      <c r="A621" s="14"/>
      <c r="B621" s="14"/>
      <c r="C621" s="14"/>
      <c r="D621" s="14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77"/>
      <c r="AM621" s="77"/>
    </row>
    <row r="622" spans="1:39" s="12" customFormat="1" ht="12.75">
      <c r="A622" s="14"/>
      <c r="B622" s="14"/>
      <c r="C622" s="14"/>
      <c r="D622" s="14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77"/>
      <c r="AM622" s="77"/>
    </row>
    <row r="623" spans="1:39" s="12" customFormat="1" ht="12.75">
      <c r="A623" s="14"/>
      <c r="B623" s="14"/>
      <c r="C623" s="14"/>
      <c r="D623" s="14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77"/>
      <c r="AM623" s="77"/>
    </row>
    <row r="624" spans="1:39" s="12" customFormat="1" ht="12.75">
      <c r="A624" s="14"/>
      <c r="B624" s="14"/>
      <c r="C624" s="14"/>
      <c r="D624" s="14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77"/>
      <c r="AM624" s="77"/>
    </row>
    <row r="625" spans="1:39" s="12" customFormat="1" ht="12.75">
      <c r="A625" s="14"/>
      <c r="B625" s="14"/>
      <c r="C625" s="14"/>
      <c r="D625" s="14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77"/>
      <c r="AM625" s="77"/>
    </row>
    <row r="626" spans="1:39" s="12" customFormat="1" ht="12.75">
      <c r="A626" s="14"/>
      <c r="B626" s="14"/>
      <c r="C626" s="14"/>
      <c r="D626" s="14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77"/>
      <c r="AM626" s="77"/>
    </row>
    <row r="627" spans="1:39" s="12" customFormat="1" ht="12.75">
      <c r="A627" s="14"/>
      <c r="B627" s="14"/>
      <c r="C627" s="14"/>
      <c r="D627" s="14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77"/>
      <c r="AM627" s="77"/>
    </row>
    <row r="628" spans="1:39" s="12" customFormat="1" ht="12.75">
      <c r="A628" s="14"/>
      <c r="B628" s="14"/>
      <c r="C628" s="14"/>
      <c r="D628" s="14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77"/>
      <c r="AM628" s="77"/>
    </row>
    <row r="629" spans="1:39" s="12" customFormat="1" ht="12.75">
      <c r="A629" s="14"/>
      <c r="B629" s="14"/>
      <c r="C629" s="14"/>
      <c r="D629" s="14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77"/>
      <c r="AM629" s="77"/>
    </row>
    <row r="630" spans="1:39" s="12" customFormat="1" ht="12.75">
      <c r="A630" s="14"/>
      <c r="B630" s="14"/>
      <c r="C630" s="14"/>
      <c r="D630" s="14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77"/>
      <c r="AM630" s="77"/>
    </row>
    <row r="631" spans="1:39" s="12" customFormat="1" ht="12.75">
      <c r="A631" s="14"/>
      <c r="B631" s="14"/>
      <c r="C631" s="14"/>
      <c r="D631" s="14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77"/>
      <c r="AM631" s="77"/>
    </row>
    <row r="632" spans="1:39" s="12" customFormat="1" ht="12.75">
      <c r="A632" s="14"/>
      <c r="B632" s="14"/>
      <c r="C632" s="14"/>
      <c r="D632" s="14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77"/>
      <c r="AM632" s="77"/>
    </row>
    <row r="633" spans="1:39" s="12" customFormat="1" ht="12.75">
      <c r="A633" s="14"/>
      <c r="B633" s="14"/>
      <c r="C633" s="14"/>
      <c r="D633" s="14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77"/>
      <c r="AM633" s="77"/>
    </row>
    <row r="634" spans="1:39" s="12" customFormat="1" ht="12.75">
      <c r="A634" s="14"/>
      <c r="B634" s="14"/>
      <c r="C634" s="14"/>
      <c r="D634" s="14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77"/>
      <c r="AM634" s="77"/>
    </row>
    <row r="635" spans="1:39" s="12" customFormat="1" ht="12.75">
      <c r="A635" s="14"/>
      <c r="B635" s="14"/>
      <c r="C635" s="14"/>
      <c r="D635" s="14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77"/>
      <c r="AM635" s="77"/>
    </row>
    <row r="636" spans="1:39" s="12" customFormat="1" ht="12.75">
      <c r="A636" s="14"/>
      <c r="B636" s="14"/>
      <c r="C636" s="14"/>
      <c r="D636" s="14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77"/>
      <c r="AM636" s="77"/>
    </row>
    <row r="637" spans="1:39" s="12" customFormat="1" ht="12.75">
      <c r="A637" s="14"/>
      <c r="B637" s="14"/>
      <c r="C637" s="14"/>
      <c r="D637" s="14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77"/>
      <c r="AM637" s="77"/>
    </row>
    <row r="638" spans="1:39" s="12" customFormat="1" ht="12.75">
      <c r="A638" s="14"/>
      <c r="B638" s="14"/>
      <c r="C638" s="14"/>
      <c r="D638" s="14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77"/>
      <c r="AM638" s="77"/>
    </row>
    <row r="639" spans="1:39" s="12" customFormat="1" ht="12.75">
      <c r="A639" s="14"/>
      <c r="B639" s="14"/>
      <c r="C639" s="14"/>
      <c r="D639" s="14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77"/>
      <c r="AM639" s="77"/>
    </row>
    <row r="640" spans="1:39" s="12" customFormat="1" ht="12.75">
      <c r="A640" s="14"/>
      <c r="B640" s="14"/>
      <c r="C640" s="14"/>
      <c r="D640" s="14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77"/>
      <c r="AM640" s="77"/>
    </row>
    <row r="641" spans="1:39" s="12" customFormat="1" ht="12.75">
      <c r="A641" s="14"/>
      <c r="B641" s="14"/>
      <c r="C641" s="14"/>
      <c r="D641" s="14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77"/>
      <c r="AM641" s="77"/>
    </row>
    <row r="642" spans="1:39" s="12" customFormat="1" ht="12.75">
      <c r="A642" s="14"/>
      <c r="B642" s="14"/>
      <c r="C642" s="14"/>
      <c r="D642" s="14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77"/>
      <c r="AM642" s="77"/>
    </row>
    <row r="643" spans="1:39" s="12" customFormat="1" ht="12.75">
      <c r="A643" s="14"/>
      <c r="B643" s="14"/>
      <c r="C643" s="14"/>
      <c r="D643" s="14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77"/>
      <c r="AM643" s="77"/>
    </row>
    <row r="644" spans="1:39" s="12" customFormat="1" ht="12.75">
      <c r="A644" s="14"/>
      <c r="B644" s="14"/>
      <c r="C644" s="14"/>
      <c r="D644" s="14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77"/>
      <c r="AM644" s="77"/>
    </row>
    <row r="645" spans="1:39" s="12" customFormat="1" ht="12.75">
      <c r="A645" s="14"/>
      <c r="B645" s="14"/>
      <c r="C645" s="14"/>
      <c r="D645" s="14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77"/>
      <c r="AM645" s="77"/>
    </row>
    <row r="646" spans="1:39" s="12" customFormat="1" ht="12.75">
      <c r="A646" s="14"/>
      <c r="B646" s="14"/>
      <c r="C646" s="14"/>
      <c r="D646" s="14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77"/>
      <c r="AM646" s="77"/>
    </row>
    <row r="647" spans="1:39" s="12" customFormat="1" ht="12.75">
      <c r="A647" s="14"/>
      <c r="B647" s="14"/>
      <c r="C647" s="14"/>
      <c r="D647" s="14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77"/>
      <c r="AM647" s="77"/>
    </row>
    <row r="648" spans="1:39" s="12" customFormat="1" ht="12.75">
      <c r="A648" s="14"/>
      <c r="B648" s="14"/>
      <c r="C648" s="14"/>
      <c r="D648" s="14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77"/>
      <c r="AM648" s="77"/>
    </row>
    <row r="649" spans="1:39" s="12" customFormat="1" ht="12.75">
      <c r="A649" s="14"/>
      <c r="B649" s="14"/>
      <c r="C649" s="14"/>
      <c r="D649" s="14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77"/>
      <c r="AM649" s="77"/>
    </row>
    <row r="650" spans="1:39" s="12" customFormat="1" ht="12.75">
      <c r="A650" s="14"/>
      <c r="B650" s="14"/>
      <c r="C650" s="14"/>
      <c r="D650" s="14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77"/>
      <c r="AM650" s="77"/>
    </row>
    <row r="651" spans="1:39" s="12" customFormat="1" ht="12.75">
      <c r="A651" s="14"/>
      <c r="B651" s="14"/>
      <c r="C651" s="14"/>
      <c r="D651" s="14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77"/>
      <c r="AM651" s="77"/>
    </row>
    <row r="652" spans="1:39" s="12" customFormat="1" ht="12.75">
      <c r="A652" s="14"/>
      <c r="B652" s="14"/>
      <c r="C652" s="14"/>
      <c r="D652" s="14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77"/>
      <c r="AM652" s="77"/>
    </row>
    <row r="653" spans="1:39" s="12" customFormat="1" ht="12.75">
      <c r="A653" s="14"/>
      <c r="B653" s="14"/>
      <c r="C653" s="14"/>
      <c r="D653" s="14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77"/>
      <c r="AM653" s="77"/>
    </row>
    <row r="654" spans="1:39" s="12" customFormat="1" ht="12.75">
      <c r="A654" s="14"/>
      <c r="B654" s="14"/>
      <c r="C654" s="14"/>
      <c r="D654" s="14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77"/>
      <c r="AM654" s="77"/>
    </row>
    <row r="655" spans="1:39" s="12" customFormat="1" ht="12.75">
      <c r="A655" s="14"/>
      <c r="B655" s="14"/>
      <c r="C655" s="14"/>
      <c r="D655" s="14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77"/>
      <c r="AM655" s="77"/>
    </row>
    <row r="656" spans="1:39" s="12" customFormat="1" ht="12.75">
      <c r="A656" s="14"/>
      <c r="B656" s="14"/>
      <c r="C656" s="14"/>
      <c r="D656" s="14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77"/>
      <c r="AM656" s="77"/>
    </row>
    <row r="657" spans="1:39" s="12" customFormat="1" ht="12.75">
      <c r="A657" s="14"/>
      <c r="B657" s="14"/>
      <c r="C657" s="14"/>
      <c r="D657" s="14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77"/>
      <c r="AM657" s="77"/>
    </row>
    <row r="658" spans="1:39" s="12" customFormat="1" ht="12.75">
      <c r="A658" s="14"/>
      <c r="B658" s="14"/>
      <c r="C658" s="14"/>
      <c r="D658" s="14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77"/>
      <c r="AM658" s="77"/>
    </row>
    <row r="659" spans="1:39" s="12" customFormat="1" ht="12.75">
      <c r="A659" s="14"/>
      <c r="B659" s="14"/>
      <c r="C659" s="14"/>
      <c r="D659" s="14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77"/>
      <c r="AM659" s="77"/>
    </row>
    <row r="660" spans="1:39" s="12" customFormat="1" ht="12.75">
      <c r="A660" s="14"/>
      <c r="B660" s="14"/>
      <c r="C660" s="14"/>
      <c r="D660" s="14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77"/>
      <c r="AM660" s="77"/>
    </row>
    <row r="661" spans="1:39" s="12" customFormat="1" ht="12.75">
      <c r="A661" s="14"/>
      <c r="B661" s="14"/>
      <c r="C661" s="14"/>
      <c r="D661" s="14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77"/>
      <c r="AM661" s="77"/>
    </row>
    <row r="662" spans="1:39" s="12" customFormat="1" ht="12.75">
      <c r="A662" s="14"/>
      <c r="B662" s="14"/>
      <c r="C662" s="14"/>
      <c r="D662" s="14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77"/>
      <c r="AM662" s="77"/>
    </row>
    <row r="663" spans="1:39" s="12" customFormat="1" ht="12.75">
      <c r="A663" s="14"/>
      <c r="B663" s="14"/>
      <c r="C663" s="14"/>
      <c r="D663" s="14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77"/>
      <c r="AM663" s="77"/>
    </row>
    <row r="664" spans="1:39" s="12" customFormat="1" ht="12.75">
      <c r="A664" s="14"/>
      <c r="B664" s="14"/>
      <c r="C664" s="14"/>
      <c r="D664" s="14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77"/>
      <c r="AM664" s="77"/>
    </row>
    <row r="665" spans="1:39" s="12" customFormat="1" ht="12.75">
      <c r="A665" s="14"/>
      <c r="B665" s="14"/>
      <c r="C665" s="14"/>
      <c r="D665" s="14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77"/>
      <c r="AM665" s="77"/>
    </row>
    <row r="666" spans="1:39" s="12" customFormat="1" ht="12.75">
      <c r="A666" s="14"/>
      <c r="B666" s="14"/>
      <c r="C666" s="14"/>
      <c r="D666" s="14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77"/>
      <c r="AM666" s="77"/>
    </row>
    <row r="667" spans="1:39" s="12" customFormat="1" ht="12.75">
      <c r="A667" s="14"/>
      <c r="B667" s="14"/>
      <c r="C667" s="14"/>
      <c r="D667" s="14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77"/>
      <c r="AM667" s="77"/>
    </row>
    <row r="668" spans="1:39" s="12" customFormat="1" ht="12.75">
      <c r="A668" s="14"/>
      <c r="B668" s="14"/>
      <c r="C668" s="14"/>
      <c r="D668" s="14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77"/>
      <c r="AM668" s="77"/>
    </row>
    <row r="669" spans="1:39" s="12" customFormat="1" ht="12.75">
      <c r="A669" s="14"/>
      <c r="B669" s="14"/>
      <c r="C669" s="14"/>
      <c r="D669" s="14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77"/>
      <c r="AM669" s="77"/>
    </row>
    <row r="670" spans="1:39" s="12" customFormat="1" ht="12.75">
      <c r="A670" s="14"/>
      <c r="B670" s="14"/>
      <c r="C670" s="14"/>
      <c r="D670" s="14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77"/>
      <c r="AM670" s="77"/>
    </row>
    <row r="671" spans="1:39" s="12" customFormat="1" ht="12.75">
      <c r="A671" s="14"/>
      <c r="B671" s="14"/>
      <c r="C671" s="14"/>
      <c r="D671" s="14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77"/>
      <c r="AM671" s="77"/>
    </row>
    <row r="672" spans="1:39" s="12" customFormat="1" ht="12.75">
      <c r="A672" s="14"/>
      <c r="B672" s="14"/>
      <c r="C672" s="14"/>
      <c r="D672" s="14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77"/>
      <c r="AM672" s="77"/>
    </row>
    <row r="673" spans="1:39" s="12" customFormat="1" ht="12.75">
      <c r="A673" s="14"/>
      <c r="B673" s="14"/>
      <c r="C673" s="14"/>
      <c r="D673" s="14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77"/>
      <c r="AM673" s="77"/>
    </row>
    <row r="674" spans="1:39" s="12" customFormat="1" ht="12.75">
      <c r="A674" s="14"/>
      <c r="B674" s="14"/>
      <c r="C674" s="14"/>
      <c r="D674" s="14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77"/>
      <c r="AM674" s="77"/>
    </row>
    <row r="675" spans="1:39" s="12" customFormat="1" ht="12.75">
      <c r="A675" s="14"/>
      <c r="B675" s="14"/>
      <c r="C675" s="14"/>
      <c r="D675" s="14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77"/>
      <c r="AM675" s="77"/>
    </row>
    <row r="676" spans="1:39" s="12" customFormat="1" ht="12.75">
      <c r="A676" s="14"/>
      <c r="B676" s="14"/>
      <c r="C676" s="14"/>
      <c r="D676" s="14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77"/>
      <c r="AM676" s="77"/>
    </row>
    <row r="677" spans="1:39" s="12" customFormat="1" ht="12.75">
      <c r="A677" s="14"/>
      <c r="B677" s="14"/>
      <c r="C677" s="14"/>
      <c r="D677" s="14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77"/>
      <c r="AM677" s="77"/>
    </row>
    <row r="678" spans="1:39" s="12" customFormat="1" ht="12.75">
      <c r="A678" s="14"/>
      <c r="B678" s="14"/>
      <c r="C678" s="14"/>
      <c r="D678" s="14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77"/>
      <c r="AM678" s="77"/>
    </row>
    <row r="679" spans="1:39" s="12" customFormat="1" ht="12.75">
      <c r="A679" s="14"/>
      <c r="B679" s="14"/>
      <c r="C679" s="14"/>
      <c r="D679" s="14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77"/>
      <c r="AM679" s="77"/>
    </row>
    <row r="680" spans="1:39" s="12" customFormat="1" ht="12.75">
      <c r="A680" s="14"/>
      <c r="B680" s="14"/>
      <c r="C680" s="14"/>
      <c r="D680" s="14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77"/>
      <c r="AM680" s="77"/>
    </row>
    <row r="681" spans="1:39" s="12" customFormat="1" ht="12.75">
      <c r="A681" s="14"/>
      <c r="B681" s="14"/>
      <c r="C681" s="14"/>
      <c r="D681" s="14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77"/>
      <c r="AM681" s="77"/>
    </row>
    <row r="682" spans="1:39" s="12" customFormat="1" ht="12.75">
      <c r="A682" s="14"/>
      <c r="B682" s="14"/>
      <c r="C682" s="14"/>
      <c r="D682" s="14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77"/>
      <c r="AM682" s="77"/>
    </row>
    <row r="683" spans="1:39" s="12" customFormat="1" ht="12.75">
      <c r="A683" s="14"/>
      <c r="B683" s="14"/>
      <c r="C683" s="14"/>
      <c r="D683" s="14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77"/>
      <c r="AM683" s="77"/>
    </row>
    <row r="684" spans="1:39" s="12" customFormat="1" ht="12.75">
      <c r="A684" s="14"/>
      <c r="B684" s="14"/>
      <c r="C684" s="14"/>
      <c r="D684" s="14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77"/>
      <c r="AM684" s="77"/>
    </row>
    <row r="685" spans="1:39" s="12" customFormat="1" ht="12.75">
      <c r="A685" s="14"/>
      <c r="B685" s="14"/>
      <c r="C685" s="14"/>
      <c r="D685" s="14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77"/>
      <c r="AM685" s="77"/>
    </row>
    <row r="686" spans="1:39" s="12" customFormat="1" ht="12.75">
      <c r="A686" s="14"/>
      <c r="B686" s="14"/>
      <c r="C686" s="14"/>
      <c r="D686" s="14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77"/>
      <c r="AM686" s="77"/>
    </row>
    <row r="687" spans="1:39" s="12" customFormat="1" ht="12.75">
      <c r="A687" s="14"/>
      <c r="B687" s="14"/>
      <c r="C687" s="14"/>
      <c r="D687" s="14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77"/>
      <c r="AM687" s="77"/>
    </row>
    <row r="688" spans="1:39" s="12" customFormat="1" ht="12.75">
      <c r="A688" s="14"/>
      <c r="B688" s="14"/>
      <c r="C688" s="14"/>
      <c r="D688" s="14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77"/>
      <c r="AM688" s="77"/>
    </row>
    <row r="689" spans="1:39" s="12" customFormat="1" ht="12.75">
      <c r="A689" s="14"/>
      <c r="B689" s="14"/>
      <c r="C689" s="14"/>
      <c r="D689" s="14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77"/>
      <c r="AM689" s="77"/>
    </row>
    <row r="690" spans="1:39" s="12" customFormat="1" ht="12.75">
      <c r="A690" s="14"/>
      <c r="B690" s="14"/>
      <c r="C690" s="14"/>
      <c r="D690" s="14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77"/>
      <c r="AM690" s="77"/>
    </row>
    <row r="691" spans="1:39" s="12" customFormat="1" ht="12.75">
      <c r="A691" s="14"/>
      <c r="B691" s="14"/>
      <c r="C691" s="14"/>
      <c r="D691" s="14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77"/>
      <c r="AM691" s="77"/>
    </row>
    <row r="692" spans="1:39" s="12" customFormat="1" ht="12.75">
      <c r="A692" s="14"/>
      <c r="B692" s="14"/>
      <c r="C692" s="14"/>
      <c r="D692" s="14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77"/>
      <c r="AM692" s="77"/>
    </row>
    <row r="693" spans="1:39" s="12" customFormat="1" ht="12.75">
      <c r="A693" s="14"/>
      <c r="B693" s="14"/>
      <c r="C693" s="14"/>
      <c r="D693" s="14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77"/>
      <c r="AM693" s="77"/>
    </row>
    <row r="694" spans="1:39" s="12" customFormat="1" ht="12.75">
      <c r="A694" s="14"/>
      <c r="B694" s="14"/>
      <c r="C694" s="14"/>
      <c r="D694" s="14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77"/>
      <c r="AM694" s="77"/>
    </row>
    <row r="695" spans="1:39" s="12" customFormat="1" ht="12.75">
      <c r="A695" s="14"/>
      <c r="B695" s="14"/>
      <c r="C695" s="14"/>
      <c r="D695" s="14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77"/>
      <c r="AM695" s="77"/>
    </row>
    <row r="696" spans="1:39" s="12" customFormat="1" ht="12.75">
      <c r="A696" s="14"/>
      <c r="B696" s="14"/>
      <c r="C696" s="14"/>
      <c r="D696" s="14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77"/>
      <c r="AM696" s="77"/>
    </row>
    <row r="697" spans="1:39" s="12" customFormat="1" ht="12.75">
      <c r="A697" s="14"/>
      <c r="B697" s="14"/>
      <c r="C697" s="14"/>
      <c r="D697" s="14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77"/>
      <c r="AM697" s="77"/>
    </row>
    <row r="698" spans="1:39" s="12" customFormat="1" ht="12.75">
      <c r="A698" s="14"/>
      <c r="B698" s="14"/>
      <c r="C698" s="14"/>
      <c r="D698" s="14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77"/>
      <c r="AM698" s="77"/>
    </row>
    <row r="699" spans="1:39" s="12" customFormat="1" ht="12.75">
      <c r="A699" s="14"/>
      <c r="B699" s="14"/>
      <c r="C699" s="14"/>
      <c r="D699" s="14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77"/>
      <c r="AM699" s="77"/>
    </row>
    <row r="700" spans="1:39" s="12" customFormat="1" ht="12.75">
      <c r="A700" s="14"/>
      <c r="B700" s="14"/>
      <c r="C700" s="14"/>
      <c r="D700" s="14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77"/>
      <c r="AM700" s="77"/>
    </row>
    <row r="701" spans="1:39" s="12" customFormat="1" ht="12.75">
      <c r="A701" s="14"/>
      <c r="B701" s="14"/>
      <c r="C701" s="14"/>
      <c r="D701" s="14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77"/>
      <c r="AM701" s="77"/>
    </row>
    <row r="702" spans="1:39" s="12" customFormat="1" ht="12.75">
      <c r="A702" s="14"/>
      <c r="B702" s="14"/>
      <c r="C702" s="14"/>
      <c r="D702" s="14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77"/>
      <c r="AM702" s="77"/>
    </row>
    <row r="703" spans="1:39" s="12" customFormat="1" ht="12.75">
      <c r="A703" s="14"/>
      <c r="B703" s="14"/>
      <c r="C703" s="14"/>
      <c r="D703" s="14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77"/>
      <c r="AM703" s="77"/>
    </row>
    <row r="704" spans="1:39" s="12" customFormat="1" ht="12.75">
      <c r="A704" s="14"/>
      <c r="B704" s="14"/>
      <c r="C704" s="14"/>
      <c r="D704" s="14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77"/>
      <c r="AM704" s="77"/>
    </row>
    <row r="705" spans="1:39" s="12" customFormat="1" ht="12.75">
      <c r="A705" s="14"/>
      <c r="B705" s="14"/>
      <c r="C705" s="14"/>
      <c r="D705" s="14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77"/>
      <c r="AM705" s="77"/>
    </row>
    <row r="706" spans="1:39" s="12" customFormat="1" ht="12.75">
      <c r="A706" s="14"/>
      <c r="B706" s="14"/>
      <c r="C706" s="14"/>
      <c r="D706" s="14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77"/>
      <c r="AM706" s="77"/>
    </row>
    <row r="707" spans="1:39" s="12" customFormat="1" ht="12.75">
      <c r="A707" s="14"/>
      <c r="B707" s="14"/>
      <c r="C707" s="14"/>
      <c r="D707" s="14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77"/>
      <c r="AM707" s="77"/>
    </row>
    <row r="708" spans="1:39" s="12" customFormat="1" ht="12.75">
      <c r="A708" s="14"/>
      <c r="B708" s="14"/>
      <c r="C708" s="14"/>
      <c r="D708" s="14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77"/>
      <c r="AM708" s="77"/>
    </row>
    <row r="709" spans="1:39" s="12" customFormat="1" ht="12.75">
      <c r="A709" s="14"/>
      <c r="B709" s="14"/>
      <c r="C709" s="14"/>
      <c r="D709" s="14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77"/>
      <c r="AM709" s="77"/>
    </row>
    <row r="710" spans="1:39" s="12" customFormat="1" ht="12.75">
      <c r="A710" s="14"/>
      <c r="B710" s="14"/>
      <c r="C710" s="14"/>
      <c r="D710" s="14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77"/>
      <c r="AM710" s="77"/>
    </row>
    <row r="711" spans="1:39" s="12" customFormat="1" ht="12.75">
      <c r="A711" s="14"/>
      <c r="B711" s="14"/>
      <c r="C711" s="14"/>
      <c r="D711" s="14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77"/>
      <c r="AM711" s="77"/>
    </row>
    <row r="712" spans="1:39" s="12" customFormat="1" ht="12.75">
      <c r="A712" s="14"/>
      <c r="B712" s="14"/>
      <c r="C712" s="14"/>
      <c r="D712" s="14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77"/>
      <c r="AM712" s="77"/>
    </row>
    <row r="713" spans="1:39" s="12" customFormat="1" ht="12.75">
      <c r="A713" s="14"/>
      <c r="B713" s="14"/>
      <c r="C713" s="14"/>
      <c r="D713" s="14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77"/>
      <c r="AM713" s="77"/>
    </row>
    <row r="714" spans="1:39" s="12" customFormat="1" ht="12.75">
      <c r="A714" s="14"/>
      <c r="B714" s="14"/>
      <c r="C714" s="14"/>
      <c r="D714" s="14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77"/>
      <c r="AM714" s="77"/>
    </row>
    <row r="715" spans="1:39" s="12" customFormat="1" ht="12.75">
      <c r="A715" s="14"/>
      <c r="B715" s="14"/>
      <c r="C715" s="14"/>
      <c r="D715" s="14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77"/>
      <c r="AM715" s="77"/>
    </row>
    <row r="716" spans="1:39" s="12" customFormat="1" ht="12.75">
      <c r="A716" s="14"/>
      <c r="B716" s="14"/>
      <c r="C716" s="14"/>
      <c r="D716" s="14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77"/>
      <c r="AM716" s="77"/>
    </row>
    <row r="717" spans="1:39" s="12" customFormat="1" ht="12.75">
      <c r="A717" s="14"/>
      <c r="B717" s="14"/>
      <c r="C717" s="14"/>
      <c r="D717" s="14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77"/>
      <c r="AM717" s="77"/>
    </row>
    <row r="718" spans="1:39" s="12" customFormat="1" ht="12.75">
      <c r="A718" s="14"/>
      <c r="B718" s="14"/>
      <c r="C718" s="14"/>
      <c r="D718" s="14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77"/>
      <c r="AM718" s="77"/>
    </row>
    <row r="719" spans="1:39" s="12" customFormat="1" ht="12.75">
      <c r="A719" s="14"/>
      <c r="B719" s="14"/>
      <c r="C719" s="14"/>
      <c r="D719" s="14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77"/>
      <c r="AM719" s="77"/>
    </row>
    <row r="720" spans="1:39" s="12" customFormat="1" ht="12.75">
      <c r="A720" s="14"/>
      <c r="B720" s="14"/>
      <c r="C720" s="14"/>
      <c r="D720" s="14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77"/>
      <c r="AM720" s="77"/>
    </row>
    <row r="721" spans="1:39" s="12" customFormat="1" ht="12.75">
      <c r="A721" s="14"/>
      <c r="B721" s="14"/>
      <c r="C721" s="14"/>
      <c r="D721" s="14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77"/>
      <c r="AM721" s="77"/>
    </row>
    <row r="722" spans="1:39" s="12" customFormat="1" ht="12.75">
      <c r="A722" s="14"/>
      <c r="B722" s="14"/>
      <c r="C722" s="14"/>
      <c r="D722" s="14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77"/>
      <c r="AM722" s="77"/>
    </row>
    <row r="723" spans="1:39" s="12" customFormat="1" ht="12.75">
      <c r="A723" s="14"/>
      <c r="B723" s="14"/>
      <c r="C723" s="14"/>
      <c r="D723" s="14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77"/>
      <c r="AM723" s="77"/>
    </row>
    <row r="724" spans="1:39" s="12" customFormat="1" ht="12.75">
      <c r="A724" s="14"/>
      <c r="B724" s="14"/>
      <c r="C724" s="14"/>
      <c r="D724" s="14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77"/>
      <c r="AM724" s="77"/>
    </row>
    <row r="725" spans="1:39" s="12" customFormat="1" ht="12.75">
      <c r="A725" s="14"/>
      <c r="B725" s="14"/>
      <c r="C725" s="14"/>
      <c r="D725" s="14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77"/>
      <c r="AM725" s="77"/>
    </row>
    <row r="726" spans="1:39" s="12" customFormat="1" ht="12.75">
      <c r="A726" s="14"/>
      <c r="B726" s="14"/>
      <c r="C726" s="14"/>
      <c r="D726" s="14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77"/>
      <c r="AM726" s="77"/>
    </row>
    <row r="727" spans="1:39" s="12" customFormat="1" ht="12.75">
      <c r="A727" s="14"/>
      <c r="B727" s="14"/>
      <c r="C727" s="14"/>
      <c r="D727" s="14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77"/>
      <c r="AM727" s="77"/>
    </row>
    <row r="728" spans="1:39" s="12" customFormat="1" ht="12.75">
      <c r="A728" s="14"/>
      <c r="B728" s="14"/>
      <c r="C728" s="14"/>
      <c r="D728" s="14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77"/>
      <c r="AM728" s="77"/>
    </row>
    <row r="729" spans="1:39" s="12" customFormat="1" ht="12.75">
      <c r="A729" s="14"/>
      <c r="B729" s="14"/>
      <c r="C729" s="14"/>
      <c r="D729" s="14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77"/>
      <c r="AM729" s="77"/>
    </row>
    <row r="730" spans="1:39" s="12" customFormat="1" ht="12.75">
      <c r="A730" s="14"/>
      <c r="B730" s="14"/>
      <c r="C730" s="14"/>
      <c r="D730" s="14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77"/>
      <c r="AM730" s="77"/>
    </row>
    <row r="731" spans="1:39" s="12" customFormat="1" ht="12.75">
      <c r="A731" s="14"/>
      <c r="B731" s="14"/>
      <c r="C731" s="14"/>
      <c r="D731" s="14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77"/>
      <c r="AM731" s="77"/>
    </row>
    <row r="732" spans="1:39" s="12" customFormat="1" ht="12.75">
      <c r="A732" s="14"/>
      <c r="B732" s="14"/>
      <c r="C732" s="14"/>
      <c r="D732" s="14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77"/>
      <c r="AM732" s="77"/>
    </row>
    <row r="733" spans="1:39" s="12" customFormat="1" ht="12.75">
      <c r="A733" s="14"/>
      <c r="B733" s="14"/>
      <c r="C733" s="14"/>
      <c r="D733" s="14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77"/>
      <c r="AM733" s="77"/>
    </row>
    <row r="734" spans="1:39" s="12" customFormat="1" ht="12.75">
      <c r="A734" s="14"/>
      <c r="B734" s="14"/>
      <c r="C734" s="14"/>
      <c r="D734" s="14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77"/>
      <c r="AM734" s="77"/>
    </row>
    <row r="735" spans="1:39" s="12" customFormat="1" ht="12.75">
      <c r="A735" s="14"/>
      <c r="B735" s="14"/>
      <c r="C735" s="14"/>
      <c r="D735" s="14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77"/>
      <c r="AM735" s="77"/>
    </row>
    <row r="736" spans="1:39" s="12" customFormat="1" ht="12.75">
      <c r="A736" s="14"/>
      <c r="B736" s="14"/>
      <c r="C736" s="14"/>
      <c r="D736" s="14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77"/>
      <c r="AM736" s="77"/>
    </row>
    <row r="737" spans="1:39" s="12" customFormat="1" ht="12.75">
      <c r="A737" s="14"/>
      <c r="B737" s="14"/>
      <c r="C737" s="14"/>
      <c r="D737" s="14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77"/>
      <c r="AM737" s="77"/>
    </row>
    <row r="738" spans="1:39" s="12" customFormat="1" ht="12.75">
      <c r="A738" s="14"/>
      <c r="B738" s="14"/>
      <c r="C738" s="14"/>
      <c r="D738" s="14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77"/>
      <c r="AM738" s="77"/>
    </row>
    <row r="739" spans="1:39" s="12" customFormat="1" ht="12.75">
      <c r="A739" s="14"/>
      <c r="B739" s="14"/>
      <c r="C739" s="14"/>
      <c r="D739" s="14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77"/>
      <c r="AM739" s="77"/>
    </row>
    <row r="740" spans="1:39" s="12" customFormat="1" ht="12.75">
      <c r="A740" s="14"/>
      <c r="B740" s="14"/>
      <c r="C740" s="14"/>
      <c r="D740" s="14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77"/>
      <c r="AM740" s="77"/>
    </row>
    <row r="741" spans="1:39" s="12" customFormat="1" ht="12.75">
      <c r="A741" s="14"/>
      <c r="B741" s="14"/>
      <c r="C741" s="14"/>
      <c r="D741" s="14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77"/>
      <c r="AM741" s="77"/>
    </row>
    <row r="742" spans="1:39" s="12" customFormat="1" ht="12.75">
      <c r="A742" s="14"/>
      <c r="B742" s="14"/>
      <c r="C742" s="14"/>
      <c r="D742" s="14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77"/>
      <c r="AM742" s="77"/>
    </row>
    <row r="743" spans="1:39" s="12" customFormat="1" ht="12.75">
      <c r="A743" s="14"/>
      <c r="B743" s="14"/>
      <c r="C743" s="14"/>
      <c r="D743" s="14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77"/>
      <c r="AM743" s="77"/>
    </row>
    <row r="744" spans="1:39" s="12" customFormat="1" ht="12.75">
      <c r="A744" s="14"/>
      <c r="B744" s="14"/>
      <c r="C744" s="14"/>
      <c r="D744" s="14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77"/>
      <c r="AM744" s="77"/>
    </row>
    <row r="745" spans="1:39" s="12" customFormat="1" ht="12.75">
      <c r="A745" s="14"/>
      <c r="B745" s="14"/>
      <c r="C745" s="14"/>
      <c r="D745" s="14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77"/>
      <c r="AM745" s="77"/>
    </row>
    <row r="746" spans="1:39" s="12" customFormat="1" ht="12.75">
      <c r="A746" s="14"/>
      <c r="B746" s="14"/>
      <c r="C746" s="14"/>
      <c r="D746" s="14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77"/>
      <c r="AM746" s="77"/>
    </row>
    <row r="747" spans="1:39" s="12" customFormat="1" ht="12.75">
      <c r="A747" s="14"/>
      <c r="B747" s="14"/>
      <c r="C747" s="14"/>
      <c r="D747" s="14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77"/>
      <c r="AM747" s="77"/>
    </row>
    <row r="748" spans="1:39" s="12" customFormat="1" ht="12.75">
      <c r="A748" s="14"/>
      <c r="B748" s="14"/>
      <c r="C748" s="14"/>
      <c r="D748" s="14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77"/>
      <c r="AM748" s="77"/>
    </row>
    <row r="749" spans="1:39" s="12" customFormat="1" ht="12.75">
      <c r="A749" s="14"/>
      <c r="B749" s="14"/>
      <c r="C749" s="14"/>
      <c r="D749" s="1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77"/>
      <c r="AM749" s="77"/>
    </row>
    <row r="750" spans="1:39" s="12" customFormat="1" ht="12.75">
      <c r="A750" s="14"/>
      <c r="B750" s="14"/>
      <c r="C750" s="14"/>
      <c r="D750" s="1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77"/>
      <c r="AM750" s="77"/>
    </row>
    <row r="751" spans="1:39" s="12" customFormat="1" ht="12.75">
      <c r="A751" s="14"/>
      <c r="B751" s="14"/>
      <c r="C751" s="14"/>
      <c r="D751" s="1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77"/>
      <c r="AM751" s="77"/>
    </row>
    <row r="752" spans="1:39" s="12" customFormat="1" ht="12.75">
      <c r="A752" s="14"/>
      <c r="B752" s="14"/>
      <c r="C752" s="14"/>
      <c r="D752" s="1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77"/>
      <c r="AM752" s="77"/>
    </row>
    <row r="753" spans="1:39" s="12" customFormat="1" ht="12.75">
      <c r="A753" s="14"/>
      <c r="B753" s="14"/>
      <c r="C753" s="14"/>
      <c r="D753" s="1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77"/>
      <c r="AM753" s="77"/>
    </row>
    <row r="754" spans="1:39" s="12" customFormat="1" ht="12.75">
      <c r="A754" s="14"/>
      <c r="B754" s="14"/>
      <c r="C754" s="14"/>
      <c r="D754" s="1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77"/>
      <c r="AM754" s="77"/>
    </row>
    <row r="755" spans="1:39" s="12" customFormat="1" ht="12.75">
      <c r="A755" s="14"/>
      <c r="B755" s="14"/>
      <c r="C755" s="14"/>
      <c r="D755" s="1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77"/>
      <c r="AM755" s="77"/>
    </row>
    <row r="756" spans="1:39" s="12" customFormat="1" ht="12.75">
      <c r="A756" s="14"/>
      <c r="B756" s="14"/>
      <c r="C756" s="14"/>
      <c r="D756" s="1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77"/>
      <c r="AM756" s="77"/>
    </row>
    <row r="757" spans="1:39" s="12" customFormat="1" ht="12.75">
      <c r="A757" s="14"/>
      <c r="B757" s="14"/>
      <c r="C757" s="14"/>
      <c r="D757" s="1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77"/>
      <c r="AM757" s="77"/>
    </row>
    <row r="758" spans="1:39" s="12" customFormat="1" ht="12.75">
      <c r="A758" s="14"/>
      <c r="B758" s="14"/>
      <c r="C758" s="14"/>
      <c r="D758" s="1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77"/>
      <c r="AM758" s="77"/>
    </row>
    <row r="759" spans="1:39" s="12" customFormat="1" ht="12.75">
      <c r="A759" s="14"/>
      <c r="B759" s="14"/>
      <c r="C759" s="14"/>
      <c r="D759" s="1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77"/>
      <c r="AM759" s="77"/>
    </row>
    <row r="760" spans="1:39" s="12" customFormat="1" ht="12.75">
      <c r="A760" s="14"/>
      <c r="B760" s="14"/>
      <c r="C760" s="14"/>
      <c r="D760" s="1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77"/>
      <c r="AM760" s="77"/>
    </row>
    <row r="761" spans="1:39" s="12" customFormat="1" ht="12.75">
      <c r="A761" s="14"/>
      <c r="B761" s="14"/>
      <c r="C761" s="14"/>
      <c r="D761" s="1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77"/>
      <c r="AM761" s="77"/>
    </row>
    <row r="762" spans="1:39" s="12" customFormat="1" ht="12.75">
      <c r="A762" s="14"/>
      <c r="B762" s="14"/>
      <c r="C762" s="14"/>
      <c r="D762" s="1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77"/>
      <c r="AM762" s="77"/>
    </row>
    <row r="763" spans="1:39" s="12" customFormat="1" ht="12.75">
      <c r="A763" s="14"/>
      <c r="B763" s="14"/>
      <c r="C763" s="14"/>
      <c r="D763" s="1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77"/>
      <c r="AM763" s="77"/>
    </row>
    <row r="764" spans="1:39" s="12" customFormat="1" ht="12.75">
      <c r="A764" s="14"/>
      <c r="B764" s="14"/>
      <c r="C764" s="14"/>
      <c r="D764" s="1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77"/>
      <c r="AM764" s="77"/>
    </row>
    <row r="765" spans="1:39" s="12" customFormat="1" ht="12.75">
      <c r="A765" s="14"/>
      <c r="B765" s="14"/>
      <c r="C765" s="14"/>
      <c r="D765" s="14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77"/>
      <c r="AM765" s="77"/>
    </row>
    <row r="766" spans="1:39" s="12" customFormat="1" ht="12.75">
      <c r="A766" s="14"/>
      <c r="B766" s="14"/>
      <c r="C766" s="14"/>
      <c r="D766" s="14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77"/>
      <c r="AM766" s="77"/>
    </row>
    <row r="767" spans="1:39" s="12" customFormat="1" ht="12.75">
      <c r="A767" s="14"/>
      <c r="B767" s="14"/>
      <c r="C767" s="14"/>
      <c r="D767" s="14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77"/>
      <c r="AM767" s="77"/>
    </row>
    <row r="768" spans="1:39" s="12" customFormat="1" ht="12.75">
      <c r="A768" s="14"/>
      <c r="B768" s="14"/>
      <c r="C768" s="14"/>
      <c r="D768" s="14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77"/>
      <c r="AM768" s="77"/>
    </row>
    <row r="769" spans="1:39" s="12" customFormat="1" ht="12.75">
      <c r="A769" s="14"/>
      <c r="B769" s="14"/>
      <c r="C769" s="14"/>
      <c r="D769" s="14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77"/>
      <c r="AM769" s="77"/>
    </row>
    <row r="770" spans="1:39" s="12" customFormat="1" ht="12.75">
      <c r="A770" s="14"/>
      <c r="B770" s="14"/>
      <c r="C770" s="14"/>
      <c r="D770" s="14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77"/>
      <c r="AM770" s="77"/>
    </row>
    <row r="771" spans="1:39" s="12" customFormat="1" ht="12.75">
      <c r="A771" s="14"/>
      <c r="B771" s="14"/>
      <c r="C771" s="14"/>
      <c r="D771" s="14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77"/>
      <c r="AM771" s="77"/>
    </row>
    <row r="772" spans="1:39" s="12" customFormat="1" ht="12.75">
      <c r="A772" s="14"/>
      <c r="B772" s="14"/>
      <c r="C772" s="14"/>
      <c r="D772" s="14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77"/>
      <c r="AM772" s="77"/>
    </row>
    <row r="773" spans="1:39" s="12" customFormat="1" ht="12.75">
      <c r="A773" s="14"/>
      <c r="B773" s="14"/>
      <c r="C773" s="14"/>
      <c r="D773" s="14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77"/>
      <c r="AM773" s="77"/>
    </row>
    <row r="774" spans="1:39" s="12" customFormat="1" ht="12.75">
      <c r="A774" s="14"/>
      <c r="B774" s="14"/>
      <c r="C774" s="14"/>
      <c r="D774" s="14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77"/>
      <c r="AM774" s="77"/>
    </row>
    <row r="775" spans="1:39" s="12" customFormat="1" ht="12.75">
      <c r="A775" s="14"/>
      <c r="B775" s="14"/>
      <c r="C775" s="14"/>
      <c r="D775" s="14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77"/>
      <c r="AM775" s="77"/>
    </row>
    <row r="776" spans="1:39" s="12" customFormat="1" ht="12.75">
      <c r="A776" s="14"/>
      <c r="B776" s="14"/>
      <c r="C776" s="14"/>
      <c r="D776" s="14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77"/>
      <c r="AM776" s="77"/>
    </row>
    <row r="777" spans="1:39" s="12" customFormat="1" ht="12.75">
      <c r="A777" s="14"/>
      <c r="B777" s="14"/>
      <c r="C777" s="14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77"/>
      <c r="AM777" s="77"/>
    </row>
    <row r="778" spans="1:39" s="12" customFormat="1" ht="12.75">
      <c r="A778" s="14"/>
      <c r="B778" s="14"/>
      <c r="C778" s="14"/>
      <c r="D778" s="14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77"/>
      <c r="AM778" s="77"/>
    </row>
    <row r="779" spans="1:39" s="12" customFormat="1" ht="12.75">
      <c r="A779" s="14"/>
      <c r="B779" s="14"/>
      <c r="C779" s="14"/>
      <c r="D779" s="14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77"/>
      <c r="AM779" s="77"/>
    </row>
    <row r="780" spans="1:39" s="12" customFormat="1" ht="12.75">
      <c r="A780" s="14"/>
      <c r="B780" s="14"/>
      <c r="C780" s="14"/>
      <c r="D780" s="14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77"/>
      <c r="AM780" s="77"/>
    </row>
    <row r="781" spans="1:39" s="12" customFormat="1" ht="12.75">
      <c r="A781" s="14"/>
      <c r="B781" s="14"/>
      <c r="C781" s="14"/>
      <c r="D781" s="14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77"/>
      <c r="AM781" s="77"/>
    </row>
    <row r="782" spans="1:39" s="12" customFormat="1" ht="12.75">
      <c r="A782" s="14"/>
      <c r="B782" s="14"/>
      <c r="C782" s="14"/>
      <c r="D782" s="14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77"/>
      <c r="AM782" s="77"/>
    </row>
    <row r="783" spans="1:39" s="12" customFormat="1" ht="12.75">
      <c r="A783" s="14"/>
      <c r="B783" s="14"/>
      <c r="C783" s="14"/>
      <c r="D783" s="14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77"/>
      <c r="AM783" s="77"/>
    </row>
    <row r="784" spans="1:39" s="12" customFormat="1" ht="12.75">
      <c r="A784" s="14"/>
      <c r="B784" s="14"/>
      <c r="C784" s="14"/>
      <c r="D784" s="1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77"/>
      <c r="AM784" s="77"/>
    </row>
    <row r="785" spans="1:39" s="12" customFormat="1" ht="12.75">
      <c r="A785" s="14"/>
      <c r="B785" s="14"/>
      <c r="C785" s="14"/>
      <c r="D785" s="14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77"/>
      <c r="AM785" s="77"/>
    </row>
    <row r="786" spans="1:39" s="12" customFormat="1" ht="12.75">
      <c r="A786" s="14"/>
      <c r="B786" s="14"/>
      <c r="C786" s="14"/>
      <c r="D786" s="14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77"/>
      <c r="AM786" s="77"/>
    </row>
    <row r="787" spans="1:39" s="12" customFormat="1" ht="12.75">
      <c r="A787" s="14"/>
      <c r="B787" s="14"/>
      <c r="C787" s="14"/>
      <c r="D787" s="14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77"/>
      <c r="AM787" s="77"/>
    </row>
    <row r="788" spans="1:39" s="12" customFormat="1" ht="12.75">
      <c r="A788" s="14"/>
      <c r="B788" s="14"/>
      <c r="C788" s="14"/>
      <c r="D788" s="14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77"/>
      <c r="AM788" s="77"/>
    </row>
    <row r="789" spans="1:39" s="12" customFormat="1" ht="12.75">
      <c r="A789" s="14"/>
      <c r="B789" s="14"/>
      <c r="C789" s="14"/>
      <c r="D789" s="14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77"/>
      <c r="AM789" s="77"/>
    </row>
    <row r="790" spans="1:39" s="12" customFormat="1" ht="12.75">
      <c r="A790" s="14"/>
      <c r="B790" s="14"/>
      <c r="C790" s="14"/>
      <c r="D790" s="14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77"/>
      <c r="AM790" s="77"/>
    </row>
    <row r="791" spans="1:39" s="12" customFormat="1" ht="12.75">
      <c r="A791" s="14"/>
      <c r="B791" s="14"/>
      <c r="C791" s="14"/>
      <c r="D791" s="14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77"/>
      <c r="AM791" s="77"/>
    </row>
    <row r="792" spans="1:39" s="12" customFormat="1" ht="12.75">
      <c r="A792" s="14"/>
      <c r="B792" s="14"/>
      <c r="C792" s="14"/>
      <c r="D792" s="14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77"/>
      <c r="AM792" s="77"/>
    </row>
    <row r="793" spans="1:39" s="12" customFormat="1" ht="12.75">
      <c r="A793" s="14"/>
      <c r="B793" s="14"/>
      <c r="C793" s="14"/>
      <c r="D793" s="14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77"/>
      <c r="AM793" s="77"/>
    </row>
    <row r="794" spans="1:39" s="12" customFormat="1" ht="12.75">
      <c r="A794" s="14"/>
      <c r="B794" s="14"/>
      <c r="C794" s="14"/>
      <c r="D794" s="14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77"/>
      <c r="AM794" s="77"/>
    </row>
    <row r="795" spans="1:39" s="12" customFormat="1" ht="12.75">
      <c r="A795" s="14"/>
      <c r="B795" s="14"/>
      <c r="C795" s="14"/>
      <c r="D795" s="14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77"/>
      <c r="AM795" s="77"/>
    </row>
    <row r="796" spans="1:39" s="12" customFormat="1" ht="12.75">
      <c r="A796" s="14"/>
      <c r="B796" s="14"/>
      <c r="C796" s="14"/>
      <c r="D796" s="14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77"/>
      <c r="AM796" s="77"/>
    </row>
    <row r="797" spans="1:39" s="12" customFormat="1" ht="12.75">
      <c r="A797" s="14"/>
      <c r="B797" s="14"/>
      <c r="C797" s="14"/>
      <c r="D797" s="14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77"/>
      <c r="AM797" s="77"/>
    </row>
    <row r="798" spans="1:39" s="12" customFormat="1" ht="12.75">
      <c r="A798" s="14"/>
      <c r="B798" s="14"/>
      <c r="C798" s="14"/>
      <c r="D798" s="14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77"/>
      <c r="AM798" s="77"/>
    </row>
    <row r="799" spans="1:39" s="12" customFormat="1" ht="12.75">
      <c r="A799" s="14"/>
      <c r="B799" s="14"/>
      <c r="C799" s="14"/>
      <c r="D799" s="14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77"/>
      <c r="AM799" s="77"/>
    </row>
    <row r="800" spans="1:39" s="12" customFormat="1" ht="12.75">
      <c r="A800" s="14"/>
      <c r="B800" s="14"/>
      <c r="C800" s="14"/>
      <c r="D800" s="14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77"/>
      <c r="AM800" s="77"/>
    </row>
    <row r="801" spans="1:39" s="12" customFormat="1" ht="12.75">
      <c r="A801" s="14"/>
      <c r="B801" s="14"/>
      <c r="C801" s="14"/>
      <c r="D801" s="14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77"/>
      <c r="AM801" s="77"/>
    </row>
    <row r="802" spans="1:39" s="12" customFormat="1" ht="12.75">
      <c r="A802" s="14"/>
      <c r="B802" s="14"/>
      <c r="C802" s="14"/>
      <c r="D802" s="14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77"/>
      <c r="AM802" s="77"/>
    </row>
    <row r="803" spans="1:39" s="12" customFormat="1" ht="12.75">
      <c r="A803" s="14"/>
      <c r="B803" s="14"/>
      <c r="C803" s="14"/>
      <c r="D803" s="14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77"/>
      <c r="AM803" s="77"/>
    </row>
    <row r="804" spans="1:39" s="12" customFormat="1" ht="12.75">
      <c r="A804" s="14"/>
      <c r="B804" s="14"/>
      <c r="C804" s="14"/>
      <c r="D804" s="14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77"/>
      <c r="AM804" s="77"/>
    </row>
    <row r="805" spans="1:39" s="12" customFormat="1" ht="12.75">
      <c r="A805" s="14"/>
      <c r="B805" s="14"/>
      <c r="C805" s="14"/>
      <c r="D805" s="14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77"/>
      <c r="AM805" s="77"/>
    </row>
    <row r="806" spans="1:39" s="12" customFormat="1" ht="12.75">
      <c r="A806" s="14"/>
      <c r="B806" s="14"/>
      <c r="C806" s="14"/>
      <c r="D806" s="14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77"/>
      <c r="AM806" s="77"/>
    </row>
    <row r="807" spans="1:39" s="12" customFormat="1" ht="12.75">
      <c r="A807" s="14"/>
      <c r="B807" s="14"/>
      <c r="C807" s="14"/>
      <c r="D807" s="14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77"/>
      <c r="AM807" s="77"/>
    </row>
    <row r="808" spans="1:39" s="12" customFormat="1" ht="12.75">
      <c r="A808" s="14"/>
      <c r="B808" s="14"/>
      <c r="C808" s="14"/>
      <c r="D808" s="14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77"/>
      <c r="AM808" s="77"/>
    </row>
    <row r="809" spans="1:39" s="12" customFormat="1" ht="12.75">
      <c r="A809" s="14"/>
      <c r="B809" s="14"/>
      <c r="C809" s="14"/>
      <c r="D809" s="14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77"/>
      <c r="AM809" s="77"/>
    </row>
    <row r="810" spans="1:39" s="12" customFormat="1" ht="12.75">
      <c r="A810" s="14"/>
      <c r="B810" s="14"/>
      <c r="C810" s="14"/>
      <c r="D810" s="14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77"/>
      <c r="AM810" s="77"/>
    </row>
    <row r="811" spans="1:39" s="12" customFormat="1" ht="12.75">
      <c r="A811" s="14"/>
      <c r="B811" s="14"/>
      <c r="C811" s="14"/>
      <c r="D811" s="14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77"/>
      <c r="AM811" s="77"/>
    </row>
    <row r="812" spans="1:39" s="12" customFormat="1" ht="12.75">
      <c r="A812" s="14"/>
      <c r="B812" s="14"/>
      <c r="C812" s="14"/>
      <c r="D812" s="14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77"/>
      <c r="AM812" s="77"/>
    </row>
    <row r="813" spans="1:39" s="12" customFormat="1" ht="12.75">
      <c r="A813" s="14"/>
      <c r="B813" s="14"/>
      <c r="C813" s="14"/>
      <c r="D813" s="14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77"/>
      <c r="AM813" s="77"/>
    </row>
  </sheetData>
  <sheetProtection/>
  <mergeCells count="1">
    <mergeCell ref="A5:AK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86"/>
  <sheetViews>
    <sheetView zoomScalePageLayoutView="0" workbookViewId="0" topLeftCell="A1">
      <selection activeCell="V53" sqref="V53"/>
    </sheetView>
  </sheetViews>
  <sheetFormatPr defaultColWidth="9.00390625" defaultRowHeight="12.75"/>
  <cols>
    <col min="1" max="1" width="6.25390625" style="4" customWidth="1"/>
    <col min="2" max="2" width="7.25390625" style="4" bestFit="1" customWidth="1"/>
    <col min="3" max="3" width="5.75390625" style="4" customWidth="1"/>
    <col min="4" max="4" width="27.875" style="4" customWidth="1"/>
    <col min="5" max="5" width="12.875" style="0" hidden="1" customWidth="1"/>
    <col min="6" max="6" width="13.625" style="0" hidden="1" customWidth="1"/>
    <col min="7" max="7" width="15.25390625" style="0" hidden="1" customWidth="1"/>
    <col min="8" max="8" width="13.625" style="0" hidden="1" customWidth="1"/>
    <col min="9" max="9" width="15.25390625" style="0" hidden="1" customWidth="1"/>
    <col min="10" max="10" width="13.625" style="0" hidden="1" customWidth="1"/>
    <col min="11" max="11" width="15.25390625" style="0" hidden="1" customWidth="1"/>
    <col min="12" max="12" width="13.625" style="0" hidden="1" customWidth="1"/>
    <col min="13" max="13" width="15.25390625" style="0" hidden="1" customWidth="1"/>
    <col min="14" max="14" width="13.625" style="0" hidden="1" customWidth="1"/>
    <col min="15" max="15" width="15.25390625" style="0" hidden="1" customWidth="1"/>
    <col min="16" max="16" width="13.625" style="0" hidden="1" customWidth="1"/>
    <col min="17" max="17" width="15.25390625" style="0" hidden="1" customWidth="1"/>
    <col min="18" max="18" width="10.00390625" style="0" hidden="1" customWidth="1"/>
    <col min="19" max="19" width="15.25390625" style="0" hidden="1" customWidth="1"/>
    <col min="20" max="20" width="13.625" style="0" hidden="1" customWidth="1"/>
    <col min="21" max="21" width="15.25390625" style="0" customWidth="1"/>
    <col min="22" max="22" width="13.625" style="0" customWidth="1"/>
    <col min="23" max="23" width="15.25390625" style="0" customWidth="1"/>
  </cols>
  <sheetData>
    <row r="1" spans="5:23" ht="12.75">
      <c r="E1" s="34" t="s">
        <v>263</v>
      </c>
      <c r="F1" s="34"/>
      <c r="G1" s="34" t="s">
        <v>283</v>
      </c>
      <c r="H1" s="34"/>
      <c r="I1" s="34" t="s">
        <v>192</v>
      </c>
      <c r="J1" s="34"/>
      <c r="K1" s="34" t="s">
        <v>5</v>
      </c>
      <c r="L1" s="34"/>
      <c r="M1" s="34" t="s">
        <v>226</v>
      </c>
      <c r="N1" s="34"/>
      <c r="O1" s="34" t="s">
        <v>320</v>
      </c>
      <c r="P1" s="34"/>
      <c r="Q1" s="34" t="s">
        <v>369</v>
      </c>
      <c r="R1" s="34"/>
      <c r="S1" s="34" t="s">
        <v>377</v>
      </c>
      <c r="T1" s="34"/>
      <c r="U1" s="34" t="s">
        <v>392</v>
      </c>
      <c r="V1" s="34"/>
      <c r="W1" s="34"/>
    </row>
    <row r="2" spans="4:23" ht="12.75">
      <c r="D2" s="4" t="s">
        <v>178</v>
      </c>
      <c r="E2" s="34" t="s">
        <v>264</v>
      </c>
      <c r="F2" s="34"/>
      <c r="G2" s="34" t="s">
        <v>282</v>
      </c>
      <c r="H2" s="34"/>
      <c r="I2" s="34" t="s">
        <v>193</v>
      </c>
      <c r="J2" s="34"/>
      <c r="K2" s="34" t="s">
        <v>6</v>
      </c>
      <c r="L2" s="34"/>
      <c r="M2" s="34" t="s">
        <v>221</v>
      </c>
      <c r="N2" s="34"/>
      <c r="O2" s="34" t="s">
        <v>317</v>
      </c>
      <c r="P2" s="34"/>
      <c r="Q2" s="34" t="s">
        <v>370</v>
      </c>
      <c r="R2" s="34"/>
      <c r="S2" s="34" t="s">
        <v>378</v>
      </c>
      <c r="T2" s="34"/>
      <c r="U2" s="34" t="s">
        <v>391</v>
      </c>
      <c r="V2" s="34"/>
      <c r="W2" s="34"/>
    </row>
    <row r="3" spans="4:23" ht="12.75">
      <c r="D3" s="4" t="s">
        <v>177</v>
      </c>
      <c r="E3" s="34" t="s">
        <v>151</v>
      </c>
      <c r="F3" s="34"/>
      <c r="G3" s="34" t="s">
        <v>263</v>
      </c>
      <c r="H3" s="34"/>
      <c r="I3" s="34" t="s">
        <v>283</v>
      </c>
      <c r="J3" s="34"/>
      <c r="K3" s="34" t="s">
        <v>192</v>
      </c>
      <c r="L3" s="34"/>
      <c r="M3" s="34" t="s">
        <v>5</v>
      </c>
      <c r="N3" s="34"/>
      <c r="O3" s="34" t="s">
        <v>226</v>
      </c>
      <c r="P3" s="34"/>
      <c r="Q3" s="34" t="s">
        <v>320</v>
      </c>
      <c r="R3" s="34"/>
      <c r="S3" s="34" t="s">
        <v>369</v>
      </c>
      <c r="T3" s="34"/>
      <c r="U3" s="34" t="s">
        <v>382</v>
      </c>
      <c r="V3" s="34"/>
      <c r="W3" s="34"/>
    </row>
    <row r="4" spans="5:23" ht="12.75">
      <c r="E4" s="34" t="s">
        <v>248</v>
      </c>
      <c r="F4" s="34"/>
      <c r="G4" s="34" t="s">
        <v>42</v>
      </c>
      <c r="H4" s="34"/>
      <c r="I4" s="34" t="s">
        <v>274</v>
      </c>
      <c r="J4" s="34"/>
      <c r="K4" s="34" t="s">
        <v>4</v>
      </c>
      <c r="L4" s="34"/>
      <c r="M4" s="34" t="s">
        <v>241</v>
      </c>
      <c r="N4" s="34"/>
      <c r="O4" s="34" t="s">
        <v>222</v>
      </c>
      <c r="P4" s="34"/>
      <c r="Q4" s="34" t="s">
        <v>322</v>
      </c>
      <c r="R4" s="34"/>
      <c r="S4" s="34" t="s">
        <v>373</v>
      </c>
      <c r="T4" s="34"/>
      <c r="U4" s="34" t="s">
        <v>381</v>
      </c>
      <c r="V4" s="34"/>
      <c r="W4" s="34"/>
    </row>
    <row r="6" spans="1:23" ht="30" customHeight="1">
      <c r="A6" s="152" t="s">
        <v>201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</row>
    <row r="7" spans="1:23" s="4" customFormat="1" ht="24.75" customHeight="1">
      <c r="A7" s="7" t="s">
        <v>8</v>
      </c>
      <c r="B7" s="7" t="s">
        <v>11</v>
      </c>
      <c r="C7" s="7" t="s">
        <v>12</v>
      </c>
      <c r="D7" s="10" t="s">
        <v>13</v>
      </c>
      <c r="E7" s="69" t="s">
        <v>138</v>
      </c>
      <c r="F7" s="69" t="s">
        <v>165</v>
      </c>
      <c r="G7" s="69" t="s">
        <v>139</v>
      </c>
      <c r="H7" s="69" t="s">
        <v>165</v>
      </c>
      <c r="I7" s="69" t="s">
        <v>139</v>
      </c>
      <c r="J7" s="69" t="s">
        <v>165</v>
      </c>
      <c r="K7" s="69" t="s">
        <v>139</v>
      </c>
      <c r="L7" s="69" t="s">
        <v>165</v>
      </c>
      <c r="M7" s="69" t="s">
        <v>139</v>
      </c>
      <c r="N7" s="69" t="s">
        <v>165</v>
      </c>
      <c r="O7" s="69" t="s">
        <v>139</v>
      </c>
      <c r="P7" s="69" t="s">
        <v>165</v>
      </c>
      <c r="Q7" s="69" t="s">
        <v>139</v>
      </c>
      <c r="R7" s="69" t="s">
        <v>165</v>
      </c>
      <c r="S7" s="69" t="s">
        <v>139</v>
      </c>
      <c r="T7" s="69" t="s">
        <v>165</v>
      </c>
      <c r="U7" s="69" t="s">
        <v>139</v>
      </c>
      <c r="V7" s="69" t="s">
        <v>165</v>
      </c>
      <c r="W7" s="69" t="s">
        <v>171</v>
      </c>
    </row>
    <row r="8" spans="1:23" s="4" customFormat="1" ht="21" customHeight="1">
      <c r="A8" s="20" t="s">
        <v>14</v>
      </c>
      <c r="B8" s="7"/>
      <c r="C8" s="8"/>
      <c r="D8" s="19" t="s">
        <v>15</v>
      </c>
      <c r="E8" s="69"/>
      <c r="F8" s="69"/>
      <c r="G8" s="69"/>
      <c r="H8" s="69"/>
      <c r="I8" s="76">
        <f aca="true" t="shared" si="0" ref="I8:W8">SUM(I9)</f>
        <v>0</v>
      </c>
      <c r="J8" s="76">
        <f t="shared" si="0"/>
        <v>192361</v>
      </c>
      <c r="K8" s="76">
        <f t="shared" si="0"/>
        <v>192361</v>
      </c>
      <c r="L8" s="76">
        <f t="shared" si="0"/>
        <v>0</v>
      </c>
      <c r="M8" s="76">
        <f t="shared" si="0"/>
        <v>192361</v>
      </c>
      <c r="N8" s="76">
        <f t="shared" si="0"/>
        <v>0</v>
      </c>
      <c r="O8" s="76">
        <f t="shared" si="0"/>
        <v>192361</v>
      </c>
      <c r="P8" s="76">
        <f t="shared" si="0"/>
        <v>0</v>
      </c>
      <c r="Q8" s="76">
        <f t="shared" si="0"/>
        <v>192361</v>
      </c>
      <c r="R8" s="76">
        <f t="shared" si="0"/>
        <v>224360</v>
      </c>
      <c r="S8" s="76">
        <f t="shared" si="0"/>
        <v>416721</v>
      </c>
      <c r="T8" s="76">
        <f t="shared" si="0"/>
        <v>0</v>
      </c>
      <c r="U8" s="76">
        <f t="shared" si="0"/>
        <v>416721</v>
      </c>
      <c r="V8" s="76">
        <f t="shared" si="0"/>
        <v>0</v>
      </c>
      <c r="W8" s="76">
        <f t="shared" si="0"/>
        <v>416721</v>
      </c>
    </row>
    <row r="9" spans="1:23" s="15" customFormat="1" ht="21" customHeight="1">
      <c r="A9" s="54"/>
      <c r="B9" s="46" t="s">
        <v>204</v>
      </c>
      <c r="C9" s="48"/>
      <c r="D9" s="49" t="s">
        <v>16</v>
      </c>
      <c r="E9" s="80"/>
      <c r="F9" s="80"/>
      <c r="G9" s="80"/>
      <c r="H9" s="80"/>
      <c r="I9" s="79">
        <f aca="true" t="shared" si="1" ref="I9:O9">SUM(I10:I13)</f>
        <v>0</v>
      </c>
      <c r="J9" s="79">
        <f t="shared" si="1"/>
        <v>192361</v>
      </c>
      <c r="K9" s="79">
        <f t="shared" si="1"/>
        <v>192361</v>
      </c>
      <c r="L9" s="79">
        <f t="shared" si="1"/>
        <v>0</v>
      </c>
      <c r="M9" s="79">
        <f t="shared" si="1"/>
        <v>192361</v>
      </c>
      <c r="N9" s="79">
        <f t="shared" si="1"/>
        <v>0</v>
      </c>
      <c r="O9" s="79">
        <f t="shared" si="1"/>
        <v>192361</v>
      </c>
      <c r="P9" s="79">
        <f>SUM(P10:P13)</f>
        <v>0</v>
      </c>
      <c r="Q9" s="79">
        <f>SUM(Q10:Q13)</f>
        <v>192361</v>
      </c>
      <c r="R9" s="79">
        <f aca="true" t="shared" si="2" ref="R9:W9">SUM(R10:R14)</f>
        <v>224360</v>
      </c>
      <c r="S9" s="79">
        <f t="shared" si="2"/>
        <v>416721</v>
      </c>
      <c r="T9" s="79">
        <f t="shared" si="2"/>
        <v>0</v>
      </c>
      <c r="U9" s="79">
        <f t="shared" si="2"/>
        <v>416721</v>
      </c>
      <c r="V9" s="79">
        <f t="shared" si="2"/>
        <v>0</v>
      </c>
      <c r="W9" s="79">
        <f t="shared" si="2"/>
        <v>416721</v>
      </c>
    </row>
    <row r="10" spans="1:23" s="15" customFormat="1" ht="21" customHeight="1">
      <c r="A10" s="54"/>
      <c r="B10" s="54"/>
      <c r="C10" s="48">
        <v>4210</v>
      </c>
      <c r="D10" s="49" t="s">
        <v>82</v>
      </c>
      <c r="E10" s="80"/>
      <c r="F10" s="80"/>
      <c r="G10" s="80"/>
      <c r="H10" s="80"/>
      <c r="I10" s="79">
        <v>0</v>
      </c>
      <c r="J10" s="79">
        <v>772</v>
      </c>
      <c r="K10" s="79">
        <f>SUM(I10:J10)</f>
        <v>772</v>
      </c>
      <c r="L10" s="79"/>
      <c r="M10" s="79">
        <f>SUM(K10:L10)</f>
        <v>772</v>
      </c>
      <c r="N10" s="79"/>
      <c r="O10" s="79">
        <f>SUM(M10:N10)</f>
        <v>772</v>
      </c>
      <c r="P10" s="79"/>
      <c r="Q10" s="79">
        <f>SUM(O10:P10)</f>
        <v>772</v>
      </c>
      <c r="R10" s="79">
        <v>900</v>
      </c>
      <c r="S10" s="79">
        <f>SUM(Q10:R10)</f>
        <v>1672</v>
      </c>
      <c r="T10" s="79"/>
      <c r="U10" s="79">
        <f>SUM(S10:T10)</f>
        <v>1672</v>
      </c>
      <c r="V10" s="79"/>
      <c r="W10" s="79">
        <f>SUM(U10:V10)</f>
        <v>1672</v>
      </c>
    </row>
    <row r="11" spans="1:23" s="15" customFormat="1" ht="21" customHeight="1">
      <c r="A11" s="54"/>
      <c r="B11" s="54"/>
      <c r="C11" s="48">
        <v>4300</v>
      </c>
      <c r="D11" s="49" t="s">
        <v>258</v>
      </c>
      <c r="E11" s="80"/>
      <c r="F11" s="80"/>
      <c r="G11" s="80"/>
      <c r="H11" s="80"/>
      <c r="I11" s="79">
        <v>0</v>
      </c>
      <c r="J11" s="79">
        <v>1000</v>
      </c>
      <c r="K11" s="79">
        <f>SUM(I11:J11)</f>
        <v>1000</v>
      </c>
      <c r="L11" s="79"/>
      <c r="M11" s="79">
        <f>SUM(K11:L11)</f>
        <v>1000</v>
      </c>
      <c r="N11" s="79"/>
      <c r="O11" s="79">
        <f>SUM(M11:N11)</f>
        <v>1000</v>
      </c>
      <c r="P11" s="79"/>
      <c r="Q11" s="79">
        <f>SUM(O11:P11)</f>
        <v>1000</v>
      </c>
      <c r="R11" s="79">
        <v>2599</v>
      </c>
      <c r="S11" s="79">
        <f>SUM(Q11:R11)</f>
        <v>3599</v>
      </c>
      <c r="T11" s="79"/>
      <c r="U11" s="79">
        <f>SUM(S11:T11)</f>
        <v>3599</v>
      </c>
      <c r="V11" s="79"/>
      <c r="W11" s="79">
        <f>SUM(U11:V11)</f>
        <v>3599</v>
      </c>
    </row>
    <row r="12" spans="1:23" s="15" customFormat="1" ht="21" customHeight="1">
      <c r="A12" s="54"/>
      <c r="B12" s="54"/>
      <c r="C12" s="48">
        <v>4430</v>
      </c>
      <c r="D12" s="49" t="s">
        <v>84</v>
      </c>
      <c r="E12" s="80"/>
      <c r="F12" s="80"/>
      <c r="G12" s="80"/>
      <c r="H12" s="80"/>
      <c r="I12" s="79">
        <v>0</v>
      </c>
      <c r="J12" s="79">
        <v>188589</v>
      </c>
      <c r="K12" s="79">
        <f>SUM(I12:J12)</f>
        <v>188589</v>
      </c>
      <c r="L12" s="79"/>
      <c r="M12" s="79">
        <f>SUM(K12:L12)</f>
        <v>188589</v>
      </c>
      <c r="N12" s="79"/>
      <c r="O12" s="79">
        <f>SUM(M12:N12)</f>
        <v>188589</v>
      </c>
      <c r="P12" s="79"/>
      <c r="Q12" s="79">
        <f>SUM(O12:P12)</f>
        <v>188589</v>
      </c>
      <c r="R12" s="79">
        <v>219961</v>
      </c>
      <c r="S12" s="79">
        <f>SUM(Q12:R12)</f>
        <v>408550</v>
      </c>
      <c r="T12" s="79"/>
      <c r="U12" s="79">
        <f>SUM(S12:T12)</f>
        <v>408550</v>
      </c>
      <c r="V12" s="79"/>
      <c r="W12" s="79">
        <f>SUM(U12:V12)</f>
        <v>408550</v>
      </c>
    </row>
    <row r="13" spans="1:23" s="15" customFormat="1" ht="33.75">
      <c r="A13" s="54"/>
      <c r="B13" s="54"/>
      <c r="C13" s="48">
        <v>4740</v>
      </c>
      <c r="D13" s="27" t="s">
        <v>189</v>
      </c>
      <c r="E13" s="80"/>
      <c r="F13" s="80"/>
      <c r="G13" s="80"/>
      <c r="H13" s="80"/>
      <c r="I13" s="79">
        <v>0</v>
      </c>
      <c r="J13" s="79">
        <v>2000</v>
      </c>
      <c r="K13" s="79">
        <f>SUM(I13:J13)</f>
        <v>2000</v>
      </c>
      <c r="L13" s="79"/>
      <c r="M13" s="79">
        <f>SUM(K13:L13)</f>
        <v>2000</v>
      </c>
      <c r="N13" s="79"/>
      <c r="O13" s="79">
        <f>SUM(M13:N13)</f>
        <v>2000</v>
      </c>
      <c r="P13" s="79"/>
      <c r="Q13" s="79">
        <f>SUM(O13:P13)</f>
        <v>2000</v>
      </c>
      <c r="R13" s="79">
        <v>300</v>
      </c>
      <c r="S13" s="79">
        <f>SUM(Q13:R13)</f>
        <v>2300</v>
      </c>
      <c r="T13" s="79"/>
      <c r="U13" s="79">
        <f>SUM(S13:T13)</f>
        <v>2300</v>
      </c>
      <c r="V13" s="79"/>
      <c r="W13" s="79">
        <f>SUM(U13:V13)</f>
        <v>2300</v>
      </c>
    </row>
    <row r="14" spans="1:23" s="15" customFormat="1" ht="33.75">
      <c r="A14" s="54"/>
      <c r="B14" s="54"/>
      <c r="C14" s="48">
        <v>4750</v>
      </c>
      <c r="D14" s="27" t="s">
        <v>269</v>
      </c>
      <c r="E14" s="80"/>
      <c r="F14" s="80"/>
      <c r="G14" s="80"/>
      <c r="H14" s="80"/>
      <c r="I14" s="79"/>
      <c r="J14" s="79"/>
      <c r="K14" s="79"/>
      <c r="L14" s="79"/>
      <c r="M14" s="79"/>
      <c r="N14" s="79"/>
      <c r="O14" s="79"/>
      <c r="P14" s="79"/>
      <c r="Q14" s="79">
        <v>0</v>
      </c>
      <c r="R14" s="79">
        <v>600</v>
      </c>
      <c r="S14" s="79">
        <f>SUM(Q14:R14)</f>
        <v>600</v>
      </c>
      <c r="T14" s="79"/>
      <c r="U14" s="79">
        <f>SUM(S14:T14)</f>
        <v>600</v>
      </c>
      <c r="V14" s="79"/>
      <c r="W14" s="79">
        <f>SUM(U14:V14)</f>
        <v>600</v>
      </c>
    </row>
    <row r="15" spans="1:23" s="15" customFormat="1" ht="24.75" customHeight="1">
      <c r="A15" s="20" t="s">
        <v>23</v>
      </c>
      <c r="B15" s="2"/>
      <c r="C15" s="11"/>
      <c r="D15" s="19" t="s">
        <v>24</v>
      </c>
      <c r="E15" s="30">
        <f aca="true" t="shared" si="3" ref="E15:W15">SUM(E16)</f>
        <v>153500</v>
      </c>
      <c r="F15" s="30">
        <f t="shared" si="3"/>
        <v>0</v>
      </c>
      <c r="G15" s="30">
        <f t="shared" si="3"/>
        <v>153500</v>
      </c>
      <c r="H15" s="30">
        <f t="shared" si="3"/>
        <v>0</v>
      </c>
      <c r="I15" s="30">
        <f t="shared" si="3"/>
        <v>153500</v>
      </c>
      <c r="J15" s="30">
        <f t="shared" si="3"/>
        <v>0</v>
      </c>
      <c r="K15" s="30">
        <f t="shared" si="3"/>
        <v>153500</v>
      </c>
      <c r="L15" s="30">
        <f t="shared" si="3"/>
        <v>0</v>
      </c>
      <c r="M15" s="30">
        <f t="shared" si="3"/>
        <v>153500</v>
      </c>
      <c r="N15" s="30">
        <f t="shared" si="3"/>
        <v>2211</v>
      </c>
      <c r="O15" s="30">
        <f t="shared" si="3"/>
        <v>155711</v>
      </c>
      <c r="P15" s="30">
        <f t="shared" si="3"/>
        <v>0</v>
      </c>
      <c r="Q15" s="30">
        <f t="shared" si="3"/>
        <v>155711</v>
      </c>
      <c r="R15" s="30">
        <f t="shared" si="3"/>
        <v>0</v>
      </c>
      <c r="S15" s="30">
        <f t="shared" si="3"/>
        <v>155711</v>
      </c>
      <c r="T15" s="30">
        <f t="shared" si="3"/>
        <v>0</v>
      </c>
      <c r="U15" s="30">
        <f t="shared" si="3"/>
        <v>155711</v>
      </c>
      <c r="V15" s="30">
        <f t="shared" si="3"/>
        <v>0</v>
      </c>
      <c r="W15" s="30">
        <f t="shared" si="3"/>
        <v>155711</v>
      </c>
    </row>
    <row r="16" spans="1:23" s="15" customFormat="1" ht="21" customHeight="1">
      <c r="A16" s="46"/>
      <c r="B16" s="46">
        <v>75011</v>
      </c>
      <c r="C16" s="52"/>
      <c r="D16" s="49" t="s">
        <v>25</v>
      </c>
      <c r="E16" s="64">
        <f aca="true" t="shared" si="4" ref="E16:K16">SUM(E17:E21)</f>
        <v>153500</v>
      </c>
      <c r="F16" s="64">
        <f t="shared" si="4"/>
        <v>0</v>
      </c>
      <c r="G16" s="64">
        <f t="shared" si="4"/>
        <v>153500</v>
      </c>
      <c r="H16" s="64">
        <f t="shared" si="4"/>
        <v>0</v>
      </c>
      <c r="I16" s="64">
        <f t="shared" si="4"/>
        <v>153500</v>
      </c>
      <c r="J16" s="64">
        <f t="shared" si="4"/>
        <v>0</v>
      </c>
      <c r="K16" s="64">
        <f t="shared" si="4"/>
        <v>153500</v>
      </c>
      <c r="L16" s="64">
        <f aca="true" t="shared" si="5" ref="L16:Q16">SUM(L17:L21)</f>
        <v>0</v>
      </c>
      <c r="M16" s="64">
        <f t="shared" si="5"/>
        <v>153500</v>
      </c>
      <c r="N16" s="64">
        <f t="shared" si="5"/>
        <v>2211</v>
      </c>
      <c r="O16" s="64">
        <f t="shared" si="5"/>
        <v>155711</v>
      </c>
      <c r="P16" s="64">
        <f t="shared" si="5"/>
        <v>0</v>
      </c>
      <c r="Q16" s="64">
        <f t="shared" si="5"/>
        <v>155711</v>
      </c>
      <c r="R16" s="64">
        <f aca="true" t="shared" si="6" ref="R16:W16">SUM(R17:R21)</f>
        <v>0</v>
      </c>
      <c r="S16" s="64">
        <f t="shared" si="6"/>
        <v>155711</v>
      </c>
      <c r="T16" s="64">
        <f t="shared" si="6"/>
        <v>0</v>
      </c>
      <c r="U16" s="64">
        <f t="shared" si="6"/>
        <v>155711</v>
      </c>
      <c r="V16" s="64">
        <f t="shared" si="6"/>
        <v>0</v>
      </c>
      <c r="W16" s="64">
        <f t="shared" si="6"/>
        <v>155711</v>
      </c>
    </row>
    <row r="17" spans="1:23" s="15" customFormat="1" ht="21.75" customHeight="1">
      <c r="A17" s="46"/>
      <c r="B17" s="31"/>
      <c r="C17" s="47">
        <v>4010</v>
      </c>
      <c r="D17" s="49" t="s">
        <v>74</v>
      </c>
      <c r="E17" s="64">
        <v>103800</v>
      </c>
      <c r="F17" s="64">
        <v>2833</v>
      </c>
      <c r="G17" s="64">
        <f>SUM(E17:F17)</f>
        <v>106633</v>
      </c>
      <c r="H17" s="64"/>
      <c r="I17" s="64">
        <f>SUM(G17:H17)</f>
        <v>106633</v>
      </c>
      <c r="J17" s="64"/>
      <c r="K17" s="64">
        <f>SUM(I17:J17)</f>
        <v>106633</v>
      </c>
      <c r="L17" s="64"/>
      <c r="M17" s="64">
        <f>SUM(K17:L17)</f>
        <v>106633</v>
      </c>
      <c r="N17" s="64">
        <v>2211</v>
      </c>
      <c r="O17" s="64">
        <f>SUM(M17:N17)</f>
        <v>108844</v>
      </c>
      <c r="P17" s="64"/>
      <c r="Q17" s="64">
        <f>SUM(O17:P17)</f>
        <v>108844</v>
      </c>
      <c r="R17" s="64"/>
      <c r="S17" s="64">
        <f>SUM(Q17:R17)</f>
        <v>108844</v>
      </c>
      <c r="T17" s="64"/>
      <c r="U17" s="64">
        <f>SUM(S17:T17)</f>
        <v>108844</v>
      </c>
      <c r="V17" s="64"/>
      <c r="W17" s="64">
        <f>SUM(U17:V17)</f>
        <v>108844</v>
      </c>
    </row>
    <row r="18" spans="1:23" s="15" customFormat="1" ht="21.75" customHeight="1">
      <c r="A18" s="46"/>
      <c r="B18" s="31"/>
      <c r="C18" s="47">
        <v>4040</v>
      </c>
      <c r="D18" s="49" t="s">
        <v>75</v>
      </c>
      <c r="E18" s="64">
        <v>18000</v>
      </c>
      <c r="F18" s="64">
        <v>-2833</v>
      </c>
      <c r="G18" s="64">
        <f>SUM(E18:F18)</f>
        <v>15167</v>
      </c>
      <c r="H18" s="64"/>
      <c r="I18" s="64">
        <f>SUM(G18:H18)</f>
        <v>15167</v>
      </c>
      <c r="J18" s="64"/>
      <c r="K18" s="64">
        <f>SUM(I18:J18)</f>
        <v>15167</v>
      </c>
      <c r="L18" s="64"/>
      <c r="M18" s="64">
        <f>SUM(K18:L18)</f>
        <v>15167</v>
      </c>
      <c r="N18" s="64"/>
      <c r="O18" s="64">
        <f>SUM(M18:N18)</f>
        <v>15167</v>
      </c>
      <c r="P18" s="64"/>
      <c r="Q18" s="64">
        <f>SUM(O18:P18)</f>
        <v>15167</v>
      </c>
      <c r="R18" s="64"/>
      <c r="S18" s="64">
        <f>SUM(Q18:R18)</f>
        <v>15167</v>
      </c>
      <c r="T18" s="64"/>
      <c r="U18" s="64">
        <f>SUM(S18:T18)</f>
        <v>15167</v>
      </c>
      <c r="V18" s="64"/>
      <c r="W18" s="64">
        <f>SUM(U18:V18)</f>
        <v>15167</v>
      </c>
    </row>
    <row r="19" spans="1:23" s="15" customFormat="1" ht="21.75" customHeight="1">
      <c r="A19" s="46"/>
      <c r="B19" s="31"/>
      <c r="C19" s="47">
        <v>4110</v>
      </c>
      <c r="D19" s="49" t="s">
        <v>76</v>
      </c>
      <c r="E19" s="64">
        <v>21000</v>
      </c>
      <c r="F19" s="64"/>
      <c r="G19" s="64">
        <f>SUM(E19:F19)</f>
        <v>21000</v>
      </c>
      <c r="H19" s="64"/>
      <c r="I19" s="64">
        <f>SUM(G19:H19)</f>
        <v>21000</v>
      </c>
      <c r="J19" s="64"/>
      <c r="K19" s="64">
        <f>SUM(I19:J19)</f>
        <v>21000</v>
      </c>
      <c r="L19" s="64"/>
      <c r="M19" s="64">
        <f>SUM(K19:L19)</f>
        <v>21000</v>
      </c>
      <c r="N19" s="64"/>
      <c r="O19" s="64">
        <f>SUM(M19:N19)</f>
        <v>21000</v>
      </c>
      <c r="P19" s="64"/>
      <c r="Q19" s="64">
        <f>SUM(O19:P19)</f>
        <v>21000</v>
      </c>
      <c r="R19" s="64"/>
      <c r="S19" s="64">
        <f>SUM(Q19:R19)</f>
        <v>21000</v>
      </c>
      <c r="T19" s="64"/>
      <c r="U19" s="64">
        <f>SUM(S19:T19)</f>
        <v>21000</v>
      </c>
      <c r="V19" s="64"/>
      <c r="W19" s="64">
        <f>SUM(U19:V19)</f>
        <v>21000</v>
      </c>
    </row>
    <row r="20" spans="1:23" s="15" customFormat="1" ht="21.75" customHeight="1">
      <c r="A20" s="46"/>
      <c r="B20" s="31"/>
      <c r="C20" s="47">
        <v>4120</v>
      </c>
      <c r="D20" s="49" t="s">
        <v>77</v>
      </c>
      <c r="E20" s="64">
        <v>3000</v>
      </c>
      <c r="F20" s="64"/>
      <c r="G20" s="64">
        <f>SUM(E20:F20)</f>
        <v>3000</v>
      </c>
      <c r="H20" s="64"/>
      <c r="I20" s="64">
        <f>SUM(G20:H20)</f>
        <v>3000</v>
      </c>
      <c r="J20" s="64"/>
      <c r="K20" s="64">
        <f>SUM(I20:J20)</f>
        <v>3000</v>
      </c>
      <c r="L20" s="64"/>
      <c r="M20" s="64">
        <f>SUM(K20:L20)</f>
        <v>3000</v>
      </c>
      <c r="N20" s="64"/>
      <c r="O20" s="64">
        <f>SUM(M20:N20)</f>
        <v>3000</v>
      </c>
      <c r="P20" s="64"/>
      <c r="Q20" s="64">
        <f>SUM(O20:P20)</f>
        <v>3000</v>
      </c>
      <c r="R20" s="64"/>
      <c r="S20" s="64">
        <f>SUM(Q20:R20)</f>
        <v>3000</v>
      </c>
      <c r="T20" s="64"/>
      <c r="U20" s="64">
        <f>SUM(S20:T20)</f>
        <v>3000</v>
      </c>
      <c r="V20" s="64"/>
      <c r="W20" s="64">
        <f>SUM(U20:V20)</f>
        <v>3000</v>
      </c>
    </row>
    <row r="21" spans="1:23" s="15" customFormat="1" ht="22.5">
      <c r="A21" s="46"/>
      <c r="B21" s="31"/>
      <c r="C21" s="48">
        <v>4440</v>
      </c>
      <c r="D21" s="49" t="s">
        <v>78</v>
      </c>
      <c r="E21" s="64">
        <v>7700</v>
      </c>
      <c r="F21" s="64"/>
      <c r="G21" s="64">
        <f>SUM(E21:F21)</f>
        <v>7700</v>
      </c>
      <c r="H21" s="64"/>
      <c r="I21" s="64">
        <f>SUM(G21:H21)</f>
        <v>7700</v>
      </c>
      <c r="J21" s="64"/>
      <c r="K21" s="64">
        <f>SUM(I21:J21)</f>
        <v>7700</v>
      </c>
      <c r="L21" s="64"/>
      <c r="M21" s="64">
        <f>SUM(K21:L21)</f>
        <v>7700</v>
      </c>
      <c r="N21" s="64"/>
      <c r="O21" s="64">
        <f>SUM(M21:N21)</f>
        <v>7700</v>
      </c>
      <c r="P21" s="64"/>
      <c r="Q21" s="64">
        <f>SUM(O21:P21)</f>
        <v>7700</v>
      </c>
      <c r="R21" s="64"/>
      <c r="S21" s="64">
        <f>SUM(Q21:R21)</f>
        <v>7700</v>
      </c>
      <c r="T21" s="64"/>
      <c r="U21" s="64">
        <f>SUM(S21:T21)</f>
        <v>7700</v>
      </c>
      <c r="V21" s="64"/>
      <c r="W21" s="64">
        <f>SUM(U21:V21)</f>
        <v>7700</v>
      </c>
    </row>
    <row r="22" spans="1:23" s="15" customFormat="1" ht="48">
      <c r="A22" s="20">
        <v>751</v>
      </c>
      <c r="B22" s="2"/>
      <c r="C22" s="11"/>
      <c r="D22" s="19" t="s">
        <v>28</v>
      </c>
      <c r="E22" s="30">
        <f aca="true" t="shared" si="7" ref="E22:W22">E23</f>
        <v>3910</v>
      </c>
      <c r="F22" s="30">
        <f t="shared" si="7"/>
        <v>0</v>
      </c>
      <c r="G22" s="30">
        <f t="shared" si="7"/>
        <v>3910</v>
      </c>
      <c r="H22" s="30">
        <f t="shared" si="7"/>
        <v>-414</v>
      </c>
      <c r="I22" s="30">
        <f t="shared" si="7"/>
        <v>3496</v>
      </c>
      <c r="J22" s="30">
        <f t="shared" si="7"/>
        <v>0</v>
      </c>
      <c r="K22" s="30">
        <f t="shared" si="7"/>
        <v>3496</v>
      </c>
      <c r="L22" s="30">
        <f t="shared" si="7"/>
        <v>0</v>
      </c>
      <c r="M22" s="30">
        <f t="shared" si="7"/>
        <v>3496</v>
      </c>
      <c r="N22" s="30">
        <f t="shared" si="7"/>
        <v>0</v>
      </c>
      <c r="O22" s="30">
        <f t="shared" si="7"/>
        <v>3496</v>
      </c>
      <c r="P22" s="30">
        <f t="shared" si="7"/>
        <v>0</v>
      </c>
      <c r="Q22" s="30">
        <f t="shared" si="7"/>
        <v>3496</v>
      </c>
      <c r="R22" s="30">
        <f t="shared" si="7"/>
        <v>0</v>
      </c>
      <c r="S22" s="30">
        <f t="shared" si="7"/>
        <v>3496</v>
      </c>
      <c r="T22" s="30">
        <f t="shared" si="7"/>
        <v>0</v>
      </c>
      <c r="U22" s="30">
        <f t="shared" si="7"/>
        <v>3496</v>
      </c>
      <c r="V22" s="30">
        <f t="shared" si="7"/>
        <v>0</v>
      </c>
      <c r="W22" s="30">
        <f t="shared" si="7"/>
        <v>3496</v>
      </c>
    </row>
    <row r="23" spans="1:23" s="15" customFormat="1" ht="33.75">
      <c r="A23" s="31"/>
      <c r="B23" s="46">
        <v>75101</v>
      </c>
      <c r="C23" s="52"/>
      <c r="D23" s="49" t="s">
        <v>29</v>
      </c>
      <c r="E23" s="64">
        <f aca="true" t="shared" si="8" ref="E23:K23">SUM(E24:E26)</f>
        <v>3910</v>
      </c>
      <c r="F23" s="64">
        <f t="shared" si="8"/>
        <v>0</v>
      </c>
      <c r="G23" s="64">
        <f t="shared" si="8"/>
        <v>3910</v>
      </c>
      <c r="H23" s="64">
        <f t="shared" si="8"/>
        <v>-414</v>
      </c>
      <c r="I23" s="64">
        <f t="shared" si="8"/>
        <v>3496</v>
      </c>
      <c r="J23" s="64">
        <f t="shared" si="8"/>
        <v>0</v>
      </c>
      <c r="K23" s="64">
        <f t="shared" si="8"/>
        <v>3496</v>
      </c>
      <c r="L23" s="64">
        <f>SUM(L24:L26)</f>
        <v>0</v>
      </c>
      <c r="M23" s="64">
        <f>SUM(M24:M26)</f>
        <v>3496</v>
      </c>
      <c r="N23" s="64">
        <f>SUM(N24:N26)</f>
        <v>0</v>
      </c>
      <c r="O23" s="64">
        <f aca="true" t="shared" si="9" ref="O23:U23">SUM(O24:O27)</f>
        <v>3496</v>
      </c>
      <c r="P23" s="64">
        <f t="shared" si="9"/>
        <v>0</v>
      </c>
      <c r="Q23" s="64">
        <f t="shared" si="9"/>
        <v>3496</v>
      </c>
      <c r="R23" s="64">
        <f t="shared" si="9"/>
        <v>0</v>
      </c>
      <c r="S23" s="64">
        <f t="shared" si="9"/>
        <v>3496</v>
      </c>
      <c r="T23" s="64">
        <f t="shared" si="9"/>
        <v>0</v>
      </c>
      <c r="U23" s="64">
        <f t="shared" si="9"/>
        <v>3496</v>
      </c>
      <c r="V23" s="64">
        <f>SUM(V24:V27)</f>
        <v>0</v>
      </c>
      <c r="W23" s="64">
        <f>SUM(W24:W27)</f>
        <v>3496</v>
      </c>
    </row>
    <row r="24" spans="1:23" s="15" customFormat="1" ht="21.75" customHeight="1">
      <c r="A24" s="31"/>
      <c r="B24" s="46"/>
      <c r="C24" s="47">
        <v>4210</v>
      </c>
      <c r="D24" s="49" t="s">
        <v>82</v>
      </c>
      <c r="E24" s="64">
        <v>1710</v>
      </c>
      <c r="F24" s="64"/>
      <c r="G24" s="64">
        <f>SUM(E24:F24)</f>
        <v>1710</v>
      </c>
      <c r="H24" s="64"/>
      <c r="I24" s="64">
        <f>SUM(G24:H24)</f>
        <v>1710</v>
      </c>
      <c r="J24" s="64"/>
      <c r="K24" s="64">
        <f>SUM(I24:J24)</f>
        <v>1710</v>
      </c>
      <c r="L24" s="64"/>
      <c r="M24" s="64">
        <f>SUM(K24:L24)</f>
        <v>1710</v>
      </c>
      <c r="N24" s="64"/>
      <c r="O24" s="64">
        <f>SUM(M24:N24)</f>
        <v>1710</v>
      </c>
      <c r="P24" s="64"/>
      <c r="Q24" s="64">
        <f>SUM(O24:P24)</f>
        <v>1710</v>
      </c>
      <c r="R24" s="64"/>
      <c r="S24" s="64">
        <f>SUM(Q24:R24)</f>
        <v>1710</v>
      </c>
      <c r="T24" s="64"/>
      <c r="U24" s="64">
        <f>SUM(S24:T24)</f>
        <v>1710</v>
      </c>
      <c r="V24" s="64"/>
      <c r="W24" s="64">
        <f>SUM(U24:V24)</f>
        <v>1710</v>
      </c>
    </row>
    <row r="25" spans="1:23" s="15" customFormat="1" ht="33.75">
      <c r="A25" s="31"/>
      <c r="B25" s="46"/>
      <c r="C25" s="47">
        <v>4700</v>
      </c>
      <c r="D25" s="27" t="s">
        <v>233</v>
      </c>
      <c r="E25" s="64">
        <v>1000</v>
      </c>
      <c r="F25" s="64"/>
      <c r="G25" s="64">
        <f>SUM(E25:F25)</f>
        <v>1000</v>
      </c>
      <c r="H25" s="64"/>
      <c r="I25" s="64">
        <f>SUM(G25:H25)</f>
        <v>1000</v>
      </c>
      <c r="J25" s="64"/>
      <c r="K25" s="64">
        <f>SUM(I25:J25)</f>
        <v>1000</v>
      </c>
      <c r="L25" s="64"/>
      <c r="M25" s="64">
        <f>SUM(K25:L25)</f>
        <v>1000</v>
      </c>
      <c r="N25" s="64"/>
      <c r="O25" s="64">
        <f>SUM(M25:N25)</f>
        <v>1000</v>
      </c>
      <c r="P25" s="64">
        <v>-1000</v>
      </c>
      <c r="Q25" s="64">
        <f>SUM(O25:P25)</f>
        <v>0</v>
      </c>
      <c r="R25" s="64"/>
      <c r="S25" s="64">
        <f>SUM(Q25:R25)</f>
        <v>0</v>
      </c>
      <c r="T25" s="64"/>
      <c r="U25" s="64">
        <f>SUM(S25:T25)</f>
        <v>0</v>
      </c>
      <c r="V25" s="64"/>
      <c r="W25" s="64">
        <f>SUM(U25:V25)</f>
        <v>0</v>
      </c>
    </row>
    <row r="26" spans="1:23" s="15" customFormat="1" ht="33.75">
      <c r="A26" s="31"/>
      <c r="B26" s="46"/>
      <c r="C26" s="47">
        <v>4740</v>
      </c>
      <c r="D26" s="27" t="s">
        <v>189</v>
      </c>
      <c r="E26" s="64">
        <v>1200</v>
      </c>
      <c r="F26" s="64"/>
      <c r="G26" s="64">
        <f>SUM(E26:F26)</f>
        <v>1200</v>
      </c>
      <c r="H26" s="64">
        <v>-414</v>
      </c>
      <c r="I26" s="64">
        <f>SUM(G26:H26)</f>
        <v>786</v>
      </c>
      <c r="J26" s="64"/>
      <c r="K26" s="64">
        <f>SUM(I26:J26)</f>
        <v>786</v>
      </c>
      <c r="L26" s="64"/>
      <c r="M26" s="64">
        <f>SUM(K26:L26)</f>
        <v>786</v>
      </c>
      <c r="N26" s="64"/>
      <c r="O26" s="64">
        <f>SUM(M26:N26)</f>
        <v>786</v>
      </c>
      <c r="P26" s="64"/>
      <c r="Q26" s="64">
        <f>SUM(O26:P26)</f>
        <v>786</v>
      </c>
      <c r="R26" s="64"/>
      <c r="S26" s="64">
        <f>SUM(Q26:R26)</f>
        <v>786</v>
      </c>
      <c r="T26" s="64"/>
      <c r="U26" s="64">
        <f>SUM(S26:T26)</f>
        <v>786</v>
      </c>
      <c r="V26" s="64"/>
      <c r="W26" s="64">
        <f>SUM(U26:V26)</f>
        <v>786</v>
      </c>
    </row>
    <row r="27" spans="1:23" s="15" customFormat="1" ht="24" customHeight="1">
      <c r="A27" s="31"/>
      <c r="B27" s="46"/>
      <c r="C27" s="47">
        <v>4750</v>
      </c>
      <c r="D27" s="27" t="s">
        <v>269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>
        <v>0</v>
      </c>
      <c r="P27" s="64">
        <v>1000</v>
      </c>
      <c r="Q27" s="64">
        <f>SUM(O27:P27)</f>
        <v>1000</v>
      </c>
      <c r="R27" s="64"/>
      <c r="S27" s="64">
        <f>SUM(Q27:R27)</f>
        <v>1000</v>
      </c>
      <c r="T27" s="64"/>
      <c r="U27" s="64">
        <f>SUM(S27:T27)</f>
        <v>1000</v>
      </c>
      <c r="V27" s="64"/>
      <c r="W27" s="64">
        <f>SUM(U27:V27)</f>
        <v>1000</v>
      </c>
    </row>
    <row r="28" spans="1:23" s="29" customFormat="1" ht="24">
      <c r="A28" s="2">
        <v>754</v>
      </c>
      <c r="B28" s="20"/>
      <c r="C28" s="21"/>
      <c r="D28" s="19" t="s">
        <v>31</v>
      </c>
      <c r="E28" s="30">
        <f aca="true" t="shared" si="10" ref="E28:V29">SUM(E29)</f>
        <v>2500</v>
      </c>
      <c r="F28" s="30">
        <f t="shared" si="10"/>
        <v>0</v>
      </c>
      <c r="G28" s="30">
        <f t="shared" si="10"/>
        <v>2500</v>
      </c>
      <c r="H28" s="30">
        <f t="shared" si="10"/>
        <v>0</v>
      </c>
      <c r="I28" s="30">
        <f t="shared" si="10"/>
        <v>2500</v>
      </c>
      <c r="J28" s="30">
        <f t="shared" si="10"/>
        <v>0</v>
      </c>
      <c r="K28" s="30">
        <f t="shared" si="10"/>
        <v>2500</v>
      </c>
      <c r="L28" s="30">
        <f t="shared" si="10"/>
        <v>0</v>
      </c>
      <c r="M28" s="30">
        <f t="shared" si="10"/>
        <v>2500</v>
      </c>
      <c r="N28" s="30">
        <f t="shared" si="10"/>
        <v>0</v>
      </c>
      <c r="O28" s="30">
        <f t="shared" si="10"/>
        <v>2500</v>
      </c>
      <c r="P28" s="30">
        <f t="shared" si="10"/>
        <v>0</v>
      </c>
      <c r="Q28" s="30">
        <f t="shared" si="10"/>
        <v>2500</v>
      </c>
      <c r="R28" s="30">
        <f t="shared" si="10"/>
        <v>0</v>
      </c>
      <c r="S28" s="30">
        <f t="shared" si="10"/>
        <v>2500</v>
      </c>
      <c r="T28" s="30">
        <f t="shared" si="10"/>
        <v>0</v>
      </c>
      <c r="U28" s="30">
        <f>SUM(U29)</f>
        <v>2500</v>
      </c>
      <c r="V28" s="30">
        <f t="shared" si="10"/>
        <v>0</v>
      </c>
      <c r="W28" s="30">
        <f>SUM(W29)</f>
        <v>2500</v>
      </c>
    </row>
    <row r="29" spans="1:23" s="15" customFormat="1" ht="21.75" customHeight="1">
      <c r="A29" s="31"/>
      <c r="B29" s="46">
        <v>75414</v>
      </c>
      <c r="C29" s="47"/>
      <c r="D29" s="40" t="s">
        <v>202</v>
      </c>
      <c r="E29" s="64">
        <f t="shared" si="10"/>
        <v>2500</v>
      </c>
      <c r="F29" s="64">
        <f t="shared" si="10"/>
        <v>0</v>
      </c>
      <c r="G29" s="64">
        <f t="shared" si="10"/>
        <v>2500</v>
      </c>
      <c r="H29" s="64">
        <f t="shared" si="10"/>
        <v>0</v>
      </c>
      <c r="I29" s="64">
        <f t="shared" si="10"/>
        <v>2500</v>
      </c>
      <c r="J29" s="64">
        <f t="shared" si="10"/>
        <v>0</v>
      </c>
      <c r="K29" s="64">
        <f aca="true" t="shared" si="11" ref="K29:Q29">SUM(K30:K31)</f>
        <v>2500</v>
      </c>
      <c r="L29" s="64">
        <f t="shared" si="11"/>
        <v>0</v>
      </c>
      <c r="M29" s="64">
        <f t="shared" si="11"/>
        <v>2500</v>
      </c>
      <c r="N29" s="64">
        <f t="shared" si="11"/>
        <v>0</v>
      </c>
      <c r="O29" s="64">
        <f t="shared" si="11"/>
        <v>2500</v>
      </c>
      <c r="P29" s="64">
        <f t="shared" si="11"/>
        <v>0</v>
      </c>
      <c r="Q29" s="64">
        <f t="shared" si="11"/>
        <v>2500</v>
      </c>
      <c r="R29" s="64">
        <f aca="true" t="shared" si="12" ref="R29:W29">SUM(R30:R31)</f>
        <v>0</v>
      </c>
      <c r="S29" s="64">
        <f t="shared" si="12"/>
        <v>2500</v>
      </c>
      <c r="T29" s="64">
        <f t="shared" si="12"/>
        <v>0</v>
      </c>
      <c r="U29" s="64">
        <f t="shared" si="12"/>
        <v>2500</v>
      </c>
      <c r="V29" s="64">
        <f t="shared" si="12"/>
        <v>0</v>
      </c>
      <c r="W29" s="64">
        <f t="shared" si="12"/>
        <v>2500</v>
      </c>
    </row>
    <row r="30" spans="1:23" s="15" customFormat="1" ht="21.75" customHeight="1">
      <c r="A30" s="31"/>
      <c r="B30" s="46"/>
      <c r="C30" s="47">
        <v>4210</v>
      </c>
      <c r="D30" s="49" t="s">
        <v>82</v>
      </c>
      <c r="E30" s="64">
        <v>2500</v>
      </c>
      <c r="F30" s="64"/>
      <c r="G30" s="64">
        <f>SUM(E30:F30)</f>
        <v>2500</v>
      </c>
      <c r="H30" s="64"/>
      <c r="I30" s="64">
        <f>SUM(G30:H30)</f>
        <v>2500</v>
      </c>
      <c r="J30" s="64"/>
      <c r="K30" s="64">
        <f>SUM(I30:J30)</f>
        <v>2500</v>
      </c>
      <c r="L30" s="64">
        <v>-488</v>
      </c>
      <c r="M30" s="64">
        <f>SUM(K30:L30)</f>
        <v>2012</v>
      </c>
      <c r="N30" s="64"/>
      <c r="O30" s="64">
        <f>SUM(M30:N30)</f>
        <v>2012</v>
      </c>
      <c r="P30" s="64"/>
      <c r="Q30" s="64">
        <f>SUM(O30:P30)</f>
        <v>2012</v>
      </c>
      <c r="R30" s="64"/>
      <c r="S30" s="64">
        <f>SUM(Q30:R30)</f>
        <v>2012</v>
      </c>
      <c r="T30" s="64"/>
      <c r="U30" s="64">
        <f>SUM(S30:T30)</f>
        <v>2012</v>
      </c>
      <c r="V30" s="64"/>
      <c r="W30" s="64">
        <f>SUM(U30:V30)</f>
        <v>2012</v>
      </c>
    </row>
    <row r="31" spans="1:23" s="15" customFormat="1" ht="21.75" customHeight="1">
      <c r="A31" s="31"/>
      <c r="B31" s="46"/>
      <c r="C31" s="47">
        <v>4750</v>
      </c>
      <c r="D31" s="27" t="s">
        <v>269</v>
      </c>
      <c r="E31" s="64"/>
      <c r="F31" s="64"/>
      <c r="G31" s="64"/>
      <c r="H31" s="64"/>
      <c r="I31" s="64"/>
      <c r="J31" s="64"/>
      <c r="K31" s="64">
        <v>0</v>
      </c>
      <c r="L31" s="64">
        <v>488</v>
      </c>
      <c r="M31" s="64">
        <f>SUM(K31:L31)</f>
        <v>488</v>
      </c>
      <c r="N31" s="64"/>
      <c r="O31" s="64">
        <f>SUM(M31:N31)</f>
        <v>488</v>
      </c>
      <c r="P31" s="64"/>
      <c r="Q31" s="64">
        <f>SUM(O31:P31)</f>
        <v>488</v>
      </c>
      <c r="R31" s="64"/>
      <c r="S31" s="64">
        <f>SUM(Q31:R31)</f>
        <v>488</v>
      </c>
      <c r="T31" s="64"/>
      <c r="U31" s="64">
        <f>SUM(S31:T31)</f>
        <v>488</v>
      </c>
      <c r="V31" s="64"/>
      <c r="W31" s="64">
        <f>SUM(U31:V31)</f>
        <v>488</v>
      </c>
    </row>
    <row r="32" spans="1:213" s="15" customFormat="1" ht="18.75" customHeight="1">
      <c r="A32" s="20">
        <v>852</v>
      </c>
      <c r="B32" s="2"/>
      <c r="C32" s="11"/>
      <c r="D32" s="19" t="s">
        <v>157</v>
      </c>
      <c r="E32" s="30">
        <f aca="true" t="shared" si="13" ref="E32:K32">SUM(E46,E63,E65,)</f>
        <v>6969400</v>
      </c>
      <c r="F32" s="30">
        <f t="shared" si="13"/>
        <v>0</v>
      </c>
      <c r="G32" s="30">
        <f t="shared" si="13"/>
        <v>6969400</v>
      </c>
      <c r="H32" s="30">
        <f t="shared" si="13"/>
        <v>155100</v>
      </c>
      <c r="I32" s="30">
        <f t="shared" si="13"/>
        <v>7124500</v>
      </c>
      <c r="J32" s="30">
        <f t="shared" si="13"/>
        <v>0</v>
      </c>
      <c r="K32" s="30">
        <f t="shared" si="13"/>
        <v>7124500</v>
      </c>
      <c r="L32" s="30">
        <f aca="true" t="shared" si="14" ref="L32:Q32">SUM(L46,L63,L65,)</f>
        <v>0</v>
      </c>
      <c r="M32" s="30">
        <f t="shared" si="14"/>
        <v>7124500</v>
      </c>
      <c r="N32" s="30">
        <f t="shared" si="14"/>
        <v>52500</v>
      </c>
      <c r="O32" s="30">
        <f t="shared" si="14"/>
        <v>7177000</v>
      </c>
      <c r="P32" s="30">
        <f t="shared" si="14"/>
        <v>-26300</v>
      </c>
      <c r="Q32" s="30">
        <f t="shared" si="14"/>
        <v>7150700</v>
      </c>
      <c r="R32" s="30">
        <f aca="true" t="shared" si="15" ref="R32:W32">SUM(R46,R63,R65,)</f>
        <v>152500</v>
      </c>
      <c r="S32" s="30">
        <f t="shared" si="15"/>
        <v>7303200</v>
      </c>
      <c r="T32" s="30">
        <f t="shared" si="15"/>
        <v>102500</v>
      </c>
      <c r="U32" s="30">
        <f t="shared" si="15"/>
        <v>7405700</v>
      </c>
      <c r="V32" s="30">
        <f t="shared" si="15"/>
        <v>0</v>
      </c>
      <c r="W32" s="30">
        <f t="shared" si="15"/>
        <v>7405700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</row>
    <row r="33" spans="1:213" s="15" customFormat="1" ht="45" hidden="1">
      <c r="A33" s="66"/>
      <c r="B33" s="31">
        <v>85212</v>
      </c>
      <c r="C33" s="51"/>
      <c r="D33" s="49" t="s">
        <v>170</v>
      </c>
      <c r="E33" s="58">
        <f aca="true" t="shared" si="16" ref="E33:K33">SUM(E34:E45)</f>
        <v>5507000</v>
      </c>
      <c r="F33" s="58">
        <f t="shared" si="16"/>
        <v>5507000</v>
      </c>
      <c r="G33" s="58">
        <f t="shared" si="16"/>
        <v>5507000</v>
      </c>
      <c r="H33" s="58">
        <f t="shared" si="16"/>
        <v>5507000</v>
      </c>
      <c r="I33" s="58">
        <f t="shared" si="16"/>
        <v>5507000</v>
      </c>
      <c r="J33" s="58">
        <f t="shared" si="16"/>
        <v>5507000</v>
      </c>
      <c r="K33" s="58">
        <f t="shared" si="16"/>
        <v>5507000</v>
      </c>
      <c r="L33" s="58">
        <f aca="true" t="shared" si="17" ref="L33:Q33">SUM(L34:L45)</f>
        <v>5507000</v>
      </c>
      <c r="M33" s="58">
        <f t="shared" si="17"/>
        <v>5507000</v>
      </c>
      <c r="N33" s="58">
        <f t="shared" si="17"/>
        <v>5507000</v>
      </c>
      <c r="O33" s="58">
        <f t="shared" si="17"/>
        <v>5507000</v>
      </c>
      <c r="P33" s="58">
        <f t="shared" si="17"/>
        <v>5507000</v>
      </c>
      <c r="Q33" s="58">
        <f t="shared" si="17"/>
        <v>5507000</v>
      </c>
      <c r="R33" s="58">
        <f aca="true" t="shared" si="18" ref="R33:W33">SUM(R34:R45)</f>
        <v>5507000</v>
      </c>
      <c r="S33" s="58">
        <f t="shared" si="18"/>
        <v>5507000</v>
      </c>
      <c r="T33" s="58">
        <f t="shared" si="18"/>
        <v>5507000</v>
      </c>
      <c r="U33" s="58">
        <f t="shared" si="18"/>
        <v>5507000</v>
      </c>
      <c r="V33" s="58">
        <f t="shared" si="18"/>
        <v>5507000</v>
      </c>
      <c r="W33" s="58">
        <f t="shared" si="18"/>
        <v>5507000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</row>
    <row r="34" spans="1:213" s="15" customFormat="1" ht="22.5" hidden="1">
      <c r="A34" s="66"/>
      <c r="B34" s="31"/>
      <c r="C34" s="51">
        <v>3020</v>
      </c>
      <c r="D34" s="27" t="s">
        <v>179</v>
      </c>
      <c r="E34" s="64">
        <v>2000</v>
      </c>
      <c r="F34" s="64">
        <v>2000</v>
      </c>
      <c r="G34" s="64">
        <v>2000</v>
      </c>
      <c r="H34" s="64">
        <v>2000</v>
      </c>
      <c r="I34" s="64">
        <v>2000</v>
      </c>
      <c r="J34" s="64">
        <v>2000</v>
      </c>
      <c r="K34" s="64">
        <v>2000</v>
      </c>
      <c r="L34" s="64">
        <v>2000</v>
      </c>
      <c r="M34" s="64">
        <v>2000</v>
      </c>
      <c r="N34" s="64">
        <v>2000</v>
      </c>
      <c r="O34" s="64">
        <v>2000</v>
      </c>
      <c r="P34" s="64">
        <v>2000</v>
      </c>
      <c r="Q34" s="64">
        <v>2000</v>
      </c>
      <c r="R34" s="64">
        <v>2000</v>
      </c>
      <c r="S34" s="64">
        <v>2000</v>
      </c>
      <c r="T34" s="64">
        <v>2000</v>
      </c>
      <c r="U34" s="64">
        <v>2000</v>
      </c>
      <c r="V34" s="64">
        <v>2000</v>
      </c>
      <c r="W34" s="64">
        <v>2000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</row>
    <row r="35" spans="1:213" s="15" customFormat="1" ht="11.25" hidden="1">
      <c r="A35" s="66"/>
      <c r="B35" s="31"/>
      <c r="C35" s="51">
        <v>3110</v>
      </c>
      <c r="D35" s="49" t="s">
        <v>105</v>
      </c>
      <c r="E35" s="64">
        <f aca="true" t="shared" si="19" ref="E35:W35">5346602-4812-23800</f>
        <v>5317990</v>
      </c>
      <c r="F35" s="64">
        <f t="shared" si="19"/>
        <v>5317990</v>
      </c>
      <c r="G35" s="64">
        <f t="shared" si="19"/>
        <v>5317990</v>
      </c>
      <c r="H35" s="64">
        <f t="shared" si="19"/>
        <v>5317990</v>
      </c>
      <c r="I35" s="64">
        <f t="shared" si="19"/>
        <v>5317990</v>
      </c>
      <c r="J35" s="64">
        <f t="shared" si="19"/>
        <v>5317990</v>
      </c>
      <c r="K35" s="64">
        <f t="shared" si="19"/>
        <v>5317990</v>
      </c>
      <c r="L35" s="64">
        <f t="shared" si="19"/>
        <v>5317990</v>
      </c>
      <c r="M35" s="64">
        <f t="shared" si="19"/>
        <v>5317990</v>
      </c>
      <c r="N35" s="64">
        <f t="shared" si="19"/>
        <v>5317990</v>
      </c>
      <c r="O35" s="64">
        <f t="shared" si="19"/>
        <v>5317990</v>
      </c>
      <c r="P35" s="64">
        <f t="shared" si="19"/>
        <v>5317990</v>
      </c>
      <c r="Q35" s="64">
        <f t="shared" si="19"/>
        <v>5317990</v>
      </c>
      <c r="R35" s="64">
        <f t="shared" si="19"/>
        <v>5317990</v>
      </c>
      <c r="S35" s="64">
        <f t="shared" si="19"/>
        <v>5317990</v>
      </c>
      <c r="T35" s="64">
        <f t="shared" si="19"/>
        <v>5317990</v>
      </c>
      <c r="U35" s="64">
        <f t="shared" si="19"/>
        <v>5317990</v>
      </c>
      <c r="V35" s="64">
        <f t="shared" si="19"/>
        <v>5317990</v>
      </c>
      <c r="W35" s="64">
        <f t="shared" si="19"/>
        <v>5317990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</row>
    <row r="36" spans="1:213" s="15" customFormat="1" ht="22.5" hidden="1">
      <c r="A36" s="66"/>
      <c r="B36" s="31"/>
      <c r="C36" s="31">
        <v>4010</v>
      </c>
      <c r="D36" s="9" t="s">
        <v>74</v>
      </c>
      <c r="E36" s="64">
        <v>86691</v>
      </c>
      <c r="F36" s="64">
        <v>86691</v>
      </c>
      <c r="G36" s="64">
        <v>86691</v>
      </c>
      <c r="H36" s="64">
        <v>86691</v>
      </c>
      <c r="I36" s="64">
        <v>86691</v>
      </c>
      <c r="J36" s="64">
        <v>86691</v>
      </c>
      <c r="K36" s="64">
        <v>86691</v>
      </c>
      <c r="L36" s="64">
        <v>86691</v>
      </c>
      <c r="M36" s="64">
        <v>86691</v>
      </c>
      <c r="N36" s="64">
        <v>86691</v>
      </c>
      <c r="O36" s="64">
        <v>86691</v>
      </c>
      <c r="P36" s="64">
        <v>86691</v>
      </c>
      <c r="Q36" s="64">
        <v>86691</v>
      </c>
      <c r="R36" s="64">
        <v>86691</v>
      </c>
      <c r="S36" s="64">
        <v>86691</v>
      </c>
      <c r="T36" s="64">
        <v>86691</v>
      </c>
      <c r="U36" s="64">
        <v>86691</v>
      </c>
      <c r="V36" s="64">
        <v>86691</v>
      </c>
      <c r="W36" s="64">
        <v>86691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</row>
    <row r="37" spans="1:213" s="15" customFormat="1" ht="11.25" hidden="1">
      <c r="A37" s="66"/>
      <c r="B37" s="31"/>
      <c r="C37" s="31">
        <v>4040</v>
      </c>
      <c r="D37" s="9" t="s">
        <v>75</v>
      </c>
      <c r="E37" s="64">
        <v>7500</v>
      </c>
      <c r="F37" s="64">
        <v>7500</v>
      </c>
      <c r="G37" s="64">
        <v>7500</v>
      </c>
      <c r="H37" s="64">
        <v>7500</v>
      </c>
      <c r="I37" s="64">
        <v>7500</v>
      </c>
      <c r="J37" s="64">
        <v>7500</v>
      </c>
      <c r="K37" s="64">
        <v>7500</v>
      </c>
      <c r="L37" s="64">
        <v>7500</v>
      </c>
      <c r="M37" s="64">
        <v>7500</v>
      </c>
      <c r="N37" s="64">
        <v>7500</v>
      </c>
      <c r="O37" s="64">
        <v>7500</v>
      </c>
      <c r="P37" s="64">
        <v>7500</v>
      </c>
      <c r="Q37" s="64">
        <v>7500</v>
      </c>
      <c r="R37" s="64">
        <v>7500</v>
      </c>
      <c r="S37" s="64">
        <v>7500</v>
      </c>
      <c r="T37" s="64">
        <v>7500</v>
      </c>
      <c r="U37" s="64">
        <v>7500</v>
      </c>
      <c r="V37" s="64">
        <v>7500</v>
      </c>
      <c r="W37" s="64">
        <v>7500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</row>
    <row r="38" spans="1:213" s="15" customFormat="1" ht="22.5" hidden="1">
      <c r="A38" s="66"/>
      <c r="B38" s="31"/>
      <c r="C38" s="31">
        <v>4110</v>
      </c>
      <c r="D38" s="9" t="s">
        <v>76</v>
      </c>
      <c r="E38" s="64">
        <f aca="true" t="shared" si="20" ref="E38:W38">16800+23800</f>
        <v>40600</v>
      </c>
      <c r="F38" s="64">
        <f t="shared" si="20"/>
        <v>40600</v>
      </c>
      <c r="G38" s="64">
        <f t="shared" si="20"/>
        <v>40600</v>
      </c>
      <c r="H38" s="64">
        <f t="shared" si="20"/>
        <v>40600</v>
      </c>
      <c r="I38" s="64">
        <f t="shared" si="20"/>
        <v>40600</v>
      </c>
      <c r="J38" s="64">
        <f t="shared" si="20"/>
        <v>40600</v>
      </c>
      <c r="K38" s="64">
        <f t="shared" si="20"/>
        <v>40600</v>
      </c>
      <c r="L38" s="64">
        <f t="shared" si="20"/>
        <v>40600</v>
      </c>
      <c r="M38" s="64">
        <f t="shared" si="20"/>
        <v>40600</v>
      </c>
      <c r="N38" s="64">
        <f t="shared" si="20"/>
        <v>40600</v>
      </c>
      <c r="O38" s="64">
        <f t="shared" si="20"/>
        <v>40600</v>
      </c>
      <c r="P38" s="64">
        <f t="shared" si="20"/>
        <v>40600</v>
      </c>
      <c r="Q38" s="64">
        <f t="shared" si="20"/>
        <v>40600</v>
      </c>
      <c r="R38" s="64">
        <f t="shared" si="20"/>
        <v>40600</v>
      </c>
      <c r="S38" s="64">
        <f t="shared" si="20"/>
        <v>40600</v>
      </c>
      <c r="T38" s="64">
        <f t="shared" si="20"/>
        <v>40600</v>
      </c>
      <c r="U38" s="64">
        <f t="shared" si="20"/>
        <v>40600</v>
      </c>
      <c r="V38" s="64">
        <f t="shared" si="20"/>
        <v>40600</v>
      </c>
      <c r="W38" s="64">
        <f t="shared" si="20"/>
        <v>40600</v>
      </c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</row>
    <row r="39" spans="1:213" s="15" customFormat="1" ht="11.25" hidden="1">
      <c r="A39" s="66"/>
      <c r="B39" s="31"/>
      <c r="C39" s="31">
        <v>4120</v>
      </c>
      <c r="D39" s="9" t="s">
        <v>77</v>
      </c>
      <c r="E39" s="64">
        <v>2300</v>
      </c>
      <c r="F39" s="64">
        <v>2300</v>
      </c>
      <c r="G39" s="64">
        <v>2300</v>
      </c>
      <c r="H39" s="64">
        <v>2300</v>
      </c>
      <c r="I39" s="64">
        <v>2300</v>
      </c>
      <c r="J39" s="64">
        <v>2300</v>
      </c>
      <c r="K39" s="64">
        <v>2300</v>
      </c>
      <c r="L39" s="64">
        <v>2300</v>
      </c>
      <c r="M39" s="64">
        <v>2300</v>
      </c>
      <c r="N39" s="64">
        <v>2300</v>
      </c>
      <c r="O39" s="64">
        <v>2300</v>
      </c>
      <c r="P39" s="64">
        <v>2300</v>
      </c>
      <c r="Q39" s="64">
        <v>2300</v>
      </c>
      <c r="R39" s="64">
        <v>2300</v>
      </c>
      <c r="S39" s="64">
        <v>2300</v>
      </c>
      <c r="T39" s="64">
        <v>2300</v>
      </c>
      <c r="U39" s="64">
        <v>2300</v>
      </c>
      <c r="V39" s="64">
        <v>2300</v>
      </c>
      <c r="W39" s="64">
        <v>2300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</row>
    <row r="40" spans="1:213" s="15" customFormat="1" ht="11.25" hidden="1">
      <c r="A40" s="66"/>
      <c r="B40" s="31"/>
      <c r="C40" s="31">
        <v>4170</v>
      </c>
      <c r="D40" s="9" t="s">
        <v>162</v>
      </c>
      <c r="E40" s="64">
        <v>3000</v>
      </c>
      <c r="F40" s="64">
        <v>3000</v>
      </c>
      <c r="G40" s="64">
        <v>3000</v>
      </c>
      <c r="H40" s="64">
        <v>3000</v>
      </c>
      <c r="I40" s="64">
        <v>3000</v>
      </c>
      <c r="J40" s="64">
        <v>3000</v>
      </c>
      <c r="K40" s="64">
        <v>3000</v>
      </c>
      <c r="L40" s="64">
        <v>3000</v>
      </c>
      <c r="M40" s="64">
        <v>3000</v>
      </c>
      <c r="N40" s="64">
        <v>3000</v>
      </c>
      <c r="O40" s="64">
        <v>3000</v>
      </c>
      <c r="P40" s="64">
        <v>3000</v>
      </c>
      <c r="Q40" s="64">
        <v>3000</v>
      </c>
      <c r="R40" s="64">
        <v>3000</v>
      </c>
      <c r="S40" s="64">
        <v>3000</v>
      </c>
      <c r="T40" s="64">
        <v>3000</v>
      </c>
      <c r="U40" s="64">
        <v>3000</v>
      </c>
      <c r="V40" s="64">
        <v>3000</v>
      </c>
      <c r="W40" s="64">
        <v>3000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</row>
    <row r="41" spans="1:213" s="15" customFormat="1" ht="11.25" hidden="1">
      <c r="A41" s="66"/>
      <c r="B41" s="31"/>
      <c r="C41" s="31">
        <v>4210</v>
      </c>
      <c r="D41" s="9" t="s">
        <v>82</v>
      </c>
      <c r="E41" s="64">
        <f aca="true" t="shared" si="21" ref="E41:W41">9000+4812</f>
        <v>13812</v>
      </c>
      <c r="F41" s="64">
        <f t="shared" si="21"/>
        <v>13812</v>
      </c>
      <c r="G41" s="64">
        <f t="shared" si="21"/>
        <v>13812</v>
      </c>
      <c r="H41" s="64">
        <f t="shared" si="21"/>
        <v>13812</v>
      </c>
      <c r="I41" s="64">
        <f t="shared" si="21"/>
        <v>13812</v>
      </c>
      <c r="J41" s="64">
        <f t="shared" si="21"/>
        <v>13812</v>
      </c>
      <c r="K41" s="64">
        <f t="shared" si="21"/>
        <v>13812</v>
      </c>
      <c r="L41" s="64">
        <f t="shared" si="21"/>
        <v>13812</v>
      </c>
      <c r="M41" s="64">
        <f t="shared" si="21"/>
        <v>13812</v>
      </c>
      <c r="N41" s="64">
        <f t="shared" si="21"/>
        <v>13812</v>
      </c>
      <c r="O41" s="64">
        <f t="shared" si="21"/>
        <v>13812</v>
      </c>
      <c r="P41" s="64">
        <f t="shared" si="21"/>
        <v>13812</v>
      </c>
      <c r="Q41" s="64">
        <f t="shared" si="21"/>
        <v>13812</v>
      </c>
      <c r="R41" s="64">
        <f t="shared" si="21"/>
        <v>13812</v>
      </c>
      <c r="S41" s="64">
        <f t="shared" si="21"/>
        <v>13812</v>
      </c>
      <c r="T41" s="64">
        <f t="shared" si="21"/>
        <v>13812</v>
      </c>
      <c r="U41" s="64">
        <f t="shared" si="21"/>
        <v>13812</v>
      </c>
      <c r="V41" s="64">
        <f t="shared" si="21"/>
        <v>13812</v>
      </c>
      <c r="W41" s="64">
        <f t="shared" si="21"/>
        <v>13812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</row>
    <row r="42" spans="1:213" s="15" customFormat="1" ht="11.25" hidden="1">
      <c r="A42" s="66"/>
      <c r="B42" s="31"/>
      <c r="C42" s="31">
        <v>4300</v>
      </c>
      <c r="D42" s="9" t="s">
        <v>69</v>
      </c>
      <c r="E42" s="64">
        <v>24307</v>
      </c>
      <c r="F42" s="64">
        <v>24307</v>
      </c>
      <c r="G42" s="64">
        <v>24307</v>
      </c>
      <c r="H42" s="64">
        <v>24307</v>
      </c>
      <c r="I42" s="64">
        <v>24307</v>
      </c>
      <c r="J42" s="64">
        <v>24307</v>
      </c>
      <c r="K42" s="64">
        <v>24307</v>
      </c>
      <c r="L42" s="64">
        <v>24307</v>
      </c>
      <c r="M42" s="64">
        <v>24307</v>
      </c>
      <c r="N42" s="64">
        <v>24307</v>
      </c>
      <c r="O42" s="64">
        <v>24307</v>
      </c>
      <c r="P42" s="64">
        <v>24307</v>
      </c>
      <c r="Q42" s="64">
        <v>24307</v>
      </c>
      <c r="R42" s="64">
        <v>24307</v>
      </c>
      <c r="S42" s="64">
        <v>24307</v>
      </c>
      <c r="T42" s="64">
        <v>24307</v>
      </c>
      <c r="U42" s="64">
        <v>24307</v>
      </c>
      <c r="V42" s="64">
        <v>24307</v>
      </c>
      <c r="W42" s="64">
        <v>24307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</row>
    <row r="43" spans="1:213" s="15" customFormat="1" ht="11.25" hidden="1">
      <c r="A43" s="66"/>
      <c r="B43" s="31"/>
      <c r="C43" s="31">
        <v>4410</v>
      </c>
      <c r="D43" s="9" t="s">
        <v>80</v>
      </c>
      <c r="E43" s="64">
        <v>3000</v>
      </c>
      <c r="F43" s="64">
        <v>3000</v>
      </c>
      <c r="G43" s="64">
        <v>3000</v>
      </c>
      <c r="H43" s="64">
        <v>3000</v>
      </c>
      <c r="I43" s="64">
        <v>3000</v>
      </c>
      <c r="J43" s="64">
        <v>3000</v>
      </c>
      <c r="K43" s="64">
        <v>3000</v>
      </c>
      <c r="L43" s="64">
        <v>3000</v>
      </c>
      <c r="M43" s="64">
        <v>3000</v>
      </c>
      <c r="N43" s="64">
        <v>3000</v>
      </c>
      <c r="O43" s="64">
        <v>3000</v>
      </c>
      <c r="P43" s="64">
        <v>3000</v>
      </c>
      <c r="Q43" s="64">
        <v>3000</v>
      </c>
      <c r="R43" s="64">
        <v>3000</v>
      </c>
      <c r="S43" s="64">
        <v>3000</v>
      </c>
      <c r="T43" s="64">
        <v>3000</v>
      </c>
      <c r="U43" s="64">
        <v>3000</v>
      </c>
      <c r="V43" s="64">
        <v>3000</v>
      </c>
      <c r="W43" s="64">
        <v>3000</v>
      </c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</row>
    <row r="44" spans="1:213" s="15" customFormat="1" ht="11.25" hidden="1">
      <c r="A44" s="66"/>
      <c r="B44" s="31"/>
      <c r="C44" s="31">
        <v>4430</v>
      </c>
      <c r="D44" s="9" t="s">
        <v>84</v>
      </c>
      <c r="E44" s="64">
        <v>2000</v>
      </c>
      <c r="F44" s="64">
        <v>2000</v>
      </c>
      <c r="G44" s="64">
        <v>2000</v>
      </c>
      <c r="H44" s="64">
        <v>2000</v>
      </c>
      <c r="I44" s="64">
        <v>2000</v>
      </c>
      <c r="J44" s="64">
        <v>2000</v>
      </c>
      <c r="K44" s="64">
        <v>2000</v>
      </c>
      <c r="L44" s="64">
        <v>2000</v>
      </c>
      <c r="M44" s="64">
        <v>2000</v>
      </c>
      <c r="N44" s="64">
        <v>2000</v>
      </c>
      <c r="O44" s="64">
        <v>2000</v>
      </c>
      <c r="P44" s="64">
        <v>2000</v>
      </c>
      <c r="Q44" s="64">
        <v>2000</v>
      </c>
      <c r="R44" s="64">
        <v>2000</v>
      </c>
      <c r="S44" s="64">
        <v>2000</v>
      </c>
      <c r="T44" s="64">
        <v>2000</v>
      </c>
      <c r="U44" s="64">
        <v>2000</v>
      </c>
      <c r="V44" s="64">
        <v>2000</v>
      </c>
      <c r="W44" s="64">
        <v>2000</v>
      </c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</row>
    <row r="45" spans="1:213" s="15" customFormat="1" ht="22.5" hidden="1">
      <c r="A45" s="66"/>
      <c r="B45" s="31"/>
      <c r="C45" s="31">
        <v>4440</v>
      </c>
      <c r="D45" s="9" t="s">
        <v>78</v>
      </c>
      <c r="E45" s="64">
        <v>3800</v>
      </c>
      <c r="F45" s="64">
        <v>3800</v>
      </c>
      <c r="G45" s="64">
        <v>3800</v>
      </c>
      <c r="H45" s="64">
        <v>3800</v>
      </c>
      <c r="I45" s="64">
        <v>3800</v>
      </c>
      <c r="J45" s="64">
        <v>3800</v>
      </c>
      <c r="K45" s="64">
        <v>3800</v>
      </c>
      <c r="L45" s="64">
        <v>3800</v>
      </c>
      <c r="M45" s="64">
        <v>3800</v>
      </c>
      <c r="N45" s="64">
        <v>3800</v>
      </c>
      <c r="O45" s="64">
        <v>3800</v>
      </c>
      <c r="P45" s="64">
        <v>3800</v>
      </c>
      <c r="Q45" s="64">
        <v>3800</v>
      </c>
      <c r="R45" s="64">
        <v>3800</v>
      </c>
      <c r="S45" s="64">
        <v>3800</v>
      </c>
      <c r="T45" s="64">
        <v>3800</v>
      </c>
      <c r="U45" s="64">
        <v>3800</v>
      </c>
      <c r="V45" s="64">
        <v>3800</v>
      </c>
      <c r="W45" s="64">
        <v>3800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</row>
    <row r="46" spans="1:213" s="15" customFormat="1" ht="56.25">
      <c r="A46" s="66"/>
      <c r="B46" s="31">
        <v>85212</v>
      </c>
      <c r="C46" s="51"/>
      <c r="D46" s="49" t="s">
        <v>183</v>
      </c>
      <c r="E46" s="64">
        <f aca="true" t="shared" si="22" ref="E46:K46">SUM(E47:E58)</f>
        <v>6416200</v>
      </c>
      <c r="F46" s="64">
        <f t="shared" si="22"/>
        <v>0</v>
      </c>
      <c r="G46" s="64">
        <f t="shared" si="22"/>
        <v>6416200</v>
      </c>
      <c r="H46" s="64">
        <f t="shared" si="22"/>
        <v>147200</v>
      </c>
      <c r="I46" s="64">
        <f t="shared" si="22"/>
        <v>6563400</v>
      </c>
      <c r="J46" s="64">
        <f t="shared" si="22"/>
        <v>0</v>
      </c>
      <c r="K46" s="64">
        <f t="shared" si="22"/>
        <v>6563400</v>
      </c>
      <c r="L46" s="64">
        <f>SUM(L47:L58)</f>
        <v>0</v>
      </c>
      <c r="M46" s="64">
        <f aca="true" t="shared" si="23" ref="M46:S46">SUM(M47:M62)</f>
        <v>6563400</v>
      </c>
      <c r="N46" s="64">
        <f t="shared" si="23"/>
        <v>52500</v>
      </c>
      <c r="O46" s="64">
        <f t="shared" si="23"/>
        <v>6615900</v>
      </c>
      <c r="P46" s="64">
        <f t="shared" si="23"/>
        <v>0</v>
      </c>
      <c r="Q46" s="64">
        <f t="shared" si="23"/>
        <v>6615900</v>
      </c>
      <c r="R46" s="64">
        <f t="shared" si="23"/>
        <v>0</v>
      </c>
      <c r="S46" s="64">
        <f t="shared" si="23"/>
        <v>6615900</v>
      </c>
      <c r="T46" s="64">
        <f>SUM(T47:T62)</f>
        <v>102500</v>
      </c>
      <c r="U46" s="64">
        <f>SUM(U47:U62)</f>
        <v>6718400</v>
      </c>
      <c r="V46" s="64">
        <f>SUM(V47:V62)</f>
        <v>0</v>
      </c>
      <c r="W46" s="64">
        <f>SUM(W47:W62)</f>
        <v>6718400</v>
      </c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</row>
    <row r="47" spans="1:213" s="15" customFormat="1" ht="18" customHeight="1">
      <c r="A47" s="66"/>
      <c r="B47" s="31"/>
      <c r="C47" s="51">
        <v>3110</v>
      </c>
      <c r="D47" s="49" t="s">
        <v>105</v>
      </c>
      <c r="E47" s="44">
        <v>6176014</v>
      </c>
      <c r="F47" s="44"/>
      <c r="G47" s="44">
        <f aca="true" t="shared" si="24" ref="G47:G58">SUM(E47:F47)</f>
        <v>6176014</v>
      </c>
      <c r="H47" s="44">
        <f>147200-4416</f>
        <v>142784</v>
      </c>
      <c r="I47" s="44">
        <f aca="true" t="shared" si="25" ref="I47:I58">SUM(G47:H47)</f>
        <v>6318798</v>
      </c>
      <c r="J47" s="44"/>
      <c r="K47" s="44">
        <f aca="true" t="shared" si="26" ref="K47:K58">SUM(I47:J47)</f>
        <v>6318798</v>
      </c>
      <c r="L47" s="44"/>
      <c r="M47" s="44">
        <f aca="true" t="shared" si="27" ref="M47:M58">SUM(K47:L47)</f>
        <v>6318798</v>
      </c>
      <c r="N47" s="44"/>
      <c r="O47" s="44">
        <f aca="true" t="shared" si="28" ref="O47:O62">SUM(M47:N47)</f>
        <v>6318798</v>
      </c>
      <c r="P47" s="44"/>
      <c r="Q47" s="44">
        <f aca="true" t="shared" si="29" ref="Q47:Q62">SUM(O47:P47)</f>
        <v>6318798</v>
      </c>
      <c r="R47" s="44"/>
      <c r="S47" s="44">
        <f aca="true" t="shared" si="30" ref="S47:S62">SUM(Q47:R47)</f>
        <v>6318798</v>
      </c>
      <c r="T47" s="44">
        <v>99425</v>
      </c>
      <c r="U47" s="44">
        <f aca="true" t="shared" si="31" ref="U47:U62">SUM(S47:T47)</f>
        <v>6418223</v>
      </c>
      <c r="V47" s="44"/>
      <c r="W47" s="44">
        <f aca="true" t="shared" si="32" ref="W47:W62">SUM(U47:V47)</f>
        <v>6418223</v>
      </c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</row>
    <row r="48" spans="1:213" s="15" customFormat="1" ht="24" customHeight="1">
      <c r="A48" s="66"/>
      <c r="B48" s="31"/>
      <c r="C48" s="31">
        <v>4010</v>
      </c>
      <c r="D48" s="9" t="s">
        <v>74</v>
      </c>
      <c r="E48" s="44">
        <v>147161</v>
      </c>
      <c r="F48" s="44">
        <v>2071</v>
      </c>
      <c r="G48" s="44">
        <f t="shared" si="24"/>
        <v>149232</v>
      </c>
      <c r="H48" s="44"/>
      <c r="I48" s="44">
        <f t="shared" si="25"/>
        <v>149232</v>
      </c>
      <c r="J48" s="44"/>
      <c r="K48" s="44">
        <f t="shared" si="26"/>
        <v>149232</v>
      </c>
      <c r="L48" s="44"/>
      <c r="M48" s="44">
        <f t="shared" si="27"/>
        <v>149232</v>
      </c>
      <c r="N48" s="44"/>
      <c r="O48" s="44">
        <f t="shared" si="28"/>
        <v>149232</v>
      </c>
      <c r="P48" s="44"/>
      <c r="Q48" s="44">
        <f t="shared" si="29"/>
        <v>149232</v>
      </c>
      <c r="R48" s="44"/>
      <c r="S48" s="44">
        <f t="shared" si="30"/>
        <v>149232</v>
      </c>
      <c r="T48" s="44"/>
      <c r="U48" s="44">
        <f t="shared" si="31"/>
        <v>149232</v>
      </c>
      <c r="V48" s="44"/>
      <c r="W48" s="44">
        <f t="shared" si="32"/>
        <v>149232</v>
      </c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</row>
    <row r="49" spans="1:213" s="15" customFormat="1" ht="24" customHeight="1">
      <c r="A49" s="66"/>
      <c r="B49" s="31"/>
      <c r="C49" s="31">
        <v>4040</v>
      </c>
      <c r="D49" s="9" t="s">
        <v>75</v>
      </c>
      <c r="E49" s="44">
        <v>12000</v>
      </c>
      <c r="F49" s="44">
        <v>-2071</v>
      </c>
      <c r="G49" s="44">
        <f t="shared" si="24"/>
        <v>9929</v>
      </c>
      <c r="H49" s="44"/>
      <c r="I49" s="44">
        <f t="shared" si="25"/>
        <v>9929</v>
      </c>
      <c r="J49" s="44"/>
      <c r="K49" s="44">
        <f t="shared" si="26"/>
        <v>9929</v>
      </c>
      <c r="L49" s="44"/>
      <c r="M49" s="44">
        <f t="shared" si="27"/>
        <v>9929</v>
      </c>
      <c r="N49" s="44"/>
      <c r="O49" s="44">
        <f t="shared" si="28"/>
        <v>9929</v>
      </c>
      <c r="P49" s="44"/>
      <c r="Q49" s="44">
        <f t="shared" si="29"/>
        <v>9929</v>
      </c>
      <c r="R49" s="44"/>
      <c r="S49" s="44">
        <f t="shared" si="30"/>
        <v>9929</v>
      </c>
      <c r="T49" s="44"/>
      <c r="U49" s="44">
        <f t="shared" si="31"/>
        <v>9929</v>
      </c>
      <c r="V49" s="44"/>
      <c r="W49" s="44">
        <f t="shared" si="32"/>
        <v>9929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</row>
    <row r="50" spans="1:213" s="15" customFormat="1" ht="24" customHeight="1">
      <c r="A50" s="66"/>
      <c r="B50" s="31"/>
      <c r="C50" s="31">
        <v>4110</v>
      </c>
      <c r="D50" s="9" t="s">
        <v>76</v>
      </c>
      <c r="E50" s="44">
        <v>73300</v>
      </c>
      <c r="F50" s="44"/>
      <c r="G50" s="44">
        <f t="shared" si="24"/>
        <v>73300</v>
      </c>
      <c r="H50" s="44"/>
      <c r="I50" s="44">
        <f t="shared" si="25"/>
        <v>73300</v>
      </c>
      <c r="J50" s="44"/>
      <c r="K50" s="44">
        <f t="shared" si="26"/>
        <v>73300</v>
      </c>
      <c r="L50" s="44"/>
      <c r="M50" s="44">
        <f t="shared" si="27"/>
        <v>73300</v>
      </c>
      <c r="N50" s="44"/>
      <c r="O50" s="44">
        <f t="shared" si="28"/>
        <v>73300</v>
      </c>
      <c r="P50" s="44"/>
      <c r="Q50" s="44">
        <f t="shared" si="29"/>
        <v>73300</v>
      </c>
      <c r="R50" s="44"/>
      <c r="S50" s="44">
        <f t="shared" si="30"/>
        <v>73300</v>
      </c>
      <c r="T50" s="44"/>
      <c r="U50" s="44">
        <f t="shared" si="31"/>
        <v>73300</v>
      </c>
      <c r="V50" s="44"/>
      <c r="W50" s="44">
        <f t="shared" si="32"/>
        <v>73300</v>
      </c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</row>
    <row r="51" spans="1:213" s="15" customFormat="1" ht="24" customHeight="1">
      <c r="A51" s="66"/>
      <c r="B51" s="31"/>
      <c r="C51" s="31">
        <v>4120</v>
      </c>
      <c r="D51" s="9" t="s">
        <v>77</v>
      </c>
      <c r="E51" s="44">
        <v>3600</v>
      </c>
      <c r="F51" s="44"/>
      <c r="G51" s="44">
        <f t="shared" si="24"/>
        <v>3600</v>
      </c>
      <c r="H51" s="44"/>
      <c r="I51" s="44">
        <f t="shared" si="25"/>
        <v>3600</v>
      </c>
      <c r="J51" s="44"/>
      <c r="K51" s="44">
        <f t="shared" si="26"/>
        <v>3600</v>
      </c>
      <c r="L51" s="44"/>
      <c r="M51" s="44">
        <f t="shared" si="27"/>
        <v>3600</v>
      </c>
      <c r="N51" s="44"/>
      <c r="O51" s="44">
        <f t="shared" si="28"/>
        <v>3600</v>
      </c>
      <c r="P51" s="44"/>
      <c r="Q51" s="44">
        <f t="shared" si="29"/>
        <v>3600</v>
      </c>
      <c r="R51" s="44"/>
      <c r="S51" s="44">
        <f t="shared" si="30"/>
        <v>3600</v>
      </c>
      <c r="T51" s="44"/>
      <c r="U51" s="44">
        <f t="shared" si="31"/>
        <v>3600</v>
      </c>
      <c r="V51" s="44"/>
      <c r="W51" s="44">
        <f t="shared" si="32"/>
        <v>3600</v>
      </c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</row>
    <row r="52" spans="1:213" s="15" customFormat="1" ht="24" customHeight="1">
      <c r="A52" s="66"/>
      <c r="B52" s="31"/>
      <c r="C52" s="31">
        <v>4210</v>
      </c>
      <c r="D52" s="49" t="s">
        <v>82</v>
      </c>
      <c r="E52" s="44"/>
      <c r="F52" s="44"/>
      <c r="G52" s="44">
        <v>0</v>
      </c>
      <c r="H52" s="44">
        <v>4416</v>
      </c>
      <c r="I52" s="44">
        <f t="shared" si="25"/>
        <v>4416</v>
      </c>
      <c r="J52" s="44"/>
      <c r="K52" s="44">
        <f t="shared" si="26"/>
        <v>4416</v>
      </c>
      <c r="L52" s="44"/>
      <c r="M52" s="44">
        <f t="shared" si="27"/>
        <v>4416</v>
      </c>
      <c r="N52" s="44">
        <v>43500</v>
      </c>
      <c r="O52" s="44">
        <f t="shared" si="28"/>
        <v>47916</v>
      </c>
      <c r="P52" s="44">
        <v>-15500</v>
      </c>
      <c r="Q52" s="44">
        <f t="shared" si="29"/>
        <v>32416</v>
      </c>
      <c r="R52" s="44">
        <v>7000</v>
      </c>
      <c r="S52" s="44">
        <f t="shared" si="30"/>
        <v>39416</v>
      </c>
      <c r="T52" s="44">
        <v>3075</v>
      </c>
      <c r="U52" s="44">
        <f t="shared" si="31"/>
        <v>42491</v>
      </c>
      <c r="V52" s="44">
        <f>-774-5585</f>
        <v>-6359</v>
      </c>
      <c r="W52" s="44">
        <f t="shared" si="32"/>
        <v>36132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</row>
    <row r="53" spans="1:213" s="15" customFormat="1" ht="24" customHeight="1">
      <c r="A53" s="66"/>
      <c r="B53" s="31"/>
      <c r="C53" s="31">
        <v>4300</v>
      </c>
      <c r="D53" s="49" t="s">
        <v>69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>
        <v>0</v>
      </c>
      <c r="V53" s="44">
        <v>1866</v>
      </c>
      <c r="W53" s="44">
        <f t="shared" si="32"/>
        <v>1866</v>
      </c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</row>
    <row r="54" spans="1:213" s="15" customFormat="1" ht="24" customHeight="1">
      <c r="A54" s="66"/>
      <c r="B54" s="31"/>
      <c r="C54" s="31">
        <v>4350</v>
      </c>
      <c r="D54" s="27" t="s">
        <v>182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>
        <v>0</v>
      </c>
      <c r="V54" s="44">
        <v>976</v>
      </c>
      <c r="W54" s="44">
        <f t="shared" si="32"/>
        <v>976</v>
      </c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</row>
    <row r="55" spans="1:213" s="15" customFormat="1" ht="33.75">
      <c r="A55" s="66"/>
      <c r="B55" s="31"/>
      <c r="C55" s="31">
        <v>4360</v>
      </c>
      <c r="D55" s="27" t="s">
        <v>195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>
        <v>0</v>
      </c>
      <c r="V55" s="44">
        <v>800</v>
      </c>
      <c r="W55" s="44">
        <f t="shared" si="32"/>
        <v>800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</row>
    <row r="56" spans="1:213" s="15" customFormat="1" ht="33.75">
      <c r="A56" s="66"/>
      <c r="B56" s="31"/>
      <c r="C56" s="31">
        <v>4370</v>
      </c>
      <c r="D56" s="9" t="s">
        <v>188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>
        <v>0</v>
      </c>
      <c r="V56" s="44">
        <v>2400</v>
      </c>
      <c r="W56" s="44">
        <f t="shared" si="32"/>
        <v>2400</v>
      </c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</row>
    <row r="57" spans="1:213" s="15" customFormat="1" ht="19.5" customHeight="1">
      <c r="A57" s="66"/>
      <c r="B57" s="31"/>
      <c r="C57" s="31">
        <v>4410</v>
      </c>
      <c r="D57" s="27" t="s">
        <v>80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>
        <v>0</v>
      </c>
      <c r="P57" s="44">
        <v>1000</v>
      </c>
      <c r="Q57" s="44">
        <f t="shared" si="29"/>
        <v>1000</v>
      </c>
      <c r="R57" s="44"/>
      <c r="S57" s="44">
        <f t="shared" si="30"/>
        <v>1000</v>
      </c>
      <c r="T57" s="44"/>
      <c r="U57" s="44">
        <f t="shared" si="31"/>
        <v>1000</v>
      </c>
      <c r="V57" s="44">
        <f>368+1000</f>
        <v>1368</v>
      </c>
      <c r="W57" s="44">
        <f t="shared" si="32"/>
        <v>2368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</row>
    <row r="58" spans="1:213" s="15" customFormat="1" ht="24" customHeight="1">
      <c r="A58" s="66"/>
      <c r="B58" s="31"/>
      <c r="C58" s="31">
        <v>4440</v>
      </c>
      <c r="D58" s="9" t="s">
        <v>78</v>
      </c>
      <c r="E58" s="44">
        <v>4125</v>
      </c>
      <c r="F58" s="44"/>
      <c r="G58" s="44">
        <f t="shared" si="24"/>
        <v>4125</v>
      </c>
      <c r="H58" s="44"/>
      <c r="I58" s="44">
        <f t="shared" si="25"/>
        <v>4125</v>
      </c>
      <c r="J58" s="44"/>
      <c r="K58" s="44">
        <f t="shared" si="26"/>
        <v>4125</v>
      </c>
      <c r="L58" s="44"/>
      <c r="M58" s="44">
        <f t="shared" si="27"/>
        <v>4125</v>
      </c>
      <c r="N58" s="44"/>
      <c r="O58" s="44">
        <f t="shared" si="28"/>
        <v>4125</v>
      </c>
      <c r="P58" s="44"/>
      <c r="Q58" s="44">
        <f t="shared" si="29"/>
        <v>4125</v>
      </c>
      <c r="R58" s="44"/>
      <c r="S58" s="44">
        <f t="shared" si="30"/>
        <v>4125</v>
      </c>
      <c r="T58" s="44"/>
      <c r="U58" s="44">
        <f t="shared" si="31"/>
        <v>4125</v>
      </c>
      <c r="V58" s="44">
        <v>409</v>
      </c>
      <c r="W58" s="44">
        <f t="shared" si="32"/>
        <v>4534</v>
      </c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</row>
    <row r="59" spans="1:213" s="15" customFormat="1" ht="33.75">
      <c r="A59" s="66"/>
      <c r="B59" s="31"/>
      <c r="C59" s="52">
        <v>4700</v>
      </c>
      <c r="D59" s="27" t="s">
        <v>233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>
        <v>0</v>
      </c>
      <c r="P59" s="44">
        <v>2000</v>
      </c>
      <c r="Q59" s="44">
        <f t="shared" si="29"/>
        <v>2000</v>
      </c>
      <c r="R59" s="44"/>
      <c r="S59" s="44">
        <f t="shared" si="30"/>
        <v>2000</v>
      </c>
      <c r="T59" s="44"/>
      <c r="U59" s="44">
        <f t="shared" si="31"/>
        <v>2000</v>
      </c>
      <c r="V59" s="44">
        <v>-1460</v>
      </c>
      <c r="W59" s="44">
        <f t="shared" si="32"/>
        <v>540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</row>
    <row r="60" spans="1:213" s="15" customFormat="1" ht="33.75">
      <c r="A60" s="66"/>
      <c r="B60" s="31"/>
      <c r="C60" s="52">
        <v>4740</v>
      </c>
      <c r="D60" s="27" t="s">
        <v>189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>
        <v>0</v>
      </c>
      <c r="P60" s="44">
        <v>5000</v>
      </c>
      <c r="Q60" s="44">
        <f t="shared" si="29"/>
        <v>5000</v>
      </c>
      <c r="R60" s="44">
        <v>-2000</v>
      </c>
      <c r="S60" s="44">
        <f t="shared" si="30"/>
        <v>3000</v>
      </c>
      <c r="T60" s="44"/>
      <c r="U60" s="44">
        <f t="shared" si="31"/>
        <v>3000</v>
      </c>
      <c r="V60" s="44"/>
      <c r="W60" s="44">
        <f t="shared" si="32"/>
        <v>3000</v>
      </c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</row>
    <row r="61" spans="1:213" s="15" customFormat="1" ht="24" customHeight="1">
      <c r="A61" s="66"/>
      <c r="B61" s="31"/>
      <c r="C61" s="52">
        <v>4750</v>
      </c>
      <c r="D61" s="27" t="s">
        <v>269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>
        <v>0</v>
      </c>
      <c r="P61" s="44">
        <v>7500</v>
      </c>
      <c r="Q61" s="44">
        <f t="shared" si="29"/>
        <v>7500</v>
      </c>
      <c r="R61" s="44">
        <v>-5000</v>
      </c>
      <c r="S61" s="44">
        <f t="shared" si="30"/>
        <v>2500</v>
      </c>
      <c r="T61" s="44"/>
      <c r="U61" s="44">
        <f t="shared" si="31"/>
        <v>2500</v>
      </c>
      <c r="V61" s="44"/>
      <c r="W61" s="44">
        <f t="shared" si="32"/>
        <v>2500</v>
      </c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</row>
    <row r="62" spans="1:213" s="15" customFormat="1" ht="24" customHeight="1">
      <c r="A62" s="66"/>
      <c r="B62" s="31"/>
      <c r="C62" s="52">
        <v>6060</v>
      </c>
      <c r="D62" s="27" t="s">
        <v>86</v>
      </c>
      <c r="E62" s="44"/>
      <c r="F62" s="44"/>
      <c r="G62" s="44"/>
      <c r="H62" s="44"/>
      <c r="I62" s="44"/>
      <c r="J62" s="44"/>
      <c r="K62" s="44"/>
      <c r="L62" s="44"/>
      <c r="M62" s="44">
        <v>0</v>
      </c>
      <c r="N62" s="44">
        <v>9000</v>
      </c>
      <c r="O62" s="44">
        <f t="shared" si="28"/>
        <v>9000</v>
      </c>
      <c r="P62" s="44"/>
      <c r="Q62" s="44">
        <f t="shared" si="29"/>
        <v>9000</v>
      </c>
      <c r="R62" s="44"/>
      <c r="S62" s="44">
        <f t="shared" si="30"/>
        <v>9000</v>
      </c>
      <c r="T62" s="44"/>
      <c r="U62" s="44">
        <f t="shared" si="31"/>
        <v>9000</v>
      </c>
      <c r="V62" s="44"/>
      <c r="W62" s="44">
        <f t="shared" si="32"/>
        <v>9000</v>
      </c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</row>
    <row r="63" spans="1:213" s="15" customFormat="1" ht="78.75">
      <c r="A63" s="46"/>
      <c r="B63" s="31">
        <v>85213</v>
      </c>
      <c r="C63" s="52"/>
      <c r="D63" s="27" t="s">
        <v>242</v>
      </c>
      <c r="E63" s="64">
        <f aca="true" t="shared" si="33" ref="E63:W63">SUM(E64)</f>
        <v>71100</v>
      </c>
      <c r="F63" s="64">
        <f t="shared" si="33"/>
        <v>0</v>
      </c>
      <c r="G63" s="64">
        <f t="shared" si="33"/>
        <v>71100</v>
      </c>
      <c r="H63" s="64">
        <f t="shared" si="33"/>
        <v>0</v>
      </c>
      <c r="I63" s="64">
        <f t="shared" si="33"/>
        <v>71100</v>
      </c>
      <c r="J63" s="64">
        <f t="shared" si="33"/>
        <v>0</v>
      </c>
      <c r="K63" s="64">
        <f t="shared" si="33"/>
        <v>71100</v>
      </c>
      <c r="L63" s="64">
        <f t="shared" si="33"/>
        <v>0</v>
      </c>
      <c r="M63" s="64">
        <f t="shared" si="33"/>
        <v>71100</v>
      </c>
      <c r="N63" s="64">
        <f t="shared" si="33"/>
        <v>0</v>
      </c>
      <c r="O63" s="64">
        <f t="shared" si="33"/>
        <v>71100</v>
      </c>
      <c r="P63" s="64">
        <f t="shared" si="33"/>
        <v>-23300</v>
      </c>
      <c r="Q63" s="64">
        <f t="shared" si="33"/>
        <v>47800</v>
      </c>
      <c r="R63" s="64">
        <f t="shared" si="33"/>
        <v>0</v>
      </c>
      <c r="S63" s="64">
        <f t="shared" si="33"/>
        <v>47800</v>
      </c>
      <c r="T63" s="64">
        <f t="shared" si="33"/>
        <v>0</v>
      </c>
      <c r="U63" s="64">
        <f t="shared" si="33"/>
        <v>47800</v>
      </c>
      <c r="V63" s="64">
        <f t="shared" si="33"/>
        <v>0</v>
      </c>
      <c r="W63" s="64">
        <f t="shared" si="33"/>
        <v>47800</v>
      </c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</row>
    <row r="64" spans="1:213" s="15" customFormat="1" ht="21.75" customHeight="1">
      <c r="A64" s="46"/>
      <c r="B64" s="31"/>
      <c r="C64" s="52">
        <v>4130</v>
      </c>
      <c r="D64" s="49" t="s">
        <v>113</v>
      </c>
      <c r="E64" s="64">
        <v>71100</v>
      </c>
      <c r="F64" s="64"/>
      <c r="G64" s="64">
        <f>SUM(E64:F64)</f>
        <v>71100</v>
      </c>
      <c r="H64" s="64"/>
      <c r="I64" s="64">
        <f>SUM(G64:H64)</f>
        <v>71100</v>
      </c>
      <c r="J64" s="64"/>
      <c r="K64" s="64">
        <f>SUM(I64:J64)</f>
        <v>71100</v>
      </c>
      <c r="L64" s="64"/>
      <c r="M64" s="64">
        <f>SUM(K64:L64)</f>
        <v>71100</v>
      </c>
      <c r="N64" s="64"/>
      <c r="O64" s="64">
        <f>SUM(M64:N64)</f>
        <v>71100</v>
      </c>
      <c r="P64" s="64">
        <v>-23300</v>
      </c>
      <c r="Q64" s="64">
        <f>SUM(O64:P64)</f>
        <v>47800</v>
      </c>
      <c r="R64" s="64"/>
      <c r="S64" s="64">
        <f>SUM(Q64:R64)</f>
        <v>47800</v>
      </c>
      <c r="T64" s="64"/>
      <c r="U64" s="64">
        <f>SUM(S64:T64)</f>
        <v>47800</v>
      </c>
      <c r="V64" s="64"/>
      <c r="W64" s="64">
        <f>SUM(U64:V64)</f>
        <v>47800</v>
      </c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</row>
    <row r="65" spans="1:213" s="39" customFormat="1" ht="33.75">
      <c r="A65" s="41"/>
      <c r="B65" s="41">
        <v>85214</v>
      </c>
      <c r="C65" s="42"/>
      <c r="D65" s="40" t="s">
        <v>174</v>
      </c>
      <c r="E65" s="65">
        <f aca="true" t="shared" si="34" ref="E65:K65">SUM(E66:E67)</f>
        <v>482100</v>
      </c>
      <c r="F65" s="65">
        <f t="shared" si="34"/>
        <v>0</v>
      </c>
      <c r="G65" s="65">
        <f t="shared" si="34"/>
        <v>482100</v>
      </c>
      <c r="H65" s="65">
        <f t="shared" si="34"/>
        <v>7900</v>
      </c>
      <c r="I65" s="65">
        <f t="shared" si="34"/>
        <v>490000</v>
      </c>
      <c r="J65" s="65">
        <f t="shared" si="34"/>
        <v>0</v>
      </c>
      <c r="K65" s="65">
        <f t="shared" si="34"/>
        <v>490000</v>
      </c>
      <c r="L65" s="65">
        <f aca="true" t="shared" si="35" ref="L65:Q65">SUM(L66:L67)</f>
        <v>0</v>
      </c>
      <c r="M65" s="65">
        <f t="shared" si="35"/>
        <v>490000</v>
      </c>
      <c r="N65" s="65">
        <f t="shared" si="35"/>
        <v>0</v>
      </c>
      <c r="O65" s="65">
        <f t="shared" si="35"/>
        <v>490000</v>
      </c>
      <c r="P65" s="65">
        <f t="shared" si="35"/>
        <v>-3000</v>
      </c>
      <c r="Q65" s="65">
        <f t="shared" si="35"/>
        <v>487000</v>
      </c>
      <c r="R65" s="65">
        <f aca="true" t="shared" si="36" ref="R65:W65">SUM(R66:R67)</f>
        <v>152500</v>
      </c>
      <c r="S65" s="65">
        <f t="shared" si="36"/>
        <v>639500</v>
      </c>
      <c r="T65" s="65">
        <f t="shared" si="36"/>
        <v>0</v>
      </c>
      <c r="U65" s="65">
        <f t="shared" si="36"/>
        <v>639500</v>
      </c>
      <c r="V65" s="65">
        <f t="shared" si="36"/>
        <v>0</v>
      </c>
      <c r="W65" s="65">
        <f t="shared" si="36"/>
        <v>639500</v>
      </c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</row>
    <row r="66" spans="1:213" s="39" customFormat="1" ht="21.75" customHeight="1">
      <c r="A66" s="41"/>
      <c r="B66" s="59"/>
      <c r="C66" s="42">
        <v>3110</v>
      </c>
      <c r="D66" s="40" t="s">
        <v>105</v>
      </c>
      <c r="E66" s="65">
        <f>482100-3000</f>
        <v>479100</v>
      </c>
      <c r="F66" s="65"/>
      <c r="G66" s="65">
        <f>SUM(E66:F66)</f>
        <v>479100</v>
      </c>
      <c r="H66" s="65">
        <v>7900</v>
      </c>
      <c r="I66" s="65">
        <f>SUM(G66:H66)</f>
        <v>487000</v>
      </c>
      <c r="J66" s="65"/>
      <c r="K66" s="65">
        <f>SUM(I66:J66)</f>
        <v>487000</v>
      </c>
      <c r="L66" s="65"/>
      <c r="M66" s="65">
        <f>SUM(K66:L66)</f>
        <v>487000</v>
      </c>
      <c r="N66" s="65"/>
      <c r="O66" s="65">
        <f>SUM(M66:N66)</f>
        <v>487000</v>
      </c>
      <c r="P66" s="65">
        <v>-3000</v>
      </c>
      <c r="Q66" s="65">
        <f>SUM(O66:P66)</f>
        <v>484000</v>
      </c>
      <c r="R66" s="65">
        <v>152500</v>
      </c>
      <c r="S66" s="65">
        <f>SUM(Q66:R66)</f>
        <v>636500</v>
      </c>
      <c r="T66" s="65">
        <v>1925</v>
      </c>
      <c r="U66" s="65">
        <f>SUM(S66:T66)</f>
        <v>638425</v>
      </c>
      <c r="V66" s="65"/>
      <c r="W66" s="65">
        <f>SUM(U66:V66)</f>
        <v>638425</v>
      </c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</row>
    <row r="67" spans="1:213" s="39" customFormat="1" ht="21.75" customHeight="1">
      <c r="A67" s="41"/>
      <c r="B67" s="59"/>
      <c r="C67" s="59">
        <v>4110</v>
      </c>
      <c r="D67" s="9" t="s">
        <v>76</v>
      </c>
      <c r="E67" s="65">
        <v>3000</v>
      </c>
      <c r="F67" s="65"/>
      <c r="G67" s="65">
        <f>SUM(E67:F67)</f>
        <v>3000</v>
      </c>
      <c r="H67" s="65"/>
      <c r="I67" s="65">
        <f>SUM(G67:H67)</f>
        <v>3000</v>
      </c>
      <c r="J67" s="65"/>
      <c r="K67" s="65">
        <f>SUM(I67:J67)</f>
        <v>3000</v>
      </c>
      <c r="L67" s="65"/>
      <c r="M67" s="65">
        <f>SUM(K67:L67)</f>
        <v>3000</v>
      </c>
      <c r="N67" s="65"/>
      <c r="O67" s="65">
        <f>SUM(M67:N67)</f>
        <v>3000</v>
      </c>
      <c r="P67" s="65"/>
      <c r="Q67" s="65">
        <f>SUM(O67:P67)</f>
        <v>3000</v>
      </c>
      <c r="R67" s="65"/>
      <c r="S67" s="65">
        <f>SUM(Q67:R67)</f>
        <v>3000</v>
      </c>
      <c r="T67" s="65">
        <v>-1925</v>
      </c>
      <c r="U67" s="65">
        <f>SUM(S67:T67)</f>
        <v>1075</v>
      </c>
      <c r="V67" s="65"/>
      <c r="W67" s="65">
        <f>SUM(U67:V67)</f>
        <v>1075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</row>
    <row r="68" spans="1:213" ht="23.25" customHeight="1">
      <c r="A68" s="5"/>
      <c r="B68" s="5"/>
      <c r="C68" s="5"/>
      <c r="D68" s="10" t="s">
        <v>58</v>
      </c>
      <c r="E68" s="30">
        <f>SUM(E32,E22,E15,E28)</f>
        <v>7129310</v>
      </c>
      <c r="F68" s="30">
        <f>SUM(F32,F22,F15,F28)</f>
        <v>0</v>
      </c>
      <c r="G68" s="30">
        <f>SUM(G32,G22,G15,G28)</f>
        <v>7129310</v>
      </c>
      <c r="H68" s="30">
        <f>SUM(H32,H22,H15,H28)</f>
        <v>154686</v>
      </c>
      <c r="I68" s="30">
        <f aca="true" t="shared" si="37" ref="I68:O68">SUM(I32,I22,I15,I28,I8)</f>
        <v>7283996</v>
      </c>
      <c r="J68" s="30">
        <f t="shared" si="37"/>
        <v>192361</v>
      </c>
      <c r="K68" s="30">
        <f t="shared" si="37"/>
        <v>7476357</v>
      </c>
      <c r="L68" s="30">
        <f t="shared" si="37"/>
        <v>0</v>
      </c>
      <c r="M68" s="30">
        <f t="shared" si="37"/>
        <v>7476357</v>
      </c>
      <c r="N68" s="30">
        <f t="shared" si="37"/>
        <v>54711</v>
      </c>
      <c r="O68" s="30">
        <f t="shared" si="37"/>
        <v>7531068</v>
      </c>
      <c r="P68" s="30">
        <f aca="true" t="shared" si="38" ref="P68:U68">SUM(P32,P22,P15,P28,P8)</f>
        <v>-26300</v>
      </c>
      <c r="Q68" s="30">
        <f t="shared" si="38"/>
        <v>7504768</v>
      </c>
      <c r="R68" s="30">
        <f t="shared" si="38"/>
        <v>376860</v>
      </c>
      <c r="S68" s="30">
        <f t="shared" si="38"/>
        <v>7881628</v>
      </c>
      <c r="T68" s="30">
        <f t="shared" si="38"/>
        <v>102500</v>
      </c>
      <c r="U68" s="30">
        <f t="shared" si="38"/>
        <v>7984128</v>
      </c>
      <c r="V68" s="30">
        <f>SUM(V32,V22,V15,V28,V8)</f>
        <v>0</v>
      </c>
      <c r="W68" s="30">
        <f>SUM(W32,W22,W15,W28,W8)</f>
        <v>7984128</v>
      </c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</row>
    <row r="70" spans="5:23" ht="12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5:23" ht="12.75"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</row>
    <row r="72" spans="5:23" ht="12.75">
      <c r="E72" s="15"/>
      <c r="F72" s="15"/>
      <c r="G72" s="15"/>
      <c r="H72" s="15"/>
      <c r="I72" s="15"/>
      <c r="J72" s="15"/>
      <c r="K72" s="15"/>
      <c r="L72" s="15"/>
      <c r="M72" s="15"/>
      <c r="N72" s="75">
        <v>2211</v>
      </c>
      <c r="O72" s="15"/>
      <c r="P72" s="75"/>
      <c r="Q72" s="15"/>
      <c r="R72" s="75"/>
      <c r="S72" s="15"/>
      <c r="T72" s="75"/>
      <c r="U72" s="15"/>
      <c r="V72" s="75"/>
      <c r="W72" s="15"/>
    </row>
    <row r="73" spans="5:23" ht="12.75">
      <c r="E73" s="75"/>
      <c r="F73" s="75"/>
      <c r="G73" s="75"/>
      <c r="H73" s="75"/>
      <c r="I73" s="75"/>
      <c r="J73" s="75"/>
      <c r="K73" s="75"/>
      <c r="L73" s="75"/>
      <c r="M73" s="75"/>
      <c r="N73" s="75">
        <v>52500</v>
      </c>
      <c r="O73" s="75"/>
      <c r="P73" s="75"/>
      <c r="Q73" s="75"/>
      <c r="R73" s="75">
        <v>152500</v>
      </c>
      <c r="S73" s="75" t="s">
        <v>364</v>
      </c>
      <c r="T73" s="75"/>
      <c r="U73" s="75"/>
      <c r="V73" s="75"/>
      <c r="W73" s="75"/>
    </row>
    <row r="74" spans="5:23" ht="12.75">
      <c r="E74" s="15"/>
      <c r="F74" s="15"/>
      <c r="G74" s="15"/>
      <c r="H74" s="15"/>
      <c r="I74" s="15"/>
      <c r="J74" s="15"/>
      <c r="K74" s="15"/>
      <c r="L74" s="15"/>
      <c r="M74" s="15"/>
      <c r="N74" s="94">
        <f>SUM(N72:N73)</f>
        <v>54711</v>
      </c>
      <c r="O74" s="15"/>
      <c r="P74" s="94"/>
      <c r="Q74" s="15"/>
      <c r="R74" s="143">
        <v>224360</v>
      </c>
      <c r="S74" s="15" t="s">
        <v>365</v>
      </c>
      <c r="T74" s="143"/>
      <c r="U74" s="15"/>
      <c r="V74" s="143"/>
      <c r="W74" s="15"/>
    </row>
    <row r="75" spans="5:23" ht="12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142">
        <f>SUM(R73:R74)</f>
        <v>376860</v>
      </c>
      <c r="S75" s="75"/>
      <c r="T75" s="142"/>
      <c r="U75" s="75"/>
      <c r="V75" s="142"/>
      <c r="W75" s="75"/>
    </row>
    <row r="76" spans="5:23" ht="12.75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5:23" ht="12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</row>
    <row r="78" spans="5:23" ht="12.75"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</row>
    <row r="79" spans="5:23" ht="12.7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5:23" ht="12.7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5:23" ht="12.75"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</row>
    <row r="82" spans="5:23" ht="12.7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5:23" ht="12.7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5:23" ht="12.7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5:23" ht="12.75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5:23" ht="12.75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</sheetData>
  <sheetProtection/>
  <mergeCells count="1">
    <mergeCell ref="A6:W6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03"/>
  <sheetViews>
    <sheetView tabSelected="1" zoomScalePageLayoutView="0" workbookViewId="0" topLeftCell="A1">
      <selection activeCell="AA9" sqref="AA9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5.875" style="0" bestFit="1" customWidth="1"/>
    <col min="4" max="4" width="28.875" style="0" customWidth="1"/>
    <col min="5" max="5" width="15.75390625" style="0" hidden="1" customWidth="1"/>
    <col min="6" max="6" width="12.75390625" style="0" hidden="1" customWidth="1"/>
    <col min="7" max="7" width="13.125" style="0" hidden="1" customWidth="1"/>
    <col min="8" max="8" width="15.00390625" style="0" hidden="1" customWidth="1"/>
    <col min="9" max="9" width="14.625" style="0" hidden="1" customWidth="1"/>
    <col min="10" max="10" width="15.00390625" style="0" hidden="1" customWidth="1"/>
    <col min="11" max="11" width="14.625" style="0" hidden="1" customWidth="1"/>
    <col min="12" max="12" width="8.125" style="0" hidden="1" customWidth="1"/>
    <col min="13" max="13" width="2.375" style="0" hidden="1" customWidth="1"/>
    <col min="14" max="14" width="9.00390625" style="0" hidden="1" customWidth="1"/>
    <col min="15" max="15" width="14.625" style="0" hidden="1" customWidth="1"/>
    <col min="16" max="16" width="12.875" style="0" hidden="1" customWidth="1"/>
    <col min="17" max="17" width="14.75390625" style="0" hidden="1" customWidth="1"/>
    <col min="18" max="18" width="12.875" style="0" hidden="1" customWidth="1"/>
    <col min="19" max="19" width="14.75390625" style="0" hidden="1" customWidth="1"/>
    <col min="20" max="20" width="12.875" style="0" hidden="1" customWidth="1"/>
    <col min="21" max="21" width="14.75390625" style="0" hidden="1" customWidth="1"/>
    <col min="22" max="22" width="12.875" style="0" hidden="1" customWidth="1"/>
    <col min="23" max="23" width="14.75390625" style="0" customWidth="1"/>
    <col min="24" max="24" width="12.875" style="0" customWidth="1"/>
    <col min="25" max="25" width="14.75390625" style="0" customWidth="1"/>
  </cols>
  <sheetData>
    <row r="1" spans="1:25" s="3" customFormat="1" ht="15" customHeight="1">
      <c r="A1" s="101"/>
      <c r="B1" s="102"/>
      <c r="C1" s="102" t="s">
        <v>177</v>
      </c>
      <c r="D1" s="101" t="s">
        <v>223</v>
      </c>
      <c r="E1" s="103" t="s">
        <v>323</v>
      </c>
      <c r="F1" s="103"/>
      <c r="G1" s="103" t="s">
        <v>324</v>
      </c>
      <c r="H1" s="103"/>
      <c r="I1" s="103" t="s">
        <v>325</v>
      </c>
      <c r="J1" s="103"/>
      <c r="K1" s="103" t="s">
        <v>326</v>
      </c>
      <c r="L1" s="103"/>
      <c r="M1" s="103" t="s">
        <v>327</v>
      </c>
      <c r="N1" s="103"/>
      <c r="O1" s="103" t="s">
        <v>328</v>
      </c>
      <c r="P1" s="103"/>
      <c r="Q1" s="103" t="s">
        <v>371</v>
      </c>
      <c r="R1" s="103"/>
      <c r="S1" s="103" t="s">
        <v>379</v>
      </c>
      <c r="T1" s="103"/>
      <c r="U1" s="103" t="s">
        <v>387</v>
      </c>
      <c r="V1" s="103"/>
      <c r="W1" s="103" t="s">
        <v>396</v>
      </c>
      <c r="X1" s="103"/>
      <c r="Y1" s="103"/>
    </row>
    <row r="2" spans="1:25" s="3" customFormat="1" ht="15" customHeight="1">
      <c r="A2" s="101"/>
      <c r="B2" s="102"/>
      <c r="C2" s="102"/>
      <c r="D2" s="101"/>
      <c r="E2" s="103" t="s">
        <v>1</v>
      </c>
      <c r="F2" s="103"/>
      <c r="G2" s="103" t="s">
        <v>251</v>
      </c>
      <c r="H2" s="103"/>
      <c r="I2" s="103" t="s">
        <v>191</v>
      </c>
      <c r="J2" s="103"/>
      <c r="K2" s="103" t="s">
        <v>90</v>
      </c>
      <c r="L2" s="103"/>
      <c r="M2" s="103" t="s">
        <v>224</v>
      </c>
      <c r="N2" s="103"/>
      <c r="O2" s="103" t="s">
        <v>317</v>
      </c>
      <c r="P2" s="103"/>
      <c r="Q2" s="103" t="s">
        <v>370</v>
      </c>
      <c r="R2" s="103"/>
      <c r="S2" s="103" t="s">
        <v>376</v>
      </c>
      <c r="T2" s="103"/>
      <c r="U2" s="103" t="s">
        <v>386</v>
      </c>
      <c r="V2" s="103"/>
      <c r="W2" s="103" t="s">
        <v>391</v>
      </c>
      <c r="X2" s="103"/>
      <c r="Y2" s="103"/>
    </row>
    <row r="3" spans="1:25" s="3" customFormat="1" ht="15" customHeight="1">
      <c r="A3" s="101"/>
      <c r="B3" s="102"/>
      <c r="C3" s="102"/>
      <c r="D3" s="101"/>
      <c r="E3" s="104" t="s">
        <v>329</v>
      </c>
      <c r="F3" s="105"/>
      <c r="G3" s="103" t="s">
        <v>323</v>
      </c>
      <c r="H3" s="104"/>
      <c r="I3" s="103" t="s">
        <v>324</v>
      </c>
      <c r="J3" s="104"/>
      <c r="K3" s="103" t="s">
        <v>325</v>
      </c>
      <c r="L3" s="104"/>
      <c r="M3" s="103" t="s">
        <v>326</v>
      </c>
      <c r="N3" s="103"/>
      <c r="O3" s="103" t="s">
        <v>327</v>
      </c>
      <c r="P3" s="103"/>
      <c r="Q3" s="103" t="s">
        <v>328</v>
      </c>
      <c r="R3" s="103"/>
      <c r="S3" s="103" t="s">
        <v>371</v>
      </c>
      <c r="T3" s="103"/>
      <c r="U3" s="103" t="s">
        <v>379</v>
      </c>
      <c r="V3" s="103"/>
      <c r="W3" s="103" t="s">
        <v>387</v>
      </c>
      <c r="X3" s="103"/>
      <c r="Y3" s="105"/>
    </row>
    <row r="4" spans="1:25" s="3" customFormat="1" ht="15" customHeight="1">
      <c r="A4" s="101"/>
      <c r="B4" s="102"/>
      <c r="C4" s="102"/>
      <c r="D4" s="101"/>
      <c r="E4" s="106" t="s">
        <v>200</v>
      </c>
      <c r="F4" s="107"/>
      <c r="G4" s="103" t="s">
        <v>245</v>
      </c>
      <c r="H4" s="106"/>
      <c r="I4" s="103" t="s">
        <v>234</v>
      </c>
      <c r="J4" s="106"/>
      <c r="K4" s="103" t="s">
        <v>89</v>
      </c>
      <c r="L4" s="106"/>
      <c r="M4" s="103" t="s">
        <v>240</v>
      </c>
      <c r="N4" s="103"/>
      <c r="O4" s="103" t="s">
        <v>222</v>
      </c>
      <c r="P4" s="103"/>
      <c r="Q4" s="103" t="s">
        <v>322</v>
      </c>
      <c r="R4" s="103"/>
      <c r="S4" s="103" t="s">
        <v>373</v>
      </c>
      <c r="T4" s="103"/>
      <c r="U4" s="103" t="s">
        <v>381</v>
      </c>
      <c r="V4" s="103"/>
      <c r="W4" s="103" t="s">
        <v>395</v>
      </c>
      <c r="X4" s="103"/>
      <c r="Y4" s="107"/>
    </row>
    <row r="5" spans="1:23" ht="18" customHeight="1">
      <c r="A5" s="150" t="s">
        <v>330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</row>
    <row r="6" spans="1:25" s="15" customFormat="1" ht="21.75" customHeight="1">
      <c r="A6" s="108" t="s">
        <v>8</v>
      </c>
      <c r="B6" s="108" t="s">
        <v>11</v>
      </c>
      <c r="C6" s="108" t="s">
        <v>12</v>
      </c>
      <c r="D6" s="108" t="s">
        <v>13</v>
      </c>
      <c r="E6" s="109" t="s">
        <v>138</v>
      </c>
      <c r="F6" s="109" t="s">
        <v>252</v>
      </c>
      <c r="G6" s="109" t="s">
        <v>139</v>
      </c>
      <c r="H6" s="109" t="s">
        <v>165</v>
      </c>
      <c r="I6" s="109" t="s">
        <v>139</v>
      </c>
      <c r="J6" s="109" t="s">
        <v>165</v>
      </c>
      <c r="K6" s="109" t="s">
        <v>139</v>
      </c>
      <c r="L6" s="109" t="s">
        <v>165</v>
      </c>
      <c r="M6" s="109" t="s">
        <v>139</v>
      </c>
      <c r="N6" s="109" t="s">
        <v>165</v>
      </c>
      <c r="O6" s="109" t="s">
        <v>139</v>
      </c>
      <c r="P6" s="109" t="s">
        <v>165</v>
      </c>
      <c r="Q6" s="109" t="s">
        <v>139</v>
      </c>
      <c r="R6" s="109" t="s">
        <v>165</v>
      </c>
      <c r="S6" s="109" t="s">
        <v>139</v>
      </c>
      <c r="T6" s="109" t="s">
        <v>165</v>
      </c>
      <c r="U6" s="109" t="s">
        <v>138</v>
      </c>
      <c r="V6" s="109" t="s">
        <v>165</v>
      </c>
      <c r="W6" s="109" t="s">
        <v>394</v>
      </c>
      <c r="X6" s="109" t="s">
        <v>165</v>
      </c>
      <c r="Y6" s="109" t="s">
        <v>331</v>
      </c>
    </row>
    <row r="7" spans="1:25" s="4" customFormat="1" ht="24" customHeight="1">
      <c r="A7" s="110" t="s">
        <v>64</v>
      </c>
      <c r="B7" s="111"/>
      <c r="C7" s="111"/>
      <c r="D7" s="112" t="s">
        <v>65</v>
      </c>
      <c r="E7" s="113">
        <f aca="true" t="shared" si="0" ref="E7:Y7">E8</f>
        <v>155300</v>
      </c>
      <c r="F7" s="113">
        <f t="shared" si="0"/>
        <v>-3600</v>
      </c>
      <c r="G7" s="113">
        <f t="shared" si="0"/>
        <v>151700</v>
      </c>
      <c r="H7" s="113">
        <f t="shared" si="0"/>
        <v>0</v>
      </c>
      <c r="I7" s="113">
        <f t="shared" si="0"/>
        <v>151700</v>
      </c>
      <c r="J7" s="113">
        <f t="shared" si="0"/>
        <v>-2508</v>
      </c>
      <c r="K7" s="113">
        <f t="shared" si="0"/>
        <v>149192</v>
      </c>
      <c r="L7" s="113">
        <f t="shared" si="0"/>
        <v>0</v>
      </c>
      <c r="M7" s="113">
        <f t="shared" si="0"/>
        <v>149192</v>
      </c>
      <c r="N7" s="113">
        <f t="shared" si="0"/>
        <v>4795</v>
      </c>
      <c r="O7" s="113">
        <f t="shared" si="0"/>
        <v>153987</v>
      </c>
      <c r="P7" s="113">
        <f t="shared" si="0"/>
        <v>13035</v>
      </c>
      <c r="Q7" s="113">
        <f t="shared" si="0"/>
        <v>167022</v>
      </c>
      <c r="R7" s="113">
        <f t="shared" si="0"/>
        <v>0</v>
      </c>
      <c r="S7" s="113">
        <f t="shared" si="0"/>
        <v>167022</v>
      </c>
      <c r="T7" s="113">
        <f t="shared" si="0"/>
        <v>-1653</v>
      </c>
      <c r="U7" s="113">
        <f t="shared" si="0"/>
        <v>165369</v>
      </c>
      <c r="V7" s="113">
        <f t="shared" si="0"/>
        <v>0</v>
      </c>
      <c r="W7" s="113">
        <f t="shared" si="0"/>
        <v>165369</v>
      </c>
      <c r="X7" s="113">
        <f t="shared" si="0"/>
        <v>0</v>
      </c>
      <c r="Y7" s="113">
        <f t="shared" si="0"/>
        <v>165369</v>
      </c>
    </row>
    <row r="8" spans="1:25" s="4" customFormat="1" ht="21.75" customHeight="1">
      <c r="A8" s="114"/>
      <c r="B8" s="114" t="s">
        <v>66</v>
      </c>
      <c r="C8" s="115"/>
      <c r="D8" s="116" t="s">
        <v>67</v>
      </c>
      <c r="E8" s="113">
        <f aca="true" t="shared" si="1" ref="E8:Q8">SUM(E9,E21,E34,E40)</f>
        <v>155300</v>
      </c>
      <c r="F8" s="113">
        <f t="shared" si="1"/>
        <v>-3600</v>
      </c>
      <c r="G8" s="113">
        <f t="shared" si="1"/>
        <v>151700</v>
      </c>
      <c r="H8" s="113">
        <f t="shared" si="1"/>
        <v>0</v>
      </c>
      <c r="I8" s="113">
        <f t="shared" si="1"/>
        <v>151700</v>
      </c>
      <c r="J8" s="113">
        <f t="shared" si="1"/>
        <v>-2508</v>
      </c>
      <c r="K8" s="113">
        <f t="shared" si="1"/>
        <v>149192</v>
      </c>
      <c r="L8" s="113">
        <f t="shared" si="1"/>
        <v>0</v>
      </c>
      <c r="M8" s="113">
        <f t="shared" si="1"/>
        <v>149192</v>
      </c>
      <c r="N8" s="113">
        <f t="shared" si="1"/>
        <v>4795</v>
      </c>
      <c r="O8" s="113">
        <f t="shared" si="1"/>
        <v>153987</v>
      </c>
      <c r="P8" s="113">
        <f t="shared" si="1"/>
        <v>13035</v>
      </c>
      <c r="Q8" s="113">
        <f t="shared" si="1"/>
        <v>167022</v>
      </c>
      <c r="R8" s="113">
        <f aca="true" t="shared" si="2" ref="R8:W8">SUM(R9,R21,R34,R40)</f>
        <v>0</v>
      </c>
      <c r="S8" s="113">
        <f t="shared" si="2"/>
        <v>167022</v>
      </c>
      <c r="T8" s="113">
        <f t="shared" si="2"/>
        <v>-1653</v>
      </c>
      <c r="U8" s="113">
        <f t="shared" si="2"/>
        <v>165369</v>
      </c>
      <c r="V8" s="113">
        <f t="shared" si="2"/>
        <v>0</v>
      </c>
      <c r="W8" s="113">
        <f t="shared" si="2"/>
        <v>165369</v>
      </c>
      <c r="X8" s="113">
        <f>SUM(X9,X21,X34,X40)</f>
        <v>0</v>
      </c>
      <c r="Y8" s="113">
        <f>SUM(Y9,Y21,Y34,Y40)</f>
        <v>165369</v>
      </c>
    </row>
    <row r="9" spans="1:25" s="15" customFormat="1" ht="21.75" customHeight="1">
      <c r="A9" s="117"/>
      <c r="B9" s="118"/>
      <c r="C9" s="117">
        <v>4210</v>
      </c>
      <c r="D9" s="119" t="s">
        <v>62</v>
      </c>
      <c r="E9" s="120">
        <f aca="true" t="shared" si="3" ref="E9:Q9">SUM(E10:E20)</f>
        <v>31780</v>
      </c>
      <c r="F9" s="120">
        <f t="shared" si="3"/>
        <v>0</v>
      </c>
      <c r="G9" s="120">
        <f t="shared" si="3"/>
        <v>31780</v>
      </c>
      <c r="H9" s="120">
        <f t="shared" si="3"/>
        <v>0</v>
      </c>
      <c r="I9" s="120">
        <f t="shared" si="3"/>
        <v>31780</v>
      </c>
      <c r="J9" s="120">
        <f t="shared" si="3"/>
        <v>-3008</v>
      </c>
      <c r="K9" s="120">
        <f t="shared" si="3"/>
        <v>28772</v>
      </c>
      <c r="L9" s="120">
        <f t="shared" si="3"/>
        <v>-500</v>
      </c>
      <c r="M9" s="120">
        <f t="shared" si="3"/>
        <v>28272</v>
      </c>
      <c r="N9" s="120">
        <f t="shared" si="3"/>
        <v>-1200</v>
      </c>
      <c r="O9" s="120">
        <f t="shared" si="3"/>
        <v>27072</v>
      </c>
      <c r="P9" s="120">
        <f t="shared" si="3"/>
        <v>14985</v>
      </c>
      <c r="Q9" s="120">
        <f t="shared" si="3"/>
        <v>42057</v>
      </c>
      <c r="R9" s="120">
        <f aca="true" t="shared" si="4" ref="R9:W9">SUM(R10:R20)</f>
        <v>0</v>
      </c>
      <c r="S9" s="120">
        <f t="shared" si="4"/>
        <v>42057</v>
      </c>
      <c r="T9" s="120">
        <f t="shared" si="4"/>
        <v>-928</v>
      </c>
      <c r="U9" s="120">
        <f t="shared" si="4"/>
        <v>41129</v>
      </c>
      <c r="V9" s="120">
        <f t="shared" si="4"/>
        <v>0</v>
      </c>
      <c r="W9" s="120">
        <f t="shared" si="4"/>
        <v>41129</v>
      </c>
      <c r="X9" s="120">
        <f>SUM(X10:X20)</f>
        <v>0</v>
      </c>
      <c r="Y9" s="120">
        <f>SUM(Y10:Y20)</f>
        <v>41129</v>
      </c>
    </row>
    <row r="10" spans="1:25" s="15" customFormat="1" ht="21.75" customHeight="1">
      <c r="A10" s="121"/>
      <c r="B10" s="121"/>
      <c r="C10" s="117"/>
      <c r="D10" s="122" t="s">
        <v>332</v>
      </c>
      <c r="E10" s="123">
        <v>4000</v>
      </c>
      <c r="F10" s="123"/>
      <c r="G10" s="123">
        <f aca="true" t="shared" si="5" ref="G10:G20">SUM(E10:F10)</f>
        <v>4000</v>
      </c>
      <c r="H10" s="123"/>
      <c r="I10" s="123">
        <f aca="true" t="shared" si="6" ref="I10:I20">SUM(G10:H10)</f>
        <v>4000</v>
      </c>
      <c r="J10" s="123"/>
      <c r="K10" s="123">
        <f aca="true" t="shared" si="7" ref="K10:K20">SUM(I10:J10)</f>
        <v>4000</v>
      </c>
      <c r="L10" s="123"/>
      <c r="M10" s="123">
        <f aca="true" t="shared" si="8" ref="M10:M20">SUM(K10:L10)</f>
        <v>4000</v>
      </c>
      <c r="N10" s="123"/>
      <c r="O10" s="123">
        <f aca="true" t="shared" si="9" ref="O10:O20">SUM(M10:N10)</f>
        <v>4000</v>
      </c>
      <c r="P10" s="123"/>
      <c r="Q10" s="123">
        <f aca="true" t="shared" si="10" ref="Q10:Q20">SUM(O10:P10)</f>
        <v>4000</v>
      </c>
      <c r="R10" s="123"/>
      <c r="S10" s="123">
        <f aca="true" t="shared" si="11" ref="S10:S20">SUM(Q10:R10)</f>
        <v>4000</v>
      </c>
      <c r="T10" s="123"/>
      <c r="U10" s="123">
        <f aca="true" t="shared" si="12" ref="U10:U20">SUM(S10:T10)</f>
        <v>4000</v>
      </c>
      <c r="V10" s="123"/>
      <c r="W10" s="123">
        <f aca="true" t="shared" si="13" ref="W10:W20">SUM(U10:V10)</f>
        <v>4000</v>
      </c>
      <c r="X10" s="123"/>
      <c r="Y10" s="123">
        <f aca="true" t="shared" si="14" ref="Y10:Y20">SUM(W10:X10)</f>
        <v>4000</v>
      </c>
    </row>
    <row r="11" spans="1:25" s="15" customFormat="1" ht="21.75" customHeight="1">
      <c r="A11" s="121"/>
      <c r="B11" s="121"/>
      <c r="C11" s="117"/>
      <c r="D11" s="122" t="s">
        <v>333</v>
      </c>
      <c r="E11" s="123">
        <v>1200</v>
      </c>
      <c r="F11" s="123"/>
      <c r="G11" s="123">
        <f t="shared" si="5"/>
        <v>1200</v>
      </c>
      <c r="H11" s="123"/>
      <c r="I11" s="123">
        <f t="shared" si="6"/>
        <v>1200</v>
      </c>
      <c r="J11" s="123"/>
      <c r="K11" s="123">
        <f t="shared" si="7"/>
        <v>1200</v>
      </c>
      <c r="L11" s="123"/>
      <c r="M11" s="123">
        <f t="shared" si="8"/>
        <v>1200</v>
      </c>
      <c r="N11" s="123"/>
      <c r="O11" s="123">
        <f t="shared" si="9"/>
        <v>1200</v>
      </c>
      <c r="P11" s="123"/>
      <c r="Q11" s="123">
        <f t="shared" si="10"/>
        <v>1200</v>
      </c>
      <c r="R11" s="123"/>
      <c r="S11" s="123">
        <f t="shared" si="11"/>
        <v>1200</v>
      </c>
      <c r="T11" s="123"/>
      <c r="U11" s="123">
        <f t="shared" si="12"/>
        <v>1200</v>
      </c>
      <c r="V11" s="123"/>
      <c r="W11" s="123">
        <f t="shared" si="13"/>
        <v>1200</v>
      </c>
      <c r="X11" s="123"/>
      <c r="Y11" s="123">
        <f t="shared" si="14"/>
        <v>1200</v>
      </c>
    </row>
    <row r="12" spans="1:25" s="15" customFormat="1" ht="21.75" customHeight="1">
      <c r="A12" s="121"/>
      <c r="B12" s="121"/>
      <c r="C12" s="117"/>
      <c r="D12" s="122" t="s">
        <v>334</v>
      </c>
      <c r="E12" s="123">
        <v>100</v>
      </c>
      <c r="F12" s="123"/>
      <c r="G12" s="123">
        <f t="shared" si="5"/>
        <v>100</v>
      </c>
      <c r="H12" s="123"/>
      <c r="I12" s="123">
        <f t="shared" si="6"/>
        <v>100</v>
      </c>
      <c r="J12" s="123"/>
      <c r="K12" s="123">
        <f t="shared" si="7"/>
        <v>100</v>
      </c>
      <c r="L12" s="123"/>
      <c r="M12" s="123">
        <f t="shared" si="8"/>
        <v>100</v>
      </c>
      <c r="N12" s="123"/>
      <c r="O12" s="123">
        <f t="shared" si="9"/>
        <v>100</v>
      </c>
      <c r="P12" s="123"/>
      <c r="Q12" s="123">
        <f t="shared" si="10"/>
        <v>100</v>
      </c>
      <c r="R12" s="123"/>
      <c r="S12" s="123">
        <f t="shared" si="11"/>
        <v>100</v>
      </c>
      <c r="T12" s="123"/>
      <c r="U12" s="123">
        <f t="shared" si="12"/>
        <v>100</v>
      </c>
      <c r="V12" s="123"/>
      <c r="W12" s="123">
        <f t="shared" si="13"/>
        <v>100</v>
      </c>
      <c r="X12" s="123"/>
      <c r="Y12" s="123">
        <f t="shared" si="14"/>
        <v>100</v>
      </c>
    </row>
    <row r="13" spans="1:25" s="15" customFormat="1" ht="21.75" customHeight="1">
      <c r="A13" s="121"/>
      <c r="B13" s="121"/>
      <c r="C13" s="117"/>
      <c r="D13" s="122" t="s">
        <v>335</v>
      </c>
      <c r="E13" s="123">
        <v>3900</v>
      </c>
      <c r="F13" s="123"/>
      <c r="G13" s="123">
        <f t="shared" si="5"/>
        <v>3900</v>
      </c>
      <c r="H13" s="123"/>
      <c r="I13" s="123">
        <f t="shared" si="6"/>
        <v>3900</v>
      </c>
      <c r="J13" s="123"/>
      <c r="K13" s="123">
        <f t="shared" si="7"/>
        <v>3900</v>
      </c>
      <c r="L13" s="123"/>
      <c r="M13" s="123">
        <f t="shared" si="8"/>
        <v>3900</v>
      </c>
      <c r="N13" s="123"/>
      <c r="O13" s="123">
        <f t="shared" si="9"/>
        <v>3900</v>
      </c>
      <c r="P13" s="123"/>
      <c r="Q13" s="123">
        <f t="shared" si="10"/>
        <v>3900</v>
      </c>
      <c r="R13" s="123"/>
      <c r="S13" s="123">
        <f t="shared" si="11"/>
        <v>3900</v>
      </c>
      <c r="T13" s="123">
        <v>-1728</v>
      </c>
      <c r="U13" s="123">
        <f t="shared" si="12"/>
        <v>2172</v>
      </c>
      <c r="V13" s="123"/>
      <c r="W13" s="123">
        <f t="shared" si="13"/>
        <v>2172</v>
      </c>
      <c r="X13" s="123"/>
      <c r="Y13" s="123">
        <f t="shared" si="14"/>
        <v>2172</v>
      </c>
    </row>
    <row r="14" spans="1:25" s="15" customFormat="1" ht="21.75" customHeight="1">
      <c r="A14" s="121"/>
      <c r="B14" s="121"/>
      <c r="C14" s="117"/>
      <c r="D14" s="122" t="s">
        <v>336</v>
      </c>
      <c r="E14" s="123">
        <v>2000</v>
      </c>
      <c r="F14" s="123"/>
      <c r="G14" s="123">
        <f t="shared" si="5"/>
        <v>2000</v>
      </c>
      <c r="H14" s="123"/>
      <c r="I14" s="123">
        <f t="shared" si="6"/>
        <v>2000</v>
      </c>
      <c r="J14" s="123"/>
      <c r="K14" s="123">
        <f t="shared" si="7"/>
        <v>2000</v>
      </c>
      <c r="L14" s="123"/>
      <c r="M14" s="123">
        <f t="shared" si="8"/>
        <v>2000</v>
      </c>
      <c r="N14" s="123"/>
      <c r="O14" s="123">
        <f t="shared" si="9"/>
        <v>2000</v>
      </c>
      <c r="P14" s="123"/>
      <c r="Q14" s="123">
        <f t="shared" si="10"/>
        <v>2000</v>
      </c>
      <c r="R14" s="123"/>
      <c r="S14" s="123">
        <f t="shared" si="11"/>
        <v>2000</v>
      </c>
      <c r="T14" s="123">
        <v>800</v>
      </c>
      <c r="U14" s="123">
        <f t="shared" si="12"/>
        <v>2800</v>
      </c>
      <c r="V14" s="123"/>
      <c r="W14" s="123">
        <f t="shared" si="13"/>
        <v>2800</v>
      </c>
      <c r="X14" s="123"/>
      <c r="Y14" s="123">
        <f t="shared" si="14"/>
        <v>2800</v>
      </c>
    </row>
    <row r="15" spans="1:25" s="15" customFormat="1" ht="21.75" customHeight="1">
      <c r="A15" s="121"/>
      <c r="B15" s="121"/>
      <c r="C15" s="117"/>
      <c r="D15" s="122" t="s">
        <v>337</v>
      </c>
      <c r="E15" s="123">
        <v>1500</v>
      </c>
      <c r="F15" s="123"/>
      <c r="G15" s="123">
        <f t="shared" si="5"/>
        <v>1500</v>
      </c>
      <c r="H15" s="123"/>
      <c r="I15" s="123">
        <f t="shared" si="6"/>
        <v>1500</v>
      </c>
      <c r="J15" s="123"/>
      <c r="K15" s="123">
        <f t="shared" si="7"/>
        <v>1500</v>
      </c>
      <c r="L15" s="123"/>
      <c r="M15" s="123">
        <f t="shared" si="8"/>
        <v>1500</v>
      </c>
      <c r="N15" s="123"/>
      <c r="O15" s="123">
        <f t="shared" si="9"/>
        <v>1500</v>
      </c>
      <c r="P15" s="123"/>
      <c r="Q15" s="123">
        <f t="shared" si="10"/>
        <v>1500</v>
      </c>
      <c r="R15" s="123"/>
      <c r="S15" s="123">
        <f t="shared" si="11"/>
        <v>1500</v>
      </c>
      <c r="T15" s="123"/>
      <c r="U15" s="123">
        <f t="shared" si="12"/>
        <v>1500</v>
      </c>
      <c r="V15" s="123"/>
      <c r="W15" s="123">
        <f t="shared" si="13"/>
        <v>1500</v>
      </c>
      <c r="X15" s="123"/>
      <c r="Y15" s="123">
        <f t="shared" si="14"/>
        <v>1500</v>
      </c>
    </row>
    <row r="16" spans="1:25" s="15" customFormat="1" ht="21.75" customHeight="1">
      <c r="A16" s="121"/>
      <c r="B16" s="121"/>
      <c r="C16" s="117"/>
      <c r="D16" s="122" t="s">
        <v>338</v>
      </c>
      <c r="E16" s="123">
        <v>1000</v>
      </c>
      <c r="F16" s="123"/>
      <c r="G16" s="123">
        <f t="shared" si="5"/>
        <v>1000</v>
      </c>
      <c r="H16" s="123"/>
      <c r="I16" s="123">
        <f t="shared" si="6"/>
        <v>1000</v>
      </c>
      <c r="J16" s="123"/>
      <c r="K16" s="123">
        <f t="shared" si="7"/>
        <v>1000</v>
      </c>
      <c r="L16" s="123"/>
      <c r="M16" s="123">
        <f t="shared" si="8"/>
        <v>1000</v>
      </c>
      <c r="N16" s="123"/>
      <c r="O16" s="123">
        <f t="shared" si="9"/>
        <v>1000</v>
      </c>
      <c r="P16" s="123">
        <f>4985+10000</f>
        <v>14985</v>
      </c>
      <c r="Q16" s="123">
        <f t="shared" si="10"/>
        <v>15985</v>
      </c>
      <c r="R16" s="123"/>
      <c r="S16" s="123">
        <f t="shared" si="11"/>
        <v>15985</v>
      </c>
      <c r="T16" s="123"/>
      <c r="U16" s="123">
        <f t="shared" si="12"/>
        <v>15985</v>
      </c>
      <c r="V16" s="123"/>
      <c r="W16" s="123">
        <f t="shared" si="13"/>
        <v>15985</v>
      </c>
      <c r="X16" s="123"/>
      <c r="Y16" s="123">
        <f t="shared" si="14"/>
        <v>15985</v>
      </c>
    </row>
    <row r="17" spans="1:25" s="15" customFormat="1" ht="21.75" customHeight="1">
      <c r="A17" s="121"/>
      <c r="B17" s="121"/>
      <c r="C17" s="117"/>
      <c r="D17" s="122" t="s">
        <v>339</v>
      </c>
      <c r="E17" s="123">
        <v>3950</v>
      </c>
      <c r="F17" s="123"/>
      <c r="G17" s="123">
        <f t="shared" si="5"/>
        <v>3950</v>
      </c>
      <c r="H17" s="123"/>
      <c r="I17" s="123">
        <f t="shared" si="6"/>
        <v>3950</v>
      </c>
      <c r="J17" s="123">
        <v>-2750</v>
      </c>
      <c r="K17" s="123">
        <f t="shared" si="7"/>
        <v>1200</v>
      </c>
      <c r="L17" s="123"/>
      <c r="M17" s="123">
        <f t="shared" si="8"/>
        <v>1200</v>
      </c>
      <c r="N17" s="123">
        <v>-1200</v>
      </c>
      <c r="O17" s="123">
        <f t="shared" si="9"/>
        <v>0</v>
      </c>
      <c r="P17" s="123"/>
      <c r="Q17" s="123">
        <f t="shared" si="10"/>
        <v>0</v>
      </c>
      <c r="R17" s="123"/>
      <c r="S17" s="123">
        <f t="shared" si="11"/>
        <v>0</v>
      </c>
      <c r="T17" s="123"/>
      <c r="U17" s="123">
        <f t="shared" si="12"/>
        <v>0</v>
      </c>
      <c r="V17" s="123"/>
      <c r="W17" s="123">
        <f t="shared" si="13"/>
        <v>0</v>
      </c>
      <c r="X17" s="123"/>
      <c r="Y17" s="123">
        <f t="shared" si="14"/>
        <v>0</v>
      </c>
    </row>
    <row r="18" spans="1:25" s="15" customFormat="1" ht="21.75" customHeight="1">
      <c r="A18" s="121"/>
      <c r="B18" s="121"/>
      <c r="C18" s="117"/>
      <c r="D18" s="122" t="s">
        <v>340</v>
      </c>
      <c r="E18" s="123">
        <v>10000</v>
      </c>
      <c r="F18" s="123"/>
      <c r="G18" s="123">
        <f t="shared" si="5"/>
        <v>10000</v>
      </c>
      <c r="H18" s="123"/>
      <c r="I18" s="123">
        <f t="shared" si="6"/>
        <v>10000</v>
      </c>
      <c r="J18" s="123">
        <v>-258</v>
      </c>
      <c r="K18" s="123">
        <f t="shared" si="7"/>
        <v>9742</v>
      </c>
      <c r="L18" s="123"/>
      <c r="M18" s="123">
        <f t="shared" si="8"/>
        <v>9742</v>
      </c>
      <c r="N18" s="123"/>
      <c r="O18" s="123">
        <f t="shared" si="9"/>
        <v>9742</v>
      </c>
      <c r="P18" s="123"/>
      <c r="Q18" s="123">
        <f t="shared" si="10"/>
        <v>9742</v>
      </c>
      <c r="R18" s="123"/>
      <c r="S18" s="123">
        <f t="shared" si="11"/>
        <v>9742</v>
      </c>
      <c r="T18" s="123"/>
      <c r="U18" s="123">
        <f t="shared" si="12"/>
        <v>9742</v>
      </c>
      <c r="V18" s="123"/>
      <c r="W18" s="123">
        <f t="shared" si="13"/>
        <v>9742</v>
      </c>
      <c r="X18" s="123"/>
      <c r="Y18" s="123">
        <f t="shared" si="14"/>
        <v>9742</v>
      </c>
    </row>
    <row r="19" spans="1:25" s="15" customFormat="1" ht="21.75" customHeight="1">
      <c r="A19" s="121"/>
      <c r="B19" s="121"/>
      <c r="C19" s="117"/>
      <c r="D19" s="122" t="s">
        <v>341</v>
      </c>
      <c r="E19" s="123">
        <v>3330</v>
      </c>
      <c r="F19" s="123"/>
      <c r="G19" s="123">
        <f t="shared" si="5"/>
        <v>3330</v>
      </c>
      <c r="H19" s="123"/>
      <c r="I19" s="123">
        <f t="shared" si="6"/>
        <v>3330</v>
      </c>
      <c r="J19" s="123"/>
      <c r="K19" s="123">
        <f t="shared" si="7"/>
        <v>3330</v>
      </c>
      <c r="L19" s="123">
        <v>-500</v>
      </c>
      <c r="M19" s="123">
        <f t="shared" si="8"/>
        <v>2830</v>
      </c>
      <c r="N19" s="123"/>
      <c r="O19" s="123">
        <f t="shared" si="9"/>
        <v>2830</v>
      </c>
      <c r="P19" s="123"/>
      <c r="Q19" s="123">
        <f t="shared" si="10"/>
        <v>2830</v>
      </c>
      <c r="R19" s="123"/>
      <c r="S19" s="123">
        <f t="shared" si="11"/>
        <v>2830</v>
      </c>
      <c r="T19" s="123"/>
      <c r="U19" s="123">
        <f t="shared" si="12"/>
        <v>2830</v>
      </c>
      <c r="V19" s="123"/>
      <c r="W19" s="123">
        <f t="shared" si="13"/>
        <v>2830</v>
      </c>
      <c r="X19" s="123"/>
      <c r="Y19" s="123">
        <f t="shared" si="14"/>
        <v>2830</v>
      </c>
    </row>
    <row r="20" spans="1:25" s="15" customFormat="1" ht="21.75" customHeight="1">
      <c r="A20" s="121"/>
      <c r="B20" s="121"/>
      <c r="C20" s="117"/>
      <c r="D20" s="122" t="s">
        <v>342</v>
      </c>
      <c r="E20" s="123">
        <v>800</v>
      </c>
      <c r="F20" s="123"/>
      <c r="G20" s="123">
        <f t="shared" si="5"/>
        <v>800</v>
      </c>
      <c r="H20" s="123"/>
      <c r="I20" s="123">
        <f t="shared" si="6"/>
        <v>800</v>
      </c>
      <c r="J20" s="123"/>
      <c r="K20" s="123">
        <f t="shared" si="7"/>
        <v>800</v>
      </c>
      <c r="L20" s="123"/>
      <c r="M20" s="123">
        <f t="shared" si="8"/>
        <v>800</v>
      </c>
      <c r="N20" s="123"/>
      <c r="O20" s="123">
        <f t="shared" si="9"/>
        <v>800</v>
      </c>
      <c r="P20" s="123"/>
      <c r="Q20" s="123">
        <f t="shared" si="10"/>
        <v>800</v>
      </c>
      <c r="R20" s="123"/>
      <c r="S20" s="123">
        <f t="shared" si="11"/>
        <v>800</v>
      </c>
      <c r="T20" s="123"/>
      <c r="U20" s="123">
        <f t="shared" si="12"/>
        <v>800</v>
      </c>
      <c r="V20" s="123"/>
      <c r="W20" s="123">
        <f t="shared" si="13"/>
        <v>800</v>
      </c>
      <c r="X20" s="123"/>
      <c r="Y20" s="123">
        <f t="shared" si="14"/>
        <v>800</v>
      </c>
    </row>
    <row r="21" spans="1:25" s="15" customFormat="1" ht="21.75" customHeight="1">
      <c r="A21" s="117"/>
      <c r="B21" s="118"/>
      <c r="C21" s="117">
        <v>4300</v>
      </c>
      <c r="D21" s="119" t="s">
        <v>69</v>
      </c>
      <c r="E21" s="120">
        <f aca="true" t="shared" si="15" ref="E21:Q21">SUM(E22:E33)</f>
        <v>51650</v>
      </c>
      <c r="F21" s="120">
        <f t="shared" si="15"/>
        <v>5550</v>
      </c>
      <c r="G21" s="120">
        <f t="shared" si="15"/>
        <v>57200</v>
      </c>
      <c r="H21" s="120">
        <f t="shared" si="15"/>
        <v>0</v>
      </c>
      <c r="I21" s="120">
        <f t="shared" si="15"/>
        <v>57200</v>
      </c>
      <c r="J21" s="120">
        <f t="shared" si="15"/>
        <v>-2500</v>
      </c>
      <c r="K21" s="120">
        <f t="shared" si="15"/>
        <v>54700</v>
      </c>
      <c r="L21" s="120">
        <f t="shared" si="15"/>
        <v>500</v>
      </c>
      <c r="M21" s="120">
        <f t="shared" si="15"/>
        <v>55200</v>
      </c>
      <c r="N21" s="120">
        <f t="shared" si="15"/>
        <v>2200</v>
      </c>
      <c r="O21" s="120">
        <f t="shared" si="15"/>
        <v>57400</v>
      </c>
      <c r="P21" s="120">
        <f t="shared" si="15"/>
        <v>-2450</v>
      </c>
      <c r="Q21" s="120">
        <f t="shared" si="15"/>
        <v>54950</v>
      </c>
      <c r="R21" s="120">
        <f aca="true" t="shared" si="16" ref="R21:W21">SUM(R22:R33)</f>
        <v>0</v>
      </c>
      <c r="S21" s="120">
        <f t="shared" si="16"/>
        <v>54950</v>
      </c>
      <c r="T21" s="120">
        <f t="shared" si="16"/>
        <v>-1150</v>
      </c>
      <c r="U21" s="120">
        <f t="shared" si="16"/>
        <v>53800</v>
      </c>
      <c r="V21" s="120">
        <f t="shared" si="16"/>
        <v>0</v>
      </c>
      <c r="W21" s="120">
        <f t="shared" si="16"/>
        <v>53800</v>
      </c>
      <c r="X21" s="120">
        <f>SUM(X22:X33)</f>
        <v>0</v>
      </c>
      <c r="Y21" s="120">
        <f>SUM(Y22:Y33)</f>
        <v>53800</v>
      </c>
    </row>
    <row r="22" spans="1:25" s="15" customFormat="1" ht="21.75" customHeight="1">
      <c r="A22" s="121"/>
      <c r="B22" s="121"/>
      <c r="C22" s="121"/>
      <c r="D22" s="122" t="s">
        <v>343</v>
      </c>
      <c r="E22" s="123">
        <v>18500</v>
      </c>
      <c r="F22" s="123"/>
      <c r="G22" s="123">
        <f aca="true" t="shared" si="17" ref="G22:G27">SUM(E22:F22)</f>
        <v>18500</v>
      </c>
      <c r="H22" s="123"/>
      <c r="I22" s="123">
        <f aca="true" t="shared" si="18" ref="I22:I27">SUM(G22:H22)</f>
        <v>18500</v>
      </c>
      <c r="J22" s="123">
        <v>-2500</v>
      </c>
      <c r="K22" s="123">
        <f aca="true" t="shared" si="19" ref="K22:K27">SUM(I22:J22)</f>
        <v>16000</v>
      </c>
      <c r="L22" s="123"/>
      <c r="M22" s="123">
        <f aca="true" t="shared" si="20" ref="M22:M27">SUM(K22:L22)</f>
        <v>16000</v>
      </c>
      <c r="N22" s="123"/>
      <c r="O22" s="123">
        <f aca="true" t="shared" si="21" ref="O22:O27">SUM(M22:N22)</f>
        <v>16000</v>
      </c>
      <c r="P22" s="123"/>
      <c r="Q22" s="123">
        <f aca="true" t="shared" si="22" ref="Q22:Q33">SUM(O22:P22)</f>
        <v>16000</v>
      </c>
      <c r="R22" s="123"/>
      <c r="S22" s="123">
        <f aca="true" t="shared" si="23" ref="S22:S33">SUM(Q22:R22)</f>
        <v>16000</v>
      </c>
      <c r="T22" s="123"/>
      <c r="U22" s="123">
        <f aca="true" t="shared" si="24" ref="U22:U33">SUM(S22:T22)</f>
        <v>16000</v>
      </c>
      <c r="V22" s="123"/>
      <c r="W22" s="123">
        <f aca="true" t="shared" si="25" ref="W22:W33">SUM(U22:V22)</f>
        <v>16000</v>
      </c>
      <c r="X22" s="123"/>
      <c r="Y22" s="123">
        <f aca="true" t="shared" si="26" ref="Y22:Y33">SUM(W22:X22)</f>
        <v>16000</v>
      </c>
    </row>
    <row r="23" spans="1:25" s="15" customFormat="1" ht="21.75" customHeight="1">
      <c r="A23" s="121"/>
      <c r="B23" s="121"/>
      <c r="C23" s="121"/>
      <c r="D23" s="122" t="s">
        <v>344</v>
      </c>
      <c r="E23" s="123">
        <v>0</v>
      </c>
      <c r="F23" s="123">
        <v>9150</v>
      </c>
      <c r="G23" s="123">
        <f t="shared" si="17"/>
        <v>9150</v>
      </c>
      <c r="H23" s="123"/>
      <c r="I23" s="123">
        <f t="shared" si="18"/>
        <v>9150</v>
      </c>
      <c r="J23" s="123"/>
      <c r="K23" s="123">
        <f t="shared" si="19"/>
        <v>9150</v>
      </c>
      <c r="L23" s="123"/>
      <c r="M23" s="123">
        <f t="shared" si="20"/>
        <v>9150</v>
      </c>
      <c r="N23" s="123"/>
      <c r="O23" s="123">
        <f t="shared" si="21"/>
        <v>9150</v>
      </c>
      <c r="P23" s="123"/>
      <c r="Q23" s="123">
        <f t="shared" si="22"/>
        <v>9150</v>
      </c>
      <c r="R23" s="123"/>
      <c r="S23" s="123">
        <f t="shared" si="23"/>
        <v>9150</v>
      </c>
      <c r="T23" s="123">
        <v>-150</v>
      </c>
      <c r="U23" s="123">
        <f t="shared" si="24"/>
        <v>9000</v>
      </c>
      <c r="V23" s="123"/>
      <c r="W23" s="123">
        <f t="shared" si="25"/>
        <v>9000</v>
      </c>
      <c r="X23" s="123"/>
      <c r="Y23" s="123">
        <f t="shared" si="26"/>
        <v>9000</v>
      </c>
    </row>
    <row r="24" spans="1:25" s="72" customFormat="1" ht="21.75" customHeight="1">
      <c r="A24" s="124"/>
      <c r="B24" s="124"/>
      <c r="C24" s="124"/>
      <c r="D24" s="125" t="s">
        <v>333</v>
      </c>
      <c r="E24" s="123">
        <v>8800</v>
      </c>
      <c r="F24" s="123"/>
      <c r="G24" s="123">
        <f t="shared" si="17"/>
        <v>8800</v>
      </c>
      <c r="H24" s="123"/>
      <c r="I24" s="123">
        <f t="shared" si="18"/>
        <v>8800</v>
      </c>
      <c r="J24" s="123"/>
      <c r="K24" s="123">
        <f t="shared" si="19"/>
        <v>8800</v>
      </c>
      <c r="L24" s="123"/>
      <c r="M24" s="123">
        <f t="shared" si="20"/>
        <v>8800</v>
      </c>
      <c r="N24" s="123"/>
      <c r="O24" s="123">
        <f t="shared" si="21"/>
        <v>8800</v>
      </c>
      <c r="P24" s="123">
        <f>-800-2000-2000</f>
        <v>-4800</v>
      </c>
      <c r="Q24" s="123">
        <f t="shared" si="22"/>
        <v>4000</v>
      </c>
      <c r="R24" s="123"/>
      <c r="S24" s="123">
        <f t="shared" si="23"/>
        <v>4000</v>
      </c>
      <c r="T24" s="123"/>
      <c r="U24" s="123">
        <f t="shared" si="24"/>
        <v>4000</v>
      </c>
      <c r="V24" s="123"/>
      <c r="W24" s="123">
        <f t="shared" si="25"/>
        <v>4000</v>
      </c>
      <c r="X24" s="123"/>
      <c r="Y24" s="123">
        <f t="shared" si="26"/>
        <v>4000</v>
      </c>
    </row>
    <row r="25" spans="1:25" s="72" customFormat="1" ht="21.75" customHeight="1">
      <c r="A25" s="124"/>
      <c r="B25" s="124"/>
      <c r="C25" s="124"/>
      <c r="D25" s="125" t="s">
        <v>345</v>
      </c>
      <c r="E25" s="123">
        <v>4650</v>
      </c>
      <c r="F25" s="123"/>
      <c r="G25" s="123">
        <f t="shared" si="17"/>
        <v>4650</v>
      </c>
      <c r="H25" s="123"/>
      <c r="I25" s="123">
        <f t="shared" si="18"/>
        <v>4650</v>
      </c>
      <c r="J25" s="123"/>
      <c r="K25" s="123">
        <f t="shared" si="19"/>
        <v>4650</v>
      </c>
      <c r="L25" s="123"/>
      <c r="M25" s="123">
        <f t="shared" si="20"/>
        <v>4650</v>
      </c>
      <c r="N25" s="123"/>
      <c r="O25" s="123">
        <f t="shared" si="21"/>
        <v>4650</v>
      </c>
      <c r="P25" s="123"/>
      <c r="Q25" s="123">
        <f t="shared" si="22"/>
        <v>4650</v>
      </c>
      <c r="R25" s="123"/>
      <c r="S25" s="123">
        <f t="shared" si="23"/>
        <v>4650</v>
      </c>
      <c r="T25" s="123"/>
      <c r="U25" s="123">
        <f t="shared" si="24"/>
        <v>4650</v>
      </c>
      <c r="V25" s="123"/>
      <c r="W25" s="123">
        <f t="shared" si="25"/>
        <v>4650</v>
      </c>
      <c r="X25" s="123"/>
      <c r="Y25" s="123">
        <f t="shared" si="26"/>
        <v>4650</v>
      </c>
    </row>
    <row r="26" spans="1:25" s="72" customFormat="1" ht="21.75" customHeight="1">
      <c r="A26" s="124"/>
      <c r="B26" s="124"/>
      <c r="C26" s="124"/>
      <c r="D26" s="125" t="s">
        <v>334</v>
      </c>
      <c r="E26" s="123">
        <v>1000</v>
      </c>
      <c r="F26" s="123"/>
      <c r="G26" s="123">
        <f t="shared" si="17"/>
        <v>1000</v>
      </c>
      <c r="H26" s="123"/>
      <c r="I26" s="123">
        <f t="shared" si="18"/>
        <v>1000</v>
      </c>
      <c r="J26" s="123"/>
      <c r="K26" s="123">
        <f t="shared" si="19"/>
        <v>1000</v>
      </c>
      <c r="L26" s="123"/>
      <c r="M26" s="123">
        <f t="shared" si="20"/>
        <v>1000</v>
      </c>
      <c r="N26" s="123">
        <v>2200</v>
      </c>
      <c r="O26" s="123">
        <f t="shared" si="21"/>
        <v>3200</v>
      </c>
      <c r="P26" s="123"/>
      <c r="Q26" s="123">
        <f t="shared" si="22"/>
        <v>3200</v>
      </c>
      <c r="R26" s="123"/>
      <c r="S26" s="123">
        <f t="shared" si="23"/>
        <v>3200</v>
      </c>
      <c r="T26" s="123"/>
      <c r="U26" s="123">
        <f t="shared" si="24"/>
        <v>3200</v>
      </c>
      <c r="V26" s="123"/>
      <c r="W26" s="123">
        <f t="shared" si="25"/>
        <v>3200</v>
      </c>
      <c r="X26" s="123"/>
      <c r="Y26" s="123">
        <f t="shared" si="26"/>
        <v>3200</v>
      </c>
    </row>
    <row r="27" spans="1:25" s="72" customFormat="1" ht="21.75" customHeight="1">
      <c r="A27" s="124"/>
      <c r="B27" s="124"/>
      <c r="C27" s="124"/>
      <c r="D27" s="125" t="s">
        <v>336</v>
      </c>
      <c r="E27" s="123">
        <v>1500</v>
      </c>
      <c r="F27" s="123"/>
      <c r="G27" s="123">
        <f t="shared" si="17"/>
        <v>1500</v>
      </c>
      <c r="H27" s="123"/>
      <c r="I27" s="123">
        <f t="shared" si="18"/>
        <v>1500</v>
      </c>
      <c r="J27" s="123"/>
      <c r="K27" s="123">
        <f t="shared" si="19"/>
        <v>1500</v>
      </c>
      <c r="L27" s="123"/>
      <c r="M27" s="123">
        <f t="shared" si="20"/>
        <v>1500</v>
      </c>
      <c r="N27" s="123"/>
      <c r="O27" s="123">
        <f t="shared" si="21"/>
        <v>1500</v>
      </c>
      <c r="P27" s="123"/>
      <c r="Q27" s="123">
        <f t="shared" si="22"/>
        <v>1500</v>
      </c>
      <c r="R27" s="123"/>
      <c r="S27" s="123">
        <f t="shared" si="23"/>
        <v>1500</v>
      </c>
      <c r="T27" s="123"/>
      <c r="U27" s="123">
        <f t="shared" si="24"/>
        <v>1500</v>
      </c>
      <c r="V27" s="123"/>
      <c r="W27" s="123">
        <f t="shared" si="25"/>
        <v>1500</v>
      </c>
      <c r="X27" s="123"/>
      <c r="Y27" s="123">
        <f t="shared" si="26"/>
        <v>1500</v>
      </c>
    </row>
    <row r="28" spans="1:25" s="72" customFormat="1" ht="21.75" customHeight="1">
      <c r="A28" s="124"/>
      <c r="B28" s="124"/>
      <c r="C28" s="124"/>
      <c r="D28" s="125" t="s">
        <v>346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>
        <v>0</v>
      </c>
      <c r="P28" s="123">
        <v>1500</v>
      </c>
      <c r="Q28" s="123">
        <f t="shared" si="22"/>
        <v>1500</v>
      </c>
      <c r="R28" s="123"/>
      <c r="S28" s="123">
        <f t="shared" si="23"/>
        <v>1500</v>
      </c>
      <c r="T28" s="123"/>
      <c r="U28" s="123">
        <f t="shared" si="24"/>
        <v>1500</v>
      </c>
      <c r="V28" s="123"/>
      <c r="W28" s="123">
        <f t="shared" si="25"/>
        <v>1500</v>
      </c>
      <c r="X28" s="123"/>
      <c r="Y28" s="123">
        <f t="shared" si="26"/>
        <v>1500</v>
      </c>
    </row>
    <row r="29" spans="1:25" s="72" customFormat="1" ht="21.75" customHeight="1">
      <c r="A29" s="124"/>
      <c r="B29" s="124"/>
      <c r="C29" s="124"/>
      <c r="D29" s="125" t="s">
        <v>340</v>
      </c>
      <c r="E29" s="123">
        <v>7000</v>
      </c>
      <c r="F29" s="123"/>
      <c r="G29" s="123">
        <f>SUM(E29:F29)</f>
        <v>7000</v>
      </c>
      <c r="H29" s="123"/>
      <c r="I29" s="123">
        <f>SUM(G29:H29)</f>
        <v>7000</v>
      </c>
      <c r="J29" s="123"/>
      <c r="K29" s="123">
        <f>SUM(I29:J29)</f>
        <v>7000</v>
      </c>
      <c r="L29" s="123"/>
      <c r="M29" s="123">
        <f>SUM(K29:L29)</f>
        <v>7000</v>
      </c>
      <c r="N29" s="123"/>
      <c r="O29" s="123">
        <f>SUM(M29:N29)</f>
        <v>7000</v>
      </c>
      <c r="P29" s="123"/>
      <c r="Q29" s="123">
        <f t="shared" si="22"/>
        <v>7000</v>
      </c>
      <c r="R29" s="123"/>
      <c r="S29" s="123">
        <f t="shared" si="23"/>
        <v>7000</v>
      </c>
      <c r="T29" s="123"/>
      <c r="U29" s="123">
        <f t="shared" si="24"/>
        <v>7000</v>
      </c>
      <c r="V29" s="123"/>
      <c r="W29" s="123">
        <f t="shared" si="25"/>
        <v>7000</v>
      </c>
      <c r="X29" s="123"/>
      <c r="Y29" s="123">
        <f t="shared" si="26"/>
        <v>7000</v>
      </c>
    </row>
    <row r="30" spans="1:25" s="72" customFormat="1" ht="21.75" customHeight="1">
      <c r="A30" s="124"/>
      <c r="B30" s="124"/>
      <c r="C30" s="124"/>
      <c r="D30" s="125" t="s">
        <v>341</v>
      </c>
      <c r="E30" s="123">
        <v>300</v>
      </c>
      <c r="F30" s="123"/>
      <c r="G30" s="123">
        <f>SUM(E30:F30)</f>
        <v>300</v>
      </c>
      <c r="H30" s="123"/>
      <c r="I30" s="123">
        <f>SUM(G30:H30)</f>
        <v>300</v>
      </c>
      <c r="J30" s="123"/>
      <c r="K30" s="123">
        <f>SUM(I30:J30)</f>
        <v>300</v>
      </c>
      <c r="L30" s="123">
        <v>500</v>
      </c>
      <c r="M30" s="123">
        <f>SUM(K30:L30)</f>
        <v>800</v>
      </c>
      <c r="N30" s="123"/>
      <c r="O30" s="123">
        <f>SUM(M30:N30)</f>
        <v>800</v>
      </c>
      <c r="P30" s="123">
        <f>-300+600+550</f>
        <v>850</v>
      </c>
      <c r="Q30" s="123">
        <f t="shared" si="22"/>
        <v>1650</v>
      </c>
      <c r="R30" s="123"/>
      <c r="S30" s="123">
        <f t="shared" si="23"/>
        <v>1650</v>
      </c>
      <c r="T30" s="123"/>
      <c r="U30" s="123">
        <f t="shared" si="24"/>
        <v>1650</v>
      </c>
      <c r="V30" s="123"/>
      <c r="W30" s="123">
        <f t="shared" si="25"/>
        <v>1650</v>
      </c>
      <c r="X30" s="123"/>
      <c r="Y30" s="123">
        <f t="shared" si="26"/>
        <v>1650</v>
      </c>
    </row>
    <row r="31" spans="1:25" s="72" customFormat="1" ht="21.75" customHeight="1">
      <c r="A31" s="124"/>
      <c r="B31" s="124"/>
      <c r="C31" s="124"/>
      <c r="D31" s="125" t="s">
        <v>347</v>
      </c>
      <c r="E31" s="123">
        <v>5100</v>
      </c>
      <c r="F31" s="123">
        <v>-3600</v>
      </c>
      <c r="G31" s="123">
        <f>SUM(E31:F31)</f>
        <v>1500</v>
      </c>
      <c r="H31" s="123"/>
      <c r="I31" s="123">
        <f>SUM(G31:H31)</f>
        <v>1500</v>
      </c>
      <c r="J31" s="123"/>
      <c r="K31" s="123">
        <f>SUM(I31:J31)</f>
        <v>1500</v>
      </c>
      <c r="L31" s="123"/>
      <c r="M31" s="123">
        <f>SUM(K31:L31)</f>
        <v>1500</v>
      </c>
      <c r="N31" s="123"/>
      <c r="O31" s="123">
        <f>SUM(M31:N31)</f>
        <v>1500</v>
      </c>
      <c r="P31" s="123"/>
      <c r="Q31" s="123">
        <f t="shared" si="22"/>
        <v>1500</v>
      </c>
      <c r="R31" s="123"/>
      <c r="S31" s="123">
        <f t="shared" si="23"/>
        <v>1500</v>
      </c>
      <c r="T31" s="123"/>
      <c r="U31" s="123">
        <f t="shared" si="24"/>
        <v>1500</v>
      </c>
      <c r="V31" s="123"/>
      <c r="W31" s="123">
        <f t="shared" si="25"/>
        <v>1500</v>
      </c>
      <c r="X31" s="123"/>
      <c r="Y31" s="123">
        <f t="shared" si="26"/>
        <v>1500</v>
      </c>
    </row>
    <row r="32" spans="1:25" s="72" customFormat="1" ht="21.75" customHeight="1">
      <c r="A32" s="124"/>
      <c r="B32" s="124"/>
      <c r="C32" s="124"/>
      <c r="D32" s="125" t="s">
        <v>348</v>
      </c>
      <c r="E32" s="123">
        <v>1000</v>
      </c>
      <c r="F32" s="123"/>
      <c r="G32" s="123">
        <f>SUM(E32:F32)</f>
        <v>1000</v>
      </c>
      <c r="H32" s="123"/>
      <c r="I32" s="123">
        <f>SUM(G32:H32)</f>
        <v>1000</v>
      </c>
      <c r="J32" s="123"/>
      <c r="K32" s="123">
        <f>SUM(I32:J32)</f>
        <v>1000</v>
      </c>
      <c r="L32" s="123"/>
      <c r="M32" s="123">
        <f>SUM(K32:L32)</f>
        <v>1000</v>
      </c>
      <c r="N32" s="123"/>
      <c r="O32" s="123">
        <f>SUM(M32:N32)</f>
        <v>1000</v>
      </c>
      <c r="P32" s="123"/>
      <c r="Q32" s="123">
        <f t="shared" si="22"/>
        <v>1000</v>
      </c>
      <c r="R32" s="123"/>
      <c r="S32" s="123">
        <f t="shared" si="23"/>
        <v>1000</v>
      </c>
      <c r="T32" s="123">
        <v>-1000</v>
      </c>
      <c r="U32" s="123">
        <f t="shared" si="24"/>
        <v>0</v>
      </c>
      <c r="V32" s="123"/>
      <c r="W32" s="123">
        <f t="shared" si="25"/>
        <v>0</v>
      </c>
      <c r="X32" s="123"/>
      <c r="Y32" s="123">
        <f t="shared" si="26"/>
        <v>0</v>
      </c>
    </row>
    <row r="33" spans="1:25" s="15" customFormat="1" ht="21.75" customHeight="1">
      <c r="A33" s="121"/>
      <c r="B33" s="121"/>
      <c r="C33" s="121"/>
      <c r="D33" s="122" t="s">
        <v>342</v>
      </c>
      <c r="E33" s="123">
        <v>3800</v>
      </c>
      <c r="F33" s="123"/>
      <c r="G33" s="123">
        <f>SUM(E33:F33)</f>
        <v>3800</v>
      </c>
      <c r="H33" s="123"/>
      <c r="I33" s="123">
        <f>SUM(G33:H33)</f>
        <v>3800</v>
      </c>
      <c r="J33" s="123"/>
      <c r="K33" s="123">
        <f>SUM(I33:J33)</f>
        <v>3800</v>
      </c>
      <c r="L33" s="123"/>
      <c r="M33" s="123">
        <f>SUM(K33:L33)</f>
        <v>3800</v>
      </c>
      <c r="N33" s="123"/>
      <c r="O33" s="123">
        <f>SUM(M33:N33)</f>
        <v>3800</v>
      </c>
      <c r="P33" s="123"/>
      <c r="Q33" s="123">
        <f t="shared" si="22"/>
        <v>3800</v>
      </c>
      <c r="R33" s="123"/>
      <c r="S33" s="123">
        <f t="shared" si="23"/>
        <v>3800</v>
      </c>
      <c r="T33" s="123"/>
      <c r="U33" s="123">
        <f t="shared" si="24"/>
        <v>3800</v>
      </c>
      <c r="V33" s="123"/>
      <c r="W33" s="123">
        <f t="shared" si="25"/>
        <v>3800</v>
      </c>
      <c r="X33" s="123"/>
      <c r="Y33" s="123">
        <f t="shared" si="26"/>
        <v>3800</v>
      </c>
    </row>
    <row r="34" spans="1:25" s="15" customFormat="1" ht="21.75" customHeight="1">
      <c r="A34" s="117"/>
      <c r="B34" s="118"/>
      <c r="C34" s="117">
        <v>6050</v>
      </c>
      <c r="D34" s="119" t="s">
        <v>63</v>
      </c>
      <c r="E34" s="120">
        <f aca="true" t="shared" si="27" ref="E34:Q34">SUM(E35:E39)</f>
        <v>66270</v>
      </c>
      <c r="F34" s="120">
        <f t="shared" si="27"/>
        <v>-9150</v>
      </c>
      <c r="G34" s="120">
        <f t="shared" si="27"/>
        <v>57120</v>
      </c>
      <c r="H34" s="120">
        <f t="shared" si="27"/>
        <v>0</v>
      </c>
      <c r="I34" s="120">
        <f t="shared" si="27"/>
        <v>57120</v>
      </c>
      <c r="J34" s="120">
        <f t="shared" si="27"/>
        <v>3000</v>
      </c>
      <c r="K34" s="120">
        <f t="shared" si="27"/>
        <v>60120</v>
      </c>
      <c r="L34" s="120">
        <f t="shared" si="27"/>
        <v>0</v>
      </c>
      <c r="M34" s="120">
        <f t="shared" si="27"/>
        <v>60120</v>
      </c>
      <c r="N34" s="120">
        <f t="shared" si="27"/>
        <v>3795</v>
      </c>
      <c r="O34" s="120">
        <f t="shared" si="27"/>
        <v>63915</v>
      </c>
      <c r="P34" s="120">
        <f t="shared" si="27"/>
        <v>500</v>
      </c>
      <c r="Q34" s="120">
        <f t="shared" si="27"/>
        <v>64415</v>
      </c>
      <c r="R34" s="120">
        <f aca="true" t="shared" si="28" ref="R34:W34">SUM(R35:R39)</f>
        <v>0</v>
      </c>
      <c r="S34" s="120">
        <f t="shared" si="28"/>
        <v>64415</v>
      </c>
      <c r="T34" s="120">
        <f t="shared" si="28"/>
        <v>425</v>
      </c>
      <c r="U34" s="120">
        <f t="shared" si="28"/>
        <v>64840</v>
      </c>
      <c r="V34" s="120">
        <f t="shared" si="28"/>
        <v>0</v>
      </c>
      <c r="W34" s="120">
        <f t="shared" si="28"/>
        <v>64840</v>
      </c>
      <c r="X34" s="120">
        <f>SUM(X35:X39)</f>
        <v>0</v>
      </c>
      <c r="Y34" s="120">
        <f>SUM(Y35:Y39)</f>
        <v>64840</v>
      </c>
    </row>
    <row r="35" spans="1:25" s="15" customFormat="1" ht="21.75" customHeight="1">
      <c r="A35" s="121"/>
      <c r="B35" s="121"/>
      <c r="C35" s="121"/>
      <c r="D35" s="122" t="s">
        <v>343</v>
      </c>
      <c r="E35" s="123">
        <v>26980</v>
      </c>
      <c r="F35" s="123"/>
      <c r="G35" s="123">
        <f>SUM(E35:F35)</f>
        <v>26980</v>
      </c>
      <c r="H35" s="123"/>
      <c r="I35" s="123">
        <f>SUM(G35:H35)</f>
        <v>26980</v>
      </c>
      <c r="J35" s="123">
        <v>3000</v>
      </c>
      <c r="K35" s="123">
        <f>SUM(I35:J35)</f>
        <v>29980</v>
      </c>
      <c r="L35" s="123"/>
      <c r="M35" s="123">
        <f>SUM(K35:L35)</f>
        <v>29980</v>
      </c>
      <c r="N35" s="123"/>
      <c r="O35" s="123">
        <f>SUM(M35:N35)</f>
        <v>29980</v>
      </c>
      <c r="P35" s="123"/>
      <c r="Q35" s="123">
        <f>SUM(O35:P35)</f>
        <v>29980</v>
      </c>
      <c r="R35" s="123"/>
      <c r="S35" s="123">
        <f>SUM(Q35:R35)</f>
        <v>29980</v>
      </c>
      <c r="T35" s="123"/>
      <c r="U35" s="123">
        <f>SUM(S35:T35)</f>
        <v>29980</v>
      </c>
      <c r="V35" s="123"/>
      <c r="W35" s="123">
        <f>SUM(U35:V35)</f>
        <v>29980</v>
      </c>
      <c r="X35" s="123"/>
      <c r="Y35" s="123">
        <f>SUM(W35:X35)</f>
        <v>29980</v>
      </c>
    </row>
    <row r="36" spans="1:25" s="15" customFormat="1" ht="21.75" customHeight="1">
      <c r="A36" s="121"/>
      <c r="B36" s="121"/>
      <c r="C36" s="121"/>
      <c r="D36" s="122" t="s">
        <v>344</v>
      </c>
      <c r="E36" s="123">
        <v>9150</v>
      </c>
      <c r="F36" s="123">
        <v>-9150</v>
      </c>
      <c r="G36" s="123">
        <f>SUM(E36:F36)</f>
        <v>0</v>
      </c>
      <c r="H36" s="123"/>
      <c r="I36" s="123">
        <f>SUM(G36:H36)</f>
        <v>0</v>
      </c>
      <c r="J36" s="123"/>
      <c r="K36" s="123">
        <f>SUM(I36:J36)</f>
        <v>0</v>
      </c>
      <c r="L36" s="123"/>
      <c r="M36" s="123">
        <f>SUM(K36:L36)</f>
        <v>0</v>
      </c>
      <c r="N36" s="123"/>
      <c r="O36" s="123">
        <f>SUM(M36:N36)</f>
        <v>0</v>
      </c>
      <c r="P36" s="123"/>
      <c r="Q36" s="123">
        <f>SUM(O36:P36)</f>
        <v>0</v>
      </c>
      <c r="R36" s="123"/>
      <c r="S36" s="123">
        <f>SUM(Q36:R36)</f>
        <v>0</v>
      </c>
      <c r="T36" s="123"/>
      <c r="U36" s="123">
        <f>SUM(S36:T36)</f>
        <v>0</v>
      </c>
      <c r="V36" s="123"/>
      <c r="W36" s="123">
        <f>SUM(U36:V36)</f>
        <v>0</v>
      </c>
      <c r="X36" s="123"/>
      <c r="Y36" s="123">
        <f>SUM(W36:X36)</f>
        <v>0</v>
      </c>
    </row>
    <row r="37" spans="1:25" s="15" customFormat="1" ht="21.75" customHeight="1">
      <c r="A37" s="121"/>
      <c r="B37" s="121"/>
      <c r="C37" s="121"/>
      <c r="D37" s="122" t="s">
        <v>334</v>
      </c>
      <c r="E37" s="123">
        <v>9000</v>
      </c>
      <c r="F37" s="123"/>
      <c r="G37" s="123">
        <f>SUM(E37:F37)</f>
        <v>9000</v>
      </c>
      <c r="H37" s="123"/>
      <c r="I37" s="123">
        <f>SUM(G37:H37)</f>
        <v>9000</v>
      </c>
      <c r="J37" s="123"/>
      <c r="K37" s="123">
        <f>SUM(I37:J37)</f>
        <v>9000</v>
      </c>
      <c r="L37" s="123"/>
      <c r="M37" s="123">
        <f>SUM(K37:L37)</f>
        <v>9000</v>
      </c>
      <c r="N37" s="123">
        <v>3795</v>
      </c>
      <c r="O37" s="123">
        <f>SUM(M37:N37)</f>
        <v>12795</v>
      </c>
      <c r="P37" s="123">
        <v>500</v>
      </c>
      <c r="Q37" s="123">
        <f>SUM(O37:P37)</f>
        <v>13295</v>
      </c>
      <c r="R37" s="123"/>
      <c r="S37" s="123">
        <f>SUM(Q37:R37)</f>
        <v>13295</v>
      </c>
      <c r="T37" s="123"/>
      <c r="U37" s="123">
        <f>SUM(S37:T37)</f>
        <v>13295</v>
      </c>
      <c r="V37" s="123"/>
      <c r="W37" s="123">
        <f>SUM(U37:V37)</f>
        <v>13295</v>
      </c>
      <c r="X37" s="123"/>
      <c r="Y37" s="123">
        <f>SUM(W37:X37)</f>
        <v>13295</v>
      </c>
    </row>
    <row r="38" spans="1:25" s="15" customFormat="1" ht="21.75" customHeight="1">
      <c r="A38" s="121"/>
      <c r="B38" s="121"/>
      <c r="C38" s="121"/>
      <c r="D38" s="122" t="s">
        <v>346</v>
      </c>
      <c r="E38" s="123">
        <v>7640</v>
      </c>
      <c r="F38" s="123"/>
      <c r="G38" s="123">
        <f>SUM(E38:F38)</f>
        <v>7640</v>
      </c>
      <c r="H38" s="123"/>
      <c r="I38" s="123">
        <f>SUM(G38:H38)</f>
        <v>7640</v>
      </c>
      <c r="J38" s="123"/>
      <c r="K38" s="123">
        <f>SUM(I38:J38)</f>
        <v>7640</v>
      </c>
      <c r="L38" s="123"/>
      <c r="M38" s="123">
        <f>SUM(K38:L38)</f>
        <v>7640</v>
      </c>
      <c r="N38" s="123"/>
      <c r="O38" s="123">
        <f>SUM(M38:N38)</f>
        <v>7640</v>
      </c>
      <c r="P38" s="123"/>
      <c r="Q38" s="123">
        <f>SUM(O38:P38)</f>
        <v>7640</v>
      </c>
      <c r="R38" s="123"/>
      <c r="S38" s="123">
        <f>SUM(Q38:R38)</f>
        <v>7640</v>
      </c>
      <c r="T38" s="123">
        <v>425</v>
      </c>
      <c r="U38" s="123">
        <f>SUM(S38:T38)</f>
        <v>8065</v>
      </c>
      <c r="V38" s="123"/>
      <c r="W38" s="123">
        <f>SUM(U38:V38)</f>
        <v>8065</v>
      </c>
      <c r="X38" s="123"/>
      <c r="Y38" s="123">
        <f>SUM(W38:X38)</f>
        <v>8065</v>
      </c>
    </row>
    <row r="39" spans="1:25" s="15" customFormat="1" ht="21.75" customHeight="1">
      <c r="A39" s="121"/>
      <c r="B39" s="121"/>
      <c r="C39" s="121"/>
      <c r="D39" s="122" t="s">
        <v>340</v>
      </c>
      <c r="E39" s="123">
        <v>13500</v>
      </c>
      <c r="F39" s="123"/>
      <c r="G39" s="123">
        <f>SUM(E39:F39)</f>
        <v>13500</v>
      </c>
      <c r="H39" s="123"/>
      <c r="I39" s="123">
        <f>SUM(G39:H39)</f>
        <v>13500</v>
      </c>
      <c r="J39" s="123"/>
      <c r="K39" s="123">
        <f>SUM(I39:J39)</f>
        <v>13500</v>
      </c>
      <c r="L39" s="123"/>
      <c r="M39" s="123">
        <f>SUM(K39:L39)</f>
        <v>13500</v>
      </c>
      <c r="N39" s="123"/>
      <c r="O39" s="123">
        <f>SUM(M39:N39)</f>
        <v>13500</v>
      </c>
      <c r="P39" s="123"/>
      <c r="Q39" s="123">
        <f>SUM(O39:P39)</f>
        <v>13500</v>
      </c>
      <c r="R39" s="123"/>
      <c r="S39" s="123">
        <f>SUM(Q39:R39)</f>
        <v>13500</v>
      </c>
      <c r="T39" s="123"/>
      <c r="U39" s="123">
        <f>SUM(S39:T39)</f>
        <v>13500</v>
      </c>
      <c r="V39" s="123"/>
      <c r="W39" s="123">
        <f>SUM(U39:V39)</f>
        <v>13500</v>
      </c>
      <c r="X39" s="123"/>
      <c r="Y39" s="123">
        <f>SUM(W39:X39)</f>
        <v>13500</v>
      </c>
    </row>
    <row r="40" spans="1:25" s="15" customFormat="1" ht="21.75" customHeight="1">
      <c r="A40" s="117"/>
      <c r="B40" s="118"/>
      <c r="C40" s="117">
        <v>6060</v>
      </c>
      <c r="D40" s="119" t="s">
        <v>86</v>
      </c>
      <c r="E40" s="120">
        <f aca="true" t="shared" si="29" ref="E40:Y40">SUM(E41:E41)</f>
        <v>5600</v>
      </c>
      <c r="F40" s="120">
        <f t="shared" si="29"/>
        <v>0</v>
      </c>
      <c r="G40" s="120">
        <f t="shared" si="29"/>
        <v>5600</v>
      </c>
      <c r="H40" s="120">
        <f t="shared" si="29"/>
        <v>0</v>
      </c>
      <c r="I40" s="120">
        <f t="shared" si="29"/>
        <v>5600</v>
      </c>
      <c r="J40" s="120">
        <f t="shared" si="29"/>
        <v>0</v>
      </c>
      <c r="K40" s="120">
        <f t="shared" si="29"/>
        <v>5600</v>
      </c>
      <c r="L40" s="120">
        <f t="shared" si="29"/>
        <v>0</v>
      </c>
      <c r="M40" s="120">
        <f t="shared" si="29"/>
        <v>5600</v>
      </c>
      <c r="N40" s="120">
        <f t="shared" si="29"/>
        <v>0</v>
      </c>
      <c r="O40" s="120">
        <f t="shared" si="29"/>
        <v>5600</v>
      </c>
      <c r="P40" s="120">
        <f t="shared" si="29"/>
        <v>0</v>
      </c>
      <c r="Q40" s="120">
        <f t="shared" si="29"/>
        <v>5600</v>
      </c>
      <c r="R40" s="120">
        <f t="shared" si="29"/>
        <v>0</v>
      </c>
      <c r="S40" s="120">
        <f t="shared" si="29"/>
        <v>5600</v>
      </c>
      <c r="T40" s="120">
        <f t="shared" si="29"/>
        <v>0</v>
      </c>
      <c r="U40" s="120">
        <f t="shared" si="29"/>
        <v>5600</v>
      </c>
      <c r="V40" s="120">
        <f t="shared" si="29"/>
        <v>0</v>
      </c>
      <c r="W40" s="120">
        <f t="shared" si="29"/>
        <v>5600</v>
      </c>
      <c r="X40" s="120">
        <f t="shared" si="29"/>
        <v>0</v>
      </c>
      <c r="Y40" s="120">
        <f t="shared" si="29"/>
        <v>5600</v>
      </c>
    </row>
    <row r="41" spans="1:25" s="15" customFormat="1" ht="21.75" customHeight="1">
      <c r="A41" s="121"/>
      <c r="B41" s="121"/>
      <c r="C41" s="117"/>
      <c r="D41" s="122" t="s">
        <v>349</v>
      </c>
      <c r="E41" s="123">
        <v>5600</v>
      </c>
      <c r="F41" s="123"/>
      <c r="G41" s="123">
        <f>SUM(E41:F41)</f>
        <v>5600</v>
      </c>
      <c r="H41" s="123"/>
      <c r="I41" s="123">
        <f>SUM(G41:H41)</f>
        <v>5600</v>
      </c>
      <c r="J41" s="123"/>
      <c r="K41" s="123">
        <f>SUM(I41:J41)</f>
        <v>5600</v>
      </c>
      <c r="L41" s="123"/>
      <c r="M41" s="123">
        <f>SUM(K41:L41)</f>
        <v>5600</v>
      </c>
      <c r="N41" s="123"/>
      <c r="O41" s="123">
        <f>SUM(M41:N41)</f>
        <v>5600</v>
      </c>
      <c r="P41" s="123"/>
      <c r="Q41" s="123">
        <f>SUM(O41:P41)</f>
        <v>5600</v>
      </c>
      <c r="R41" s="123"/>
      <c r="S41" s="123">
        <f>SUM(Q41:R41)</f>
        <v>5600</v>
      </c>
      <c r="T41" s="123"/>
      <c r="U41" s="123">
        <f>SUM(S41:T41)</f>
        <v>5600</v>
      </c>
      <c r="V41" s="123"/>
      <c r="W41" s="123">
        <f>SUM(U41:V41)</f>
        <v>5600</v>
      </c>
      <c r="X41" s="123"/>
      <c r="Y41" s="123">
        <f>SUM(W41:X41)</f>
        <v>5600</v>
      </c>
    </row>
    <row r="42" spans="1:25" s="4" customFormat="1" ht="19.5" customHeight="1">
      <c r="A42" s="110">
        <v>700</v>
      </c>
      <c r="B42" s="111"/>
      <c r="C42" s="111"/>
      <c r="D42" s="112" t="s">
        <v>18</v>
      </c>
      <c r="E42" s="113">
        <f aca="true" t="shared" si="30" ref="E42:Y42">SUM(E43)</f>
        <v>460</v>
      </c>
      <c r="F42" s="113">
        <f t="shared" si="30"/>
        <v>0</v>
      </c>
      <c r="G42" s="113">
        <f t="shared" si="30"/>
        <v>460</v>
      </c>
      <c r="H42" s="113">
        <f t="shared" si="30"/>
        <v>0</v>
      </c>
      <c r="I42" s="113">
        <f t="shared" si="30"/>
        <v>460</v>
      </c>
      <c r="J42" s="113">
        <f t="shared" si="30"/>
        <v>0</v>
      </c>
      <c r="K42" s="113">
        <f t="shared" si="30"/>
        <v>460</v>
      </c>
      <c r="L42" s="113">
        <f t="shared" si="30"/>
        <v>0</v>
      </c>
      <c r="M42" s="113">
        <f t="shared" si="30"/>
        <v>460</v>
      </c>
      <c r="N42" s="113">
        <f t="shared" si="30"/>
        <v>1500</v>
      </c>
      <c r="O42" s="113">
        <f t="shared" si="30"/>
        <v>1960</v>
      </c>
      <c r="P42" s="113">
        <f t="shared" si="30"/>
        <v>5</v>
      </c>
      <c r="Q42" s="113">
        <f t="shared" si="30"/>
        <v>1965</v>
      </c>
      <c r="R42" s="113">
        <f t="shared" si="30"/>
        <v>0</v>
      </c>
      <c r="S42" s="113">
        <f t="shared" si="30"/>
        <v>1965</v>
      </c>
      <c r="T42" s="113">
        <f t="shared" si="30"/>
        <v>0</v>
      </c>
      <c r="U42" s="113">
        <f t="shared" si="30"/>
        <v>1965</v>
      </c>
      <c r="V42" s="113">
        <f t="shared" si="30"/>
        <v>0</v>
      </c>
      <c r="W42" s="113">
        <f t="shared" si="30"/>
        <v>1965</v>
      </c>
      <c r="X42" s="113">
        <f t="shared" si="30"/>
        <v>0</v>
      </c>
      <c r="Y42" s="113">
        <f t="shared" si="30"/>
        <v>1965</v>
      </c>
    </row>
    <row r="43" spans="1:25" s="4" customFormat="1" ht="21" customHeight="1">
      <c r="A43" s="115"/>
      <c r="B43" s="114">
        <v>70095</v>
      </c>
      <c r="C43" s="115"/>
      <c r="D43" s="116" t="s">
        <v>16</v>
      </c>
      <c r="E43" s="113">
        <f aca="true" t="shared" si="31" ref="E43:L43">SUM(E44,E48)</f>
        <v>460</v>
      </c>
      <c r="F43" s="113">
        <f t="shared" si="31"/>
        <v>0</v>
      </c>
      <c r="G43" s="113">
        <f t="shared" si="31"/>
        <v>460</v>
      </c>
      <c r="H43" s="113">
        <f t="shared" si="31"/>
        <v>0</v>
      </c>
      <c r="I43" s="113">
        <f t="shared" si="31"/>
        <v>460</v>
      </c>
      <c r="J43" s="113">
        <f t="shared" si="31"/>
        <v>0</v>
      </c>
      <c r="K43" s="113">
        <f t="shared" si="31"/>
        <v>460</v>
      </c>
      <c r="L43" s="113">
        <f t="shared" si="31"/>
        <v>0</v>
      </c>
      <c r="M43" s="113">
        <f aca="true" t="shared" si="32" ref="M43:S43">SUM(M44,M48,M46)</f>
        <v>460</v>
      </c>
      <c r="N43" s="113">
        <f t="shared" si="32"/>
        <v>1500</v>
      </c>
      <c r="O43" s="113">
        <f t="shared" si="32"/>
        <v>1960</v>
      </c>
      <c r="P43" s="113">
        <f t="shared" si="32"/>
        <v>5</v>
      </c>
      <c r="Q43" s="113">
        <f t="shared" si="32"/>
        <v>1965</v>
      </c>
      <c r="R43" s="113">
        <f t="shared" si="32"/>
        <v>0</v>
      </c>
      <c r="S43" s="113">
        <f t="shared" si="32"/>
        <v>1965</v>
      </c>
      <c r="T43" s="113">
        <f aca="true" t="shared" si="33" ref="T43:Y43">SUM(T44,T48,T46)</f>
        <v>0</v>
      </c>
      <c r="U43" s="113">
        <f t="shared" si="33"/>
        <v>1965</v>
      </c>
      <c r="V43" s="113">
        <f t="shared" si="33"/>
        <v>0</v>
      </c>
      <c r="W43" s="113">
        <f t="shared" si="33"/>
        <v>1965</v>
      </c>
      <c r="X43" s="113">
        <f t="shared" si="33"/>
        <v>0</v>
      </c>
      <c r="Y43" s="113">
        <f t="shared" si="33"/>
        <v>1965</v>
      </c>
    </row>
    <row r="44" spans="1:25" s="15" customFormat="1" ht="21.75" customHeight="1">
      <c r="A44" s="118"/>
      <c r="B44" s="117"/>
      <c r="C44" s="117">
        <v>4260</v>
      </c>
      <c r="D44" s="119" t="s">
        <v>85</v>
      </c>
      <c r="E44" s="120">
        <f aca="true" t="shared" si="34" ref="E44:Y44">SUM(E45)</f>
        <v>400</v>
      </c>
      <c r="F44" s="120">
        <f t="shared" si="34"/>
        <v>0</v>
      </c>
      <c r="G44" s="120">
        <f t="shared" si="34"/>
        <v>400</v>
      </c>
      <c r="H44" s="120">
        <f t="shared" si="34"/>
        <v>0</v>
      </c>
      <c r="I44" s="120">
        <f t="shared" si="34"/>
        <v>400</v>
      </c>
      <c r="J44" s="120">
        <f t="shared" si="34"/>
        <v>0</v>
      </c>
      <c r="K44" s="120">
        <f t="shared" si="34"/>
        <v>400</v>
      </c>
      <c r="L44" s="120">
        <f t="shared" si="34"/>
        <v>-5</v>
      </c>
      <c r="M44" s="120">
        <f t="shared" si="34"/>
        <v>395</v>
      </c>
      <c r="N44" s="120">
        <f t="shared" si="34"/>
        <v>0</v>
      </c>
      <c r="O44" s="120">
        <f t="shared" si="34"/>
        <v>395</v>
      </c>
      <c r="P44" s="120">
        <f t="shared" si="34"/>
        <v>5</v>
      </c>
      <c r="Q44" s="120">
        <f t="shared" si="34"/>
        <v>400</v>
      </c>
      <c r="R44" s="120">
        <f t="shared" si="34"/>
        <v>0</v>
      </c>
      <c r="S44" s="120">
        <f t="shared" si="34"/>
        <v>400</v>
      </c>
      <c r="T44" s="120">
        <f t="shared" si="34"/>
        <v>0</v>
      </c>
      <c r="U44" s="120">
        <f t="shared" si="34"/>
        <v>400</v>
      </c>
      <c r="V44" s="120">
        <f t="shared" si="34"/>
        <v>0</v>
      </c>
      <c r="W44" s="120">
        <f t="shared" si="34"/>
        <v>400</v>
      </c>
      <c r="X44" s="120">
        <f t="shared" si="34"/>
        <v>0</v>
      </c>
      <c r="Y44" s="120">
        <f t="shared" si="34"/>
        <v>400</v>
      </c>
    </row>
    <row r="45" spans="1:25" s="15" customFormat="1" ht="21.75" customHeight="1">
      <c r="A45" s="121"/>
      <c r="B45" s="121"/>
      <c r="C45" s="121"/>
      <c r="D45" s="122" t="s">
        <v>347</v>
      </c>
      <c r="E45" s="123">
        <v>400</v>
      </c>
      <c r="F45" s="123"/>
      <c r="G45" s="123">
        <f>SUM(E45:F45)</f>
        <v>400</v>
      </c>
      <c r="H45" s="123"/>
      <c r="I45" s="123">
        <f>SUM(G45:H45)</f>
        <v>400</v>
      </c>
      <c r="J45" s="123"/>
      <c r="K45" s="123">
        <f>SUM(I45:J45)</f>
        <v>400</v>
      </c>
      <c r="L45" s="123">
        <v>-5</v>
      </c>
      <c r="M45" s="123">
        <f>SUM(K45:L45)</f>
        <v>395</v>
      </c>
      <c r="N45" s="123"/>
      <c r="O45" s="123">
        <f>SUM(M45:N45)</f>
        <v>395</v>
      </c>
      <c r="P45" s="123">
        <v>5</v>
      </c>
      <c r="Q45" s="123">
        <f>SUM(O45:P45)</f>
        <v>400</v>
      </c>
      <c r="R45" s="123"/>
      <c r="S45" s="123">
        <f>SUM(Q45:R45)</f>
        <v>400</v>
      </c>
      <c r="T45" s="123"/>
      <c r="U45" s="123">
        <f>SUM(S45:T45)</f>
        <v>400</v>
      </c>
      <c r="V45" s="123"/>
      <c r="W45" s="123">
        <f>SUM(U45:V45)</f>
        <v>400</v>
      </c>
      <c r="X45" s="123"/>
      <c r="Y45" s="123">
        <f>SUM(W45:X45)</f>
        <v>400</v>
      </c>
    </row>
    <row r="46" spans="1:25" s="15" customFormat="1" ht="21.75" customHeight="1">
      <c r="A46" s="126"/>
      <c r="B46" s="126"/>
      <c r="C46" s="126">
        <v>4270</v>
      </c>
      <c r="D46" s="119" t="s">
        <v>68</v>
      </c>
      <c r="E46" s="120"/>
      <c r="F46" s="120"/>
      <c r="G46" s="120"/>
      <c r="H46" s="120"/>
      <c r="I46" s="120"/>
      <c r="J46" s="120"/>
      <c r="K46" s="120"/>
      <c r="L46" s="120"/>
      <c r="M46" s="120">
        <f aca="true" t="shared" si="35" ref="M46:Y46">SUM(M47)</f>
        <v>0</v>
      </c>
      <c r="N46" s="120">
        <f t="shared" si="35"/>
        <v>1500</v>
      </c>
      <c r="O46" s="120">
        <f t="shared" si="35"/>
        <v>1500</v>
      </c>
      <c r="P46" s="120">
        <f t="shared" si="35"/>
        <v>0</v>
      </c>
      <c r="Q46" s="120">
        <f t="shared" si="35"/>
        <v>1500</v>
      </c>
      <c r="R46" s="120">
        <f t="shared" si="35"/>
        <v>0</v>
      </c>
      <c r="S46" s="120">
        <f t="shared" si="35"/>
        <v>1500</v>
      </c>
      <c r="T46" s="120">
        <f t="shared" si="35"/>
        <v>0</v>
      </c>
      <c r="U46" s="120">
        <f t="shared" si="35"/>
        <v>1500</v>
      </c>
      <c r="V46" s="120">
        <f t="shared" si="35"/>
        <v>0</v>
      </c>
      <c r="W46" s="120">
        <f t="shared" si="35"/>
        <v>1500</v>
      </c>
      <c r="X46" s="120">
        <f t="shared" si="35"/>
        <v>0</v>
      </c>
      <c r="Y46" s="120">
        <f t="shared" si="35"/>
        <v>1500</v>
      </c>
    </row>
    <row r="47" spans="1:25" s="15" customFormat="1" ht="21.75" customHeight="1">
      <c r="A47" s="121"/>
      <c r="B47" s="121"/>
      <c r="C47" s="121"/>
      <c r="D47" s="122" t="s">
        <v>347</v>
      </c>
      <c r="E47" s="123"/>
      <c r="F47" s="123"/>
      <c r="G47" s="123"/>
      <c r="H47" s="123"/>
      <c r="I47" s="123"/>
      <c r="J47" s="123"/>
      <c r="K47" s="123"/>
      <c r="L47" s="123"/>
      <c r="M47" s="123">
        <v>0</v>
      </c>
      <c r="N47" s="123">
        <v>1500</v>
      </c>
      <c r="O47" s="123">
        <f>SUM(M47:N47)</f>
        <v>1500</v>
      </c>
      <c r="P47" s="123"/>
      <c r="Q47" s="123">
        <f>SUM(O47:P47)</f>
        <v>1500</v>
      </c>
      <c r="R47" s="123"/>
      <c r="S47" s="123">
        <f>SUM(Q47:R47)</f>
        <v>1500</v>
      </c>
      <c r="T47" s="123"/>
      <c r="U47" s="123">
        <f>SUM(S47:T47)</f>
        <v>1500</v>
      </c>
      <c r="V47" s="123"/>
      <c r="W47" s="123">
        <f>SUM(U47:V47)</f>
        <v>1500</v>
      </c>
      <c r="X47" s="123"/>
      <c r="Y47" s="123">
        <f>SUM(W47:X47)</f>
        <v>1500</v>
      </c>
    </row>
    <row r="48" spans="1:25" s="15" customFormat="1" ht="21.75" customHeight="1">
      <c r="A48" s="126"/>
      <c r="B48" s="126"/>
      <c r="C48" s="117">
        <v>4300</v>
      </c>
      <c r="D48" s="119" t="s">
        <v>69</v>
      </c>
      <c r="E48" s="120">
        <f aca="true" t="shared" si="36" ref="E48:Y48">SUM(E49)</f>
        <v>60</v>
      </c>
      <c r="F48" s="120">
        <f t="shared" si="36"/>
        <v>0</v>
      </c>
      <c r="G48" s="120">
        <f t="shared" si="36"/>
        <v>60</v>
      </c>
      <c r="H48" s="120">
        <f t="shared" si="36"/>
        <v>0</v>
      </c>
      <c r="I48" s="120">
        <f t="shared" si="36"/>
        <v>60</v>
      </c>
      <c r="J48" s="120">
        <f t="shared" si="36"/>
        <v>0</v>
      </c>
      <c r="K48" s="120">
        <f t="shared" si="36"/>
        <v>60</v>
      </c>
      <c r="L48" s="120">
        <f t="shared" si="36"/>
        <v>5</v>
      </c>
      <c r="M48" s="120">
        <f t="shared" si="36"/>
        <v>65</v>
      </c>
      <c r="N48" s="120">
        <f t="shared" si="36"/>
        <v>0</v>
      </c>
      <c r="O48" s="120">
        <f t="shared" si="36"/>
        <v>65</v>
      </c>
      <c r="P48" s="120">
        <f t="shared" si="36"/>
        <v>0</v>
      </c>
      <c r="Q48" s="120">
        <f t="shared" si="36"/>
        <v>65</v>
      </c>
      <c r="R48" s="120">
        <f t="shared" si="36"/>
        <v>0</v>
      </c>
      <c r="S48" s="120">
        <f t="shared" si="36"/>
        <v>65</v>
      </c>
      <c r="T48" s="120">
        <f t="shared" si="36"/>
        <v>0</v>
      </c>
      <c r="U48" s="120">
        <f t="shared" si="36"/>
        <v>65</v>
      </c>
      <c r="V48" s="120">
        <f t="shared" si="36"/>
        <v>0</v>
      </c>
      <c r="W48" s="120">
        <f t="shared" si="36"/>
        <v>65</v>
      </c>
      <c r="X48" s="120">
        <f t="shared" si="36"/>
        <v>0</v>
      </c>
      <c r="Y48" s="120">
        <f t="shared" si="36"/>
        <v>65</v>
      </c>
    </row>
    <row r="49" spans="1:25" s="15" customFormat="1" ht="21.75" customHeight="1">
      <c r="A49" s="121"/>
      <c r="B49" s="121"/>
      <c r="C49" s="121"/>
      <c r="D49" s="122" t="s">
        <v>347</v>
      </c>
      <c r="E49" s="123">
        <v>60</v>
      </c>
      <c r="F49" s="123"/>
      <c r="G49" s="123">
        <f>SUM(E49:F49)</f>
        <v>60</v>
      </c>
      <c r="H49" s="123"/>
      <c r="I49" s="123">
        <f>SUM(G49:H49)</f>
        <v>60</v>
      </c>
      <c r="J49" s="123"/>
      <c r="K49" s="123">
        <f>SUM(I49:J49)</f>
        <v>60</v>
      </c>
      <c r="L49" s="123">
        <v>5</v>
      </c>
      <c r="M49" s="123">
        <f>SUM(K49:L49)</f>
        <v>65</v>
      </c>
      <c r="N49" s="123"/>
      <c r="O49" s="123">
        <f>SUM(M49:N49)</f>
        <v>65</v>
      </c>
      <c r="P49" s="123"/>
      <c r="Q49" s="123">
        <f>SUM(O49:P49)</f>
        <v>65</v>
      </c>
      <c r="R49" s="123"/>
      <c r="S49" s="123">
        <f>SUM(Q49:R49)</f>
        <v>65</v>
      </c>
      <c r="T49" s="123"/>
      <c r="U49" s="123">
        <f>SUM(S49:T49)</f>
        <v>65</v>
      </c>
      <c r="V49" s="123"/>
      <c r="W49" s="123">
        <f>SUM(U49:V49)</f>
        <v>65</v>
      </c>
      <c r="X49" s="123"/>
      <c r="Y49" s="123">
        <f>SUM(W49:X49)</f>
        <v>65</v>
      </c>
    </row>
    <row r="50" spans="1:25" s="4" customFormat="1" ht="21" customHeight="1">
      <c r="A50" s="110">
        <v>710</v>
      </c>
      <c r="B50" s="111"/>
      <c r="C50" s="111"/>
      <c r="D50" s="112" t="s">
        <v>70</v>
      </c>
      <c r="E50" s="113">
        <f aca="true" t="shared" si="37" ref="E50:Y50">SUM(E51)</f>
        <v>3500</v>
      </c>
      <c r="F50" s="113">
        <f t="shared" si="37"/>
        <v>6120</v>
      </c>
      <c r="G50" s="113">
        <f t="shared" si="37"/>
        <v>9620</v>
      </c>
      <c r="H50" s="113">
        <f t="shared" si="37"/>
        <v>0</v>
      </c>
      <c r="I50" s="113">
        <f t="shared" si="37"/>
        <v>9620</v>
      </c>
      <c r="J50" s="113">
        <f t="shared" si="37"/>
        <v>0</v>
      </c>
      <c r="K50" s="113">
        <f t="shared" si="37"/>
        <v>9620</v>
      </c>
      <c r="L50" s="113">
        <f t="shared" si="37"/>
        <v>0</v>
      </c>
      <c r="M50" s="113">
        <f t="shared" si="37"/>
        <v>9620</v>
      </c>
      <c r="N50" s="113">
        <f t="shared" si="37"/>
        <v>0</v>
      </c>
      <c r="O50" s="113">
        <f t="shared" si="37"/>
        <v>9620</v>
      </c>
      <c r="P50" s="113">
        <f t="shared" si="37"/>
        <v>-3000</v>
      </c>
      <c r="Q50" s="113">
        <f t="shared" si="37"/>
        <v>6620</v>
      </c>
      <c r="R50" s="113">
        <f t="shared" si="37"/>
        <v>0</v>
      </c>
      <c r="S50" s="113">
        <f t="shared" si="37"/>
        <v>6620</v>
      </c>
      <c r="T50" s="113">
        <f t="shared" si="37"/>
        <v>0</v>
      </c>
      <c r="U50" s="113">
        <f t="shared" si="37"/>
        <v>6620</v>
      </c>
      <c r="V50" s="113">
        <f t="shared" si="37"/>
        <v>0</v>
      </c>
      <c r="W50" s="113">
        <f t="shared" si="37"/>
        <v>6620</v>
      </c>
      <c r="X50" s="113">
        <f t="shared" si="37"/>
        <v>0</v>
      </c>
      <c r="Y50" s="113">
        <f t="shared" si="37"/>
        <v>6620</v>
      </c>
    </row>
    <row r="51" spans="1:25" s="4" customFormat="1" ht="19.5" customHeight="1">
      <c r="A51" s="115"/>
      <c r="B51" s="114">
        <v>71035</v>
      </c>
      <c r="C51" s="115"/>
      <c r="D51" s="116" t="s">
        <v>22</v>
      </c>
      <c r="E51" s="113">
        <f aca="true" t="shared" si="38" ref="E51:Q51">SUM(E52,E55,E57)</f>
        <v>3500</v>
      </c>
      <c r="F51" s="113">
        <f t="shared" si="38"/>
        <v>6120</v>
      </c>
      <c r="G51" s="113">
        <f t="shared" si="38"/>
        <v>9620</v>
      </c>
      <c r="H51" s="113">
        <f t="shared" si="38"/>
        <v>0</v>
      </c>
      <c r="I51" s="113">
        <f t="shared" si="38"/>
        <v>9620</v>
      </c>
      <c r="J51" s="113">
        <f t="shared" si="38"/>
        <v>0</v>
      </c>
      <c r="K51" s="113">
        <f t="shared" si="38"/>
        <v>9620</v>
      </c>
      <c r="L51" s="113">
        <f t="shared" si="38"/>
        <v>0</v>
      </c>
      <c r="M51" s="113">
        <f t="shared" si="38"/>
        <v>9620</v>
      </c>
      <c r="N51" s="113">
        <f t="shared" si="38"/>
        <v>0</v>
      </c>
      <c r="O51" s="113">
        <f t="shared" si="38"/>
        <v>9620</v>
      </c>
      <c r="P51" s="113">
        <f t="shared" si="38"/>
        <v>-3000</v>
      </c>
      <c r="Q51" s="113">
        <f t="shared" si="38"/>
        <v>6620</v>
      </c>
      <c r="R51" s="113">
        <f aca="true" t="shared" si="39" ref="R51:W51">SUM(R52,R55,R57)</f>
        <v>0</v>
      </c>
      <c r="S51" s="113">
        <f t="shared" si="39"/>
        <v>6620</v>
      </c>
      <c r="T51" s="113">
        <f t="shared" si="39"/>
        <v>0</v>
      </c>
      <c r="U51" s="113">
        <f t="shared" si="39"/>
        <v>6620</v>
      </c>
      <c r="V51" s="113">
        <f t="shared" si="39"/>
        <v>0</v>
      </c>
      <c r="W51" s="113">
        <f t="shared" si="39"/>
        <v>6620</v>
      </c>
      <c r="X51" s="113">
        <f>SUM(X52,X55,X57)</f>
        <v>0</v>
      </c>
      <c r="Y51" s="113">
        <f>SUM(Y52,Y55,Y57)</f>
        <v>6620</v>
      </c>
    </row>
    <row r="52" spans="1:25" s="15" customFormat="1" ht="21.75" customHeight="1">
      <c r="A52" s="118"/>
      <c r="B52" s="117"/>
      <c r="C52" s="117">
        <v>4260</v>
      </c>
      <c r="D52" s="119" t="s">
        <v>85</v>
      </c>
      <c r="E52" s="120">
        <f aca="true" t="shared" si="40" ref="E52:Q52">SUM(E53:E54)</f>
        <v>500</v>
      </c>
      <c r="F52" s="120">
        <f t="shared" si="40"/>
        <v>0</v>
      </c>
      <c r="G52" s="120">
        <f t="shared" si="40"/>
        <v>500</v>
      </c>
      <c r="H52" s="120">
        <f t="shared" si="40"/>
        <v>0</v>
      </c>
      <c r="I52" s="120">
        <f t="shared" si="40"/>
        <v>500</v>
      </c>
      <c r="J52" s="120">
        <f t="shared" si="40"/>
        <v>0</v>
      </c>
      <c r="K52" s="120">
        <f t="shared" si="40"/>
        <v>500</v>
      </c>
      <c r="L52" s="120">
        <f t="shared" si="40"/>
        <v>0</v>
      </c>
      <c r="M52" s="120">
        <f t="shared" si="40"/>
        <v>500</v>
      </c>
      <c r="N52" s="120">
        <f t="shared" si="40"/>
        <v>0</v>
      </c>
      <c r="O52" s="120">
        <f t="shared" si="40"/>
        <v>500</v>
      </c>
      <c r="P52" s="120">
        <f t="shared" si="40"/>
        <v>0</v>
      </c>
      <c r="Q52" s="120">
        <f t="shared" si="40"/>
        <v>500</v>
      </c>
      <c r="R52" s="120">
        <f aca="true" t="shared" si="41" ref="R52:W52">SUM(R53:R54)</f>
        <v>0</v>
      </c>
      <c r="S52" s="120">
        <f t="shared" si="41"/>
        <v>500</v>
      </c>
      <c r="T52" s="120">
        <f t="shared" si="41"/>
        <v>0</v>
      </c>
      <c r="U52" s="120">
        <f t="shared" si="41"/>
        <v>500</v>
      </c>
      <c r="V52" s="120">
        <f t="shared" si="41"/>
        <v>0</v>
      </c>
      <c r="W52" s="120">
        <f t="shared" si="41"/>
        <v>500</v>
      </c>
      <c r="X52" s="120">
        <f>SUM(X53:X54)</f>
        <v>0</v>
      </c>
      <c r="Y52" s="120">
        <f>SUM(Y53:Y54)</f>
        <v>500</v>
      </c>
    </row>
    <row r="53" spans="1:25" s="17" customFormat="1" ht="21.75" customHeight="1">
      <c r="A53" s="127"/>
      <c r="B53" s="128"/>
      <c r="C53" s="128"/>
      <c r="D53" s="122" t="s">
        <v>343</v>
      </c>
      <c r="E53" s="123">
        <v>200</v>
      </c>
      <c r="F53" s="123"/>
      <c r="G53" s="123">
        <f>SUM(E53:F53)</f>
        <v>200</v>
      </c>
      <c r="H53" s="123"/>
      <c r="I53" s="123">
        <f>SUM(G53:H53)</f>
        <v>200</v>
      </c>
      <c r="J53" s="123"/>
      <c r="K53" s="123">
        <f>SUM(I53:J53)</f>
        <v>200</v>
      </c>
      <c r="L53" s="123"/>
      <c r="M53" s="123">
        <f>SUM(K53:L53)</f>
        <v>200</v>
      </c>
      <c r="N53" s="123"/>
      <c r="O53" s="123">
        <f>SUM(M53:N53)</f>
        <v>200</v>
      </c>
      <c r="P53" s="123"/>
      <c r="Q53" s="123">
        <f>SUM(O53:P53)</f>
        <v>200</v>
      </c>
      <c r="R53" s="123"/>
      <c r="S53" s="123">
        <f>SUM(Q53:R53)</f>
        <v>200</v>
      </c>
      <c r="T53" s="123"/>
      <c r="U53" s="123">
        <f>SUM(S53:T53)</f>
        <v>200</v>
      </c>
      <c r="V53" s="123"/>
      <c r="W53" s="123">
        <f>SUM(U53:V53)</f>
        <v>200</v>
      </c>
      <c r="X53" s="123"/>
      <c r="Y53" s="123">
        <f>SUM(W53:X53)</f>
        <v>200</v>
      </c>
    </row>
    <row r="54" spans="1:25" s="17" customFormat="1" ht="21.75" customHeight="1">
      <c r="A54" s="121"/>
      <c r="B54" s="121"/>
      <c r="C54" s="121"/>
      <c r="D54" s="122" t="s">
        <v>347</v>
      </c>
      <c r="E54" s="123">
        <v>300</v>
      </c>
      <c r="F54" s="123"/>
      <c r="G54" s="123">
        <f>SUM(E54:F54)</f>
        <v>300</v>
      </c>
      <c r="H54" s="123"/>
      <c r="I54" s="123">
        <f>SUM(G54:H54)</f>
        <v>300</v>
      </c>
      <c r="J54" s="123"/>
      <c r="K54" s="123">
        <f>SUM(I54:J54)</f>
        <v>300</v>
      </c>
      <c r="L54" s="123"/>
      <c r="M54" s="123">
        <f>SUM(K54:L54)</f>
        <v>300</v>
      </c>
      <c r="N54" s="123"/>
      <c r="O54" s="123">
        <f>SUM(M54:N54)</f>
        <v>300</v>
      </c>
      <c r="P54" s="123"/>
      <c r="Q54" s="123">
        <f>SUM(O54:P54)</f>
        <v>300</v>
      </c>
      <c r="R54" s="123"/>
      <c r="S54" s="123">
        <f>SUM(Q54:R54)</f>
        <v>300</v>
      </c>
      <c r="T54" s="123"/>
      <c r="U54" s="123">
        <f>SUM(S54:T54)</f>
        <v>300</v>
      </c>
      <c r="V54" s="123"/>
      <c r="W54" s="123">
        <f>SUM(U54:V54)</f>
        <v>300</v>
      </c>
      <c r="X54" s="123"/>
      <c r="Y54" s="123">
        <f>SUM(W54:X54)</f>
        <v>300</v>
      </c>
    </row>
    <row r="55" spans="1:25" s="15" customFormat="1" ht="21.75" customHeight="1">
      <c r="A55" s="126"/>
      <c r="B55" s="126"/>
      <c r="C55" s="126">
        <v>4270</v>
      </c>
      <c r="D55" s="119" t="s">
        <v>68</v>
      </c>
      <c r="E55" s="120">
        <f aca="true" t="shared" si="42" ref="E55:Y55">SUM(E56)</f>
        <v>3000</v>
      </c>
      <c r="F55" s="120">
        <f t="shared" si="42"/>
        <v>0</v>
      </c>
      <c r="G55" s="120">
        <f t="shared" si="42"/>
        <v>3000</v>
      </c>
      <c r="H55" s="120">
        <f t="shared" si="42"/>
        <v>0</v>
      </c>
      <c r="I55" s="120">
        <f t="shared" si="42"/>
        <v>3000</v>
      </c>
      <c r="J55" s="120">
        <f t="shared" si="42"/>
        <v>0</v>
      </c>
      <c r="K55" s="120">
        <f t="shared" si="42"/>
        <v>3000</v>
      </c>
      <c r="L55" s="120">
        <f t="shared" si="42"/>
        <v>0</v>
      </c>
      <c r="M55" s="120">
        <f t="shared" si="42"/>
        <v>3000</v>
      </c>
      <c r="N55" s="120">
        <f t="shared" si="42"/>
        <v>0</v>
      </c>
      <c r="O55" s="120">
        <f t="shared" si="42"/>
        <v>3000</v>
      </c>
      <c r="P55" s="120">
        <f t="shared" si="42"/>
        <v>-3000</v>
      </c>
      <c r="Q55" s="120">
        <f t="shared" si="42"/>
        <v>0</v>
      </c>
      <c r="R55" s="120">
        <f t="shared" si="42"/>
        <v>0</v>
      </c>
      <c r="S55" s="120">
        <f t="shared" si="42"/>
        <v>0</v>
      </c>
      <c r="T55" s="120">
        <f t="shared" si="42"/>
        <v>0</v>
      </c>
      <c r="U55" s="120">
        <f t="shared" si="42"/>
        <v>0</v>
      </c>
      <c r="V55" s="120">
        <f t="shared" si="42"/>
        <v>0</v>
      </c>
      <c r="W55" s="120">
        <f t="shared" si="42"/>
        <v>0</v>
      </c>
      <c r="X55" s="120">
        <f t="shared" si="42"/>
        <v>0</v>
      </c>
      <c r="Y55" s="120">
        <f t="shared" si="42"/>
        <v>0</v>
      </c>
    </row>
    <row r="56" spans="1:25" s="15" customFormat="1" ht="21.75" customHeight="1">
      <c r="A56" s="121"/>
      <c r="B56" s="121"/>
      <c r="C56" s="121"/>
      <c r="D56" s="122" t="s">
        <v>343</v>
      </c>
      <c r="E56" s="123">
        <v>3000</v>
      </c>
      <c r="F56" s="123"/>
      <c r="G56" s="123">
        <f>SUM(E56:F56)</f>
        <v>3000</v>
      </c>
      <c r="H56" s="123"/>
      <c r="I56" s="123">
        <f>SUM(G56:H56)</f>
        <v>3000</v>
      </c>
      <c r="J56" s="123"/>
      <c r="K56" s="123">
        <f>SUM(I56:J56)</f>
        <v>3000</v>
      </c>
      <c r="L56" s="123"/>
      <c r="M56" s="123">
        <f>SUM(K56:L56)</f>
        <v>3000</v>
      </c>
      <c r="N56" s="123"/>
      <c r="O56" s="123">
        <f>SUM(M56:N56)</f>
        <v>3000</v>
      </c>
      <c r="P56" s="123">
        <v>-3000</v>
      </c>
      <c r="Q56" s="123">
        <f>SUM(O56:P56)</f>
        <v>0</v>
      </c>
      <c r="R56" s="123"/>
      <c r="S56" s="123">
        <f>SUM(Q56:R56)</f>
        <v>0</v>
      </c>
      <c r="T56" s="123"/>
      <c r="U56" s="123">
        <f>SUM(S56:T56)</f>
        <v>0</v>
      </c>
      <c r="V56" s="123"/>
      <c r="W56" s="123">
        <f>SUM(U56:V56)</f>
        <v>0</v>
      </c>
      <c r="X56" s="123"/>
      <c r="Y56" s="123">
        <f>SUM(W56:X56)</f>
        <v>0</v>
      </c>
    </row>
    <row r="57" spans="1:25" s="15" customFormat="1" ht="21.75" customHeight="1">
      <c r="A57" s="126"/>
      <c r="B57" s="126"/>
      <c r="C57" s="126">
        <v>6050</v>
      </c>
      <c r="D57" s="119" t="s">
        <v>63</v>
      </c>
      <c r="E57" s="120">
        <f aca="true" t="shared" si="43" ref="E57:Y57">SUM(E58)</f>
        <v>0</v>
      </c>
      <c r="F57" s="120">
        <f t="shared" si="43"/>
        <v>6120</v>
      </c>
      <c r="G57" s="120">
        <f t="shared" si="43"/>
        <v>6120</v>
      </c>
      <c r="H57" s="120">
        <f t="shared" si="43"/>
        <v>0</v>
      </c>
      <c r="I57" s="120">
        <f t="shared" si="43"/>
        <v>6120</v>
      </c>
      <c r="J57" s="120">
        <f t="shared" si="43"/>
        <v>0</v>
      </c>
      <c r="K57" s="120">
        <f t="shared" si="43"/>
        <v>6120</v>
      </c>
      <c r="L57" s="120">
        <f t="shared" si="43"/>
        <v>0</v>
      </c>
      <c r="M57" s="120">
        <f t="shared" si="43"/>
        <v>6120</v>
      </c>
      <c r="N57" s="120">
        <f t="shared" si="43"/>
        <v>0</v>
      </c>
      <c r="O57" s="120">
        <f t="shared" si="43"/>
        <v>6120</v>
      </c>
      <c r="P57" s="120">
        <f t="shared" si="43"/>
        <v>0</v>
      </c>
      <c r="Q57" s="120">
        <f t="shared" si="43"/>
        <v>6120</v>
      </c>
      <c r="R57" s="120">
        <f t="shared" si="43"/>
        <v>0</v>
      </c>
      <c r="S57" s="120">
        <f t="shared" si="43"/>
        <v>6120</v>
      </c>
      <c r="T57" s="120">
        <f t="shared" si="43"/>
        <v>0</v>
      </c>
      <c r="U57" s="120">
        <f t="shared" si="43"/>
        <v>6120</v>
      </c>
      <c r="V57" s="120">
        <f t="shared" si="43"/>
        <v>0</v>
      </c>
      <c r="W57" s="120">
        <f t="shared" si="43"/>
        <v>6120</v>
      </c>
      <c r="X57" s="120">
        <f t="shared" si="43"/>
        <v>0</v>
      </c>
      <c r="Y57" s="120">
        <f t="shared" si="43"/>
        <v>6120</v>
      </c>
    </row>
    <row r="58" spans="1:25" s="15" customFormat="1" ht="21.75" customHeight="1">
      <c r="A58" s="121"/>
      <c r="B58" s="121"/>
      <c r="C58" s="121"/>
      <c r="D58" s="122" t="s">
        <v>347</v>
      </c>
      <c r="E58" s="123">
        <v>0</v>
      </c>
      <c r="F58" s="123">
        <v>6120</v>
      </c>
      <c r="G58" s="123">
        <f>SUM(E58:F58)</f>
        <v>6120</v>
      </c>
      <c r="H58" s="123"/>
      <c r="I58" s="123">
        <f>SUM(G58:H58)</f>
        <v>6120</v>
      </c>
      <c r="J58" s="123"/>
      <c r="K58" s="123">
        <f>SUM(I58:J58)</f>
        <v>6120</v>
      </c>
      <c r="L58" s="123"/>
      <c r="M58" s="123">
        <f>SUM(K58:L58)</f>
        <v>6120</v>
      </c>
      <c r="N58" s="123"/>
      <c r="O58" s="123">
        <f>SUM(M58:N58)</f>
        <v>6120</v>
      </c>
      <c r="P58" s="123"/>
      <c r="Q58" s="123">
        <f>SUM(O58:P58)</f>
        <v>6120</v>
      </c>
      <c r="R58" s="123"/>
      <c r="S58" s="123">
        <f>SUM(Q58:R58)</f>
        <v>6120</v>
      </c>
      <c r="T58" s="123"/>
      <c r="U58" s="123">
        <f>SUM(S58:T58)</f>
        <v>6120</v>
      </c>
      <c r="V58" s="123"/>
      <c r="W58" s="123">
        <f>SUM(U58:V58)</f>
        <v>6120</v>
      </c>
      <c r="X58" s="123"/>
      <c r="Y58" s="123">
        <f>SUM(W58:X58)</f>
        <v>6120</v>
      </c>
    </row>
    <row r="59" spans="1:25" s="4" customFormat="1" ht="20.25" customHeight="1">
      <c r="A59" s="110" t="s">
        <v>23</v>
      </c>
      <c r="B59" s="111"/>
      <c r="C59" s="111"/>
      <c r="D59" s="112" t="s">
        <v>73</v>
      </c>
      <c r="E59" s="113">
        <f aca="true" t="shared" si="44" ref="E59:Q59">SUM(E60,E82)</f>
        <v>26920</v>
      </c>
      <c r="F59" s="113">
        <f t="shared" si="44"/>
        <v>0</v>
      </c>
      <c r="G59" s="113">
        <f t="shared" si="44"/>
        <v>26920</v>
      </c>
      <c r="H59" s="113">
        <f t="shared" si="44"/>
        <v>0</v>
      </c>
      <c r="I59" s="113">
        <f t="shared" si="44"/>
        <v>26920</v>
      </c>
      <c r="J59" s="113">
        <f t="shared" si="44"/>
        <v>-3000</v>
      </c>
      <c r="K59" s="113">
        <f t="shared" si="44"/>
        <v>23920</v>
      </c>
      <c r="L59" s="113">
        <f t="shared" si="44"/>
        <v>0</v>
      </c>
      <c r="M59" s="113">
        <f t="shared" si="44"/>
        <v>23920</v>
      </c>
      <c r="N59" s="113">
        <f t="shared" si="44"/>
        <v>0</v>
      </c>
      <c r="O59" s="113">
        <f t="shared" si="44"/>
        <v>23920</v>
      </c>
      <c r="P59" s="113">
        <f t="shared" si="44"/>
        <v>-4103</v>
      </c>
      <c r="Q59" s="113">
        <f t="shared" si="44"/>
        <v>19817</v>
      </c>
      <c r="R59" s="113">
        <f aca="true" t="shared" si="45" ref="R59:W59">SUM(R60,R82)</f>
        <v>0</v>
      </c>
      <c r="S59" s="113">
        <f t="shared" si="45"/>
        <v>19817</v>
      </c>
      <c r="T59" s="113">
        <f t="shared" si="45"/>
        <v>-1620</v>
      </c>
      <c r="U59" s="113">
        <f t="shared" si="45"/>
        <v>18197</v>
      </c>
      <c r="V59" s="113">
        <f t="shared" si="45"/>
        <v>0</v>
      </c>
      <c r="W59" s="113">
        <f t="shared" si="45"/>
        <v>18197</v>
      </c>
      <c r="X59" s="113">
        <f>SUM(X60,X82)</f>
        <v>0</v>
      </c>
      <c r="Y59" s="113">
        <f>SUM(Y60,Y82)</f>
        <v>18197</v>
      </c>
    </row>
    <row r="60" spans="1:25" s="4" customFormat="1" ht="24" customHeight="1">
      <c r="A60" s="115"/>
      <c r="B60" s="114" t="s">
        <v>26</v>
      </c>
      <c r="C60" s="115"/>
      <c r="D60" s="116" t="s">
        <v>27</v>
      </c>
      <c r="E60" s="113">
        <f aca="true" t="shared" si="46" ref="E60:Y60">SUM(E61)</f>
        <v>1600</v>
      </c>
      <c r="F60" s="113">
        <f t="shared" si="46"/>
        <v>0</v>
      </c>
      <c r="G60" s="113">
        <f t="shared" si="46"/>
        <v>1600</v>
      </c>
      <c r="H60" s="113">
        <f t="shared" si="46"/>
        <v>0</v>
      </c>
      <c r="I60" s="113">
        <f t="shared" si="46"/>
        <v>1600</v>
      </c>
      <c r="J60" s="113">
        <f t="shared" si="46"/>
        <v>0</v>
      </c>
      <c r="K60" s="113">
        <f t="shared" si="46"/>
        <v>1600</v>
      </c>
      <c r="L60" s="113">
        <f t="shared" si="46"/>
        <v>0</v>
      </c>
      <c r="M60" s="113">
        <f t="shared" si="46"/>
        <v>1600</v>
      </c>
      <c r="N60" s="113">
        <f t="shared" si="46"/>
        <v>0</v>
      </c>
      <c r="O60" s="113">
        <f t="shared" si="46"/>
        <v>1600</v>
      </c>
      <c r="P60" s="113">
        <f t="shared" si="46"/>
        <v>-3</v>
      </c>
      <c r="Q60" s="113">
        <f t="shared" si="46"/>
        <v>1597</v>
      </c>
      <c r="R60" s="113">
        <f t="shared" si="46"/>
        <v>0</v>
      </c>
      <c r="S60" s="113">
        <f t="shared" si="46"/>
        <v>1597</v>
      </c>
      <c r="T60" s="113">
        <f t="shared" si="46"/>
        <v>0</v>
      </c>
      <c r="U60" s="113">
        <f t="shared" si="46"/>
        <v>1597</v>
      </c>
      <c r="V60" s="113">
        <f t="shared" si="46"/>
        <v>0</v>
      </c>
      <c r="W60" s="113">
        <f t="shared" si="46"/>
        <v>1597</v>
      </c>
      <c r="X60" s="113">
        <f t="shared" si="46"/>
        <v>0</v>
      </c>
      <c r="Y60" s="113">
        <f t="shared" si="46"/>
        <v>1597</v>
      </c>
    </row>
    <row r="61" spans="1:25" s="15" customFormat="1" ht="21.75" customHeight="1">
      <c r="A61" s="118"/>
      <c r="B61" s="117"/>
      <c r="C61" s="117" t="s">
        <v>350</v>
      </c>
      <c r="D61" s="119" t="s">
        <v>82</v>
      </c>
      <c r="E61" s="120">
        <f aca="true" t="shared" si="47" ref="E61:Q61">SUM(E62:E81)</f>
        <v>1600</v>
      </c>
      <c r="F61" s="120">
        <f t="shared" si="47"/>
        <v>0</v>
      </c>
      <c r="G61" s="120">
        <f t="shared" si="47"/>
        <v>1600</v>
      </c>
      <c r="H61" s="120">
        <f t="shared" si="47"/>
        <v>0</v>
      </c>
      <c r="I61" s="120">
        <f t="shared" si="47"/>
        <v>1600</v>
      </c>
      <c r="J61" s="120">
        <f t="shared" si="47"/>
        <v>0</v>
      </c>
      <c r="K61" s="120">
        <f t="shared" si="47"/>
        <v>1600</v>
      </c>
      <c r="L61" s="120">
        <f t="shared" si="47"/>
        <v>0</v>
      </c>
      <c r="M61" s="120">
        <f t="shared" si="47"/>
        <v>1600</v>
      </c>
      <c r="N61" s="120">
        <f t="shared" si="47"/>
        <v>0</v>
      </c>
      <c r="O61" s="120">
        <f t="shared" si="47"/>
        <v>1600</v>
      </c>
      <c r="P61" s="120">
        <f t="shared" si="47"/>
        <v>-3</v>
      </c>
      <c r="Q61" s="120">
        <f t="shared" si="47"/>
        <v>1597</v>
      </c>
      <c r="R61" s="120">
        <f aca="true" t="shared" si="48" ref="R61:W61">SUM(R62:R81)</f>
        <v>0</v>
      </c>
      <c r="S61" s="120">
        <f t="shared" si="48"/>
        <v>1597</v>
      </c>
      <c r="T61" s="120">
        <f t="shared" si="48"/>
        <v>0</v>
      </c>
      <c r="U61" s="120">
        <f t="shared" si="48"/>
        <v>1597</v>
      </c>
      <c r="V61" s="120">
        <f t="shared" si="48"/>
        <v>0</v>
      </c>
      <c r="W61" s="120">
        <f t="shared" si="48"/>
        <v>1597</v>
      </c>
      <c r="X61" s="120">
        <f>SUM(X62:X81)</f>
        <v>0</v>
      </c>
      <c r="Y61" s="120">
        <f>SUM(Y62:Y81)</f>
        <v>1597</v>
      </c>
    </row>
    <row r="62" spans="1:25" s="15" customFormat="1" ht="21.75" customHeight="1">
      <c r="A62" s="121"/>
      <c r="B62" s="121"/>
      <c r="C62" s="121"/>
      <c r="D62" s="122" t="s">
        <v>343</v>
      </c>
      <c r="E62" s="123">
        <v>80</v>
      </c>
      <c r="F62" s="123"/>
      <c r="G62" s="123">
        <f aca="true" t="shared" si="49" ref="G62:G81">SUM(E62:F62)</f>
        <v>80</v>
      </c>
      <c r="H62" s="123"/>
      <c r="I62" s="123">
        <f aca="true" t="shared" si="50" ref="I62:I81">SUM(G62:H62)</f>
        <v>80</v>
      </c>
      <c r="J62" s="123"/>
      <c r="K62" s="123">
        <f aca="true" t="shared" si="51" ref="K62:K81">SUM(I62:J62)</f>
        <v>80</v>
      </c>
      <c r="L62" s="123"/>
      <c r="M62" s="123">
        <f aca="true" t="shared" si="52" ref="M62:M81">SUM(K62:L62)</f>
        <v>80</v>
      </c>
      <c r="N62" s="123"/>
      <c r="O62" s="123">
        <f aca="true" t="shared" si="53" ref="O62:O81">SUM(M62:N62)</f>
        <v>80</v>
      </c>
      <c r="P62" s="123"/>
      <c r="Q62" s="123">
        <f aca="true" t="shared" si="54" ref="Q62:Q81">SUM(O62:P62)</f>
        <v>80</v>
      </c>
      <c r="R62" s="123"/>
      <c r="S62" s="123">
        <f aca="true" t="shared" si="55" ref="S62:S81">SUM(Q62:R62)</f>
        <v>80</v>
      </c>
      <c r="T62" s="123"/>
      <c r="U62" s="123">
        <f aca="true" t="shared" si="56" ref="U62:U81">SUM(S62:T62)</f>
        <v>80</v>
      </c>
      <c r="V62" s="123"/>
      <c r="W62" s="123">
        <f aca="true" t="shared" si="57" ref="W62:W81">SUM(U62:V62)</f>
        <v>80</v>
      </c>
      <c r="X62" s="123"/>
      <c r="Y62" s="123">
        <f aca="true" t="shared" si="58" ref="Y62:Y81">SUM(W62:X62)</f>
        <v>80</v>
      </c>
    </row>
    <row r="63" spans="1:25" s="15" customFormat="1" ht="21.75" customHeight="1">
      <c r="A63" s="121"/>
      <c r="B63" s="121"/>
      <c r="C63" s="121"/>
      <c r="D63" s="122" t="s">
        <v>344</v>
      </c>
      <c r="E63" s="123">
        <v>80</v>
      </c>
      <c r="F63" s="123"/>
      <c r="G63" s="123">
        <f t="shared" si="49"/>
        <v>80</v>
      </c>
      <c r="H63" s="123"/>
      <c r="I63" s="123">
        <f t="shared" si="50"/>
        <v>80</v>
      </c>
      <c r="J63" s="123"/>
      <c r="K63" s="123">
        <f t="shared" si="51"/>
        <v>80</v>
      </c>
      <c r="L63" s="123"/>
      <c r="M63" s="123">
        <f t="shared" si="52"/>
        <v>80</v>
      </c>
      <c r="N63" s="123"/>
      <c r="O63" s="123">
        <f t="shared" si="53"/>
        <v>80</v>
      </c>
      <c r="P63" s="123"/>
      <c r="Q63" s="123">
        <f t="shared" si="54"/>
        <v>80</v>
      </c>
      <c r="R63" s="123"/>
      <c r="S63" s="123">
        <f t="shared" si="55"/>
        <v>80</v>
      </c>
      <c r="T63" s="123"/>
      <c r="U63" s="123">
        <f t="shared" si="56"/>
        <v>80</v>
      </c>
      <c r="V63" s="123"/>
      <c r="W63" s="123">
        <f t="shared" si="57"/>
        <v>80</v>
      </c>
      <c r="X63" s="123"/>
      <c r="Y63" s="123">
        <f t="shared" si="58"/>
        <v>80</v>
      </c>
    </row>
    <row r="64" spans="1:25" s="15" customFormat="1" ht="21.75" customHeight="1">
      <c r="A64" s="121"/>
      <c r="B64" s="121"/>
      <c r="C64" s="121"/>
      <c r="D64" s="122" t="s">
        <v>332</v>
      </c>
      <c r="E64" s="123">
        <v>80</v>
      </c>
      <c r="F64" s="123"/>
      <c r="G64" s="123">
        <f t="shared" si="49"/>
        <v>80</v>
      </c>
      <c r="H64" s="123"/>
      <c r="I64" s="123">
        <f t="shared" si="50"/>
        <v>80</v>
      </c>
      <c r="J64" s="123"/>
      <c r="K64" s="123">
        <f t="shared" si="51"/>
        <v>80</v>
      </c>
      <c r="L64" s="123"/>
      <c r="M64" s="123">
        <f t="shared" si="52"/>
        <v>80</v>
      </c>
      <c r="N64" s="123"/>
      <c r="O64" s="123">
        <f t="shared" si="53"/>
        <v>80</v>
      </c>
      <c r="P64" s="123"/>
      <c r="Q64" s="123">
        <f t="shared" si="54"/>
        <v>80</v>
      </c>
      <c r="R64" s="123"/>
      <c r="S64" s="123">
        <f t="shared" si="55"/>
        <v>80</v>
      </c>
      <c r="T64" s="123"/>
      <c r="U64" s="123">
        <f t="shared" si="56"/>
        <v>80</v>
      </c>
      <c r="V64" s="123"/>
      <c r="W64" s="123">
        <f t="shared" si="57"/>
        <v>80</v>
      </c>
      <c r="X64" s="123"/>
      <c r="Y64" s="123">
        <f t="shared" si="58"/>
        <v>80</v>
      </c>
    </row>
    <row r="65" spans="1:25" s="15" customFormat="1" ht="21.75" customHeight="1">
      <c r="A65" s="121"/>
      <c r="B65" s="121"/>
      <c r="C65" s="121"/>
      <c r="D65" s="122" t="s">
        <v>333</v>
      </c>
      <c r="E65" s="123">
        <v>80</v>
      </c>
      <c r="F65" s="123"/>
      <c r="G65" s="123">
        <f t="shared" si="49"/>
        <v>80</v>
      </c>
      <c r="H65" s="123"/>
      <c r="I65" s="123">
        <f t="shared" si="50"/>
        <v>80</v>
      </c>
      <c r="J65" s="123"/>
      <c r="K65" s="123">
        <f t="shared" si="51"/>
        <v>80</v>
      </c>
      <c r="L65" s="123"/>
      <c r="M65" s="123">
        <f t="shared" si="52"/>
        <v>80</v>
      </c>
      <c r="N65" s="123"/>
      <c r="O65" s="123">
        <f t="shared" si="53"/>
        <v>80</v>
      </c>
      <c r="P65" s="123"/>
      <c r="Q65" s="123">
        <f t="shared" si="54"/>
        <v>80</v>
      </c>
      <c r="R65" s="123"/>
      <c r="S65" s="123">
        <f t="shared" si="55"/>
        <v>80</v>
      </c>
      <c r="T65" s="123"/>
      <c r="U65" s="123">
        <f t="shared" si="56"/>
        <v>80</v>
      </c>
      <c r="V65" s="123"/>
      <c r="W65" s="123">
        <f t="shared" si="57"/>
        <v>80</v>
      </c>
      <c r="X65" s="123"/>
      <c r="Y65" s="123">
        <f t="shared" si="58"/>
        <v>80</v>
      </c>
    </row>
    <row r="66" spans="1:25" s="15" customFormat="1" ht="21.75" customHeight="1">
      <c r="A66" s="121"/>
      <c r="B66" s="121"/>
      <c r="C66" s="121"/>
      <c r="D66" s="122" t="s">
        <v>345</v>
      </c>
      <c r="E66" s="123">
        <v>80</v>
      </c>
      <c r="F66" s="123"/>
      <c r="G66" s="123">
        <f t="shared" si="49"/>
        <v>80</v>
      </c>
      <c r="H66" s="123"/>
      <c r="I66" s="123">
        <f t="shared" si="50"/>
        <v>80</v>
      </c>
      <c r="J66" s="123"/>
      <c r="K66" s="123">
        <f t="shared" si="51"/>
        <v>80</v>
      </c>
      <c r="L66" s="123"/>
      <c r="M66" s="123">
        <f t="shared" si="52"/>
        <v>80</v>
      </c>
      <c r="N66" s="123"/>
      <c r="O66" s="123">
        <f t="shared" si="53"/>
        <v>80</v>
      </c>
      <c r="P66" s="123"/>
      <c r="Q66" s="123">
        <f t="shared" si="54"/>
        <v>80</v>
      </c>
      <c r="R66" s="123"/>
      <c r="S66" s="123">
        <f t="shared" si="55"/>
        <v>80</v>
      </c>
      <c r="T66" s="123"/>
      <c r="U66" s="123">
        <f t="shared" si="56"/>
        <v>80</v>
      </c>
      <c r="V66" s="123"/>
      <c r="W66" s="123">
        <f t="shared" si="57"/>
        <v>80</v>
      </c>
      <c r="X66" s="123"/>
      <c r="Y66" s="123">
        <f t="shared" si="58"/>
        <v>80</v>
      </c>
    </row>
    <row r="67" spans="1:25" s="15" customFormat="1" ht="21.75" customHeight="1">
      <c r="A67" s="121"/>
      <c r="B67" s="121"/>
      <c r="C67" s="121"/>
      <c r="D67" s="122" t="s">
        <v>334</v>
      </c>
      <c r="E67" s="123">
        <v>80</v>
      </c>
      <c r="F67" s="123"/>
      <c r="G67" s="123">
        <f t="shared" si="49"/>
        <v>80</v>
      </c>
      <c r="H67" s="123"/>
      <c r="I67" s="123">
        <f t="shared" si="50"/>
        <v>80</v>
      </c>
      <c r="J67" s="123"/>
      <c r="K67" s="123">
        <f t="shared" si="51"/>
        <v>80</v>
      </c>
      <c r="L67" s="123"/>
      <c r="M67" s="123">
        <f t="shared" si="52"/>
        <v>80</v>
      </c>
      <c r="N67" s="123"/>
      <c r="O67" s="123">
        <f t="shared" si="53"/>
        <v>80</v>
      </c>
      <c r="P67" s="123"/>
      <c r="Q67" s="123">
        <f t="shared" si="54"/>
        <v>80</v>
      </c>
      <c r="R67" s="123"/>
      <c r="S67" s="123">
        <f t="shared" si="55"/>
        <v>80</v>
      </c>
      <c r="T67" s="123"/>
      <c r="U67" s="123">
        <f t="shared" si="56"/>
        <v>80</v>
      </c>
      <c r="V67" s="123"/>
      <c r="W67" s="123">
        <f t="shared" si="57"/>
        <v>80</v>
      </c>
      <c r="X67" s="123"/>
      <c r="Y67" s="123">
        <f t="shared" si="58"/>
        <v>80</v>
      </c>
    </row>
    <row r="68" spans="1:25" s="15" customFormat="1" ht="21.75" customHeight="1">
      <c r="A68" s="121"/>
      <c r="B68" s="121"/>
      <c r="C68" s="121"/>
      <c r="D68" s="122" t="s">
        <v>335</v>
      </c>
      <c r="E68" s="123">
        <v>80</v>
      </c>
      <c r="F68" s="123"/>
      <c r="G68" s="123">
        <f t="shared" si="49"/>
        <v>80</v>
      </c>
      <c r="H68" s="123"/>
      <c r="I68" s="123">
        <f t="shared" si="50"/>
        <v>80</v>
      </c>
      <c r="J68" s="123"/>
      <c r="K68" s="123">
        <f t="shared" si="51"/>
        <v>80</v>
      </c>
      <c r="L68" s="123"/>
      <c r="M68" s="123">
        <f t="shared" si="52"/>
        <v>80</v>
      </c>
      <c r="N68" s="123"/>
      <c r="O68" s="123">
        <f t="shared" si="53"/>
        <v>80</v>
      </c>
      <c r="P68" s="123"/>
      <c r="Q68" s="123">
        <f t="shared" si="54"/>
        <v>80</v>
      </c>
      <c r="R68" s="123"/>
      <c r="S68" s="123">
        <f t="shared" si="55"/>
        <v>80</v>
      </c>
      <c r="T68" s="123"/>
      <c r="U68" s="123">
        <f t="shared" si="56"/>
        <v>80</v>
      </c>
      <c r="V68" s="123"/>
      <c r="W68" s="123">
        <f t="shared" si="57"/>
        <v>80</v>
      </c>
      <c r="X68" s="123"/>
      <c r="Y68" s="123">
        <f t="shared" si="58"/>
        <v>80</v>
      </c>
    </row>
    <row r="69" spans="1:25" s="15" customFormat="1" ht="21.75" customHeight="1">
      <c r="A69" s="121"/>
      <c r="B69" s="121"/>
      <c r="C69" s="121"/>
      <c r="D69" s="122" t="s">
        <v>336</v>
      </c>
      <c r="E69" s="123">
        <v>80</v>
      </c>
      <c r="F69" s="123"/>
      <c r="G69" s="123">
        <f t="shared" si="49"/>
        <v>80</v>
      </c>
      <c r="H69" s="123"/>
      <c r="I69" s="123">
        <f t="shared" si="50"/>
        <v>80</v>
      </c>
      <c r="J69" s="123"/>
      <c r="K69" s="123">
        <f t="shared" si="51"/>
        <v>80</v>
      </c>
      <c r="L69" s="123"/>
      <c r="M69" s="123">
        <f t="shared" si="52"/>
        <v>80</v>
      </c>
      <c r="N69" s="123"/>
      <c r="O69" s="123">
        <f t="shared" si="53"/>
        <v>80</v>
      </c>
      <c r="P69" s="123"/>
      <c r="Q69" s="123">
        <f t="shared" si="54"/>
        <v>80</v>
      </c>
      <c r="R69" s="123"/>
      <c r="S69" s="123">
        <f t="shared" si="55"/>
        <v>80</v>
      </c>
      <c r="T69" s="123"/>
      <c r="U69" s="123">
        <f t="shared" si="56"/>
        <v>80</v>
      </c>
      <c r="V69" s="123"/>
      <c r="W69" s="123">
        <f t="shared" si="57"/>
        <v>80</v>
      </c>
      <c r="X69" s="123"/>
      <c r="Y69" s="123">
        <f t="shared" si="58"/>
        <v>80</v>
      </c>
    </row>
    <row r="70" spans="1:25" s="15" customFormat="1" ht="21.75" customHeight="1">
      <c r="A70" s="121"/>
      <c r="B70" s="121"/>
      <c r="C70" s="121"/>
      <c r="D70" s="122" t="s">
        <v>346</v>
      </c>
      <c r="E70" s="123">
        <v>80</v>
      </c>
      <c r="F70" s="123"/>
      <c r="G70" s="123">
        <f t="shared" si="49"/>
        <v>80</v>
      </c>
      <c r="H70" s="123"/>
      <c r="I70" s="123">
        <f t="shared" si="50"/>
        <v>80</v>
      </c>
      <c r="J70" s="123"/>
      <c r="K70" s="123">
        <f t="shared" si="51"/>
        <v>80</v>
      </c>
      <c r="L70" s="123"/>
      <c r="M70" s="123">
        <f t="shared" si="52"/>
        <v>80</v>
      </c>
      <c r="N70" s="123"/>
      <c r="O70" s="123">
        <f t="shared" si="53"/>
        <v>80</v>
      </c>
      <c r="P70" s="123"/>
      <c r="Q70" s="123">
        <f t="shared" si="54"/>
        <v>80</v>
      </c>
      <c r="R70" s="123"/>
      <c r="S70" s="123">
        <f t="shared" si="55"/>
        <v>80</v>
      </c>
      <c r="T70" s="123"/>
      <c r="U70" s="123">
        <f t="shared" si="56"/>
        <v>80</v>
      </c>
      <c r="V70" s="123"/>
      <c r="W70" s="123">
        <f t="shared" si="57"/>
        <v>80</v>
      </c>
      <c r="X70" s="123"/>
      <c r="Y70" s="123">
        <f t="shared" si="58"/>
        <v>80</v>
      </c>
    </row>
    <row r="71" spans="1:25" s="15" customFormat="1" ht="21.75" customHeight="1">
      <c r="A71" s="121"/>
      <c r="B71" s="121"/>
      <c r="C71" s="121"/>
      <c r="D71" s="122" t="s">
        <v>337</v>
      </c>
      <c r="E71" s="123">
        <v>80</v>
      </c>
      <c r="F71" s="123"/>
      <c r="G71" s="123">
        <f t="shared" si="49"/>
        <v>80</v>
      </c>
      <c r="H71" s="123"/>
      <c r="I71" s="123">
        <f t="shared" si="50"/>
        <v>80</v>
      </c>
      <c r="J71" s="123"/>
      <c r="K71" s="123">
        <f t="shared" si="51"/>
        <v>80</v>
      </c>
      <c r="L71" s="123"/>
      <c r="M71" s="123">
        <f t="shared" si="52"/>
        <v>80</v>
      </c>
      <c r="N71" s="123"/>
      <c r="O71" s="123">
        <f t="shared" si="53"/>
        <v>80</v>
      </c>
      <c r="P71" s="123"/>
      <c r="Q71" s="123">
        <f t="shared" si="54"/>
        <v>80</v>
      </c>
      <c r="R71" s="123"/>
      <c r="S71" s="123">
        <f t="shared" si="55"/>
        <v>80</v>
      </c>
      <c r="T71" s="123"/>
      <c r="U71" s="123">
        <f t="shared" si="56"/>
        <v>80</v>
      </c>
      <c r="V71" s="123"/>
      <c r="W71" s="123">
        <f t="shared" si="57"/>
        <v>80</v>
      </c>
      <c r="X71" s="123"/>
      <c r="Y71" s="123">
        <f t="shared" si="58"/>
        <v>80</v>
      </c>
    </row>
    <row r="72" spans="1:25" s="15" customFormat="1" ht="21.75" customHeight="1">
      <c r="A72" s="121"/>
      <c r="B72" s="121"/>
      <c r="C72" s="121"/>
      <c r="D72" s="122" t="s">
        <v>338</v>
      </c>
      <c r="E72" s="123">
        <v>80</v>
      </c>
      <c r="F72" s="123"/>
      <c r="G72" s="123">
        <f t="shared" si="49"/>
        <v>80</v>
      </c>
      <c r="H72" s="123"/>
      <c r="I72" s="123">
        <f t="shared" si="50"/>
        <v>80</v>
      </c>
      <c r="J72" s="123"/>
      <c r="K72" s="123">
        <f t="shared" si="51"/>
        <v>80</v>
      </c>
      <c r="L72" s="123"/>
      <c r="M72" s="123">
        <f t="shared" si="52"/>
        <v>80</v>
      </c>
      <c r="N72" s="123"/>
      <c r="O72" s="123">
        <f t="shared" si="53"/>
        <v>80</v>
      </c>
      <c r="P72" s="123"/>
      <c r="Q72" s="123">
        <f t="shared" si="54"/>
        <v>80</v>
      </c>
      <c r="R72" s="123"/>
      <c r="S72" s="123">
        <f t="shared" si="55"/>
        <v>80</v>
      </c>
      <c r="T72" s="123"/>
      <c r="U72" s="123">
        <f t="shared" si="56"/>
        <v>80</v>
      </c>
      <c r="V72" s="123"/>
      <c r="W72" s="123">
        <f t="shared" si="57"/>
        <v>80</v>
      </c>
      <c r="X72" s="123"/>
      <c r="Y72" s="123">
        <f t="shared" si="58"/>
        <v>80</v>
      </c>
    </row>
    <row r="73" spans="1:25" s="15" customFormat="1" ht="21.75" customHeight="1">
      <c r="A73" s="121"/>
      <c r="B73" s="121"/>
      <c r="C73" s="121"/>
      <c r="D73" s="122" t="s">
        <v>339</v>
      </c>
      <c r="E73" s="123">
        <v>80</v>
      </c>
      <c r="F73" s="123"/>
      <c r="G73" s="123">
        <f t="shared" si="49"/>
        <v>80</v>
      </c>
      <c r="H73" s="123"/>
      <c r="I73" s="123">
        <f t="shared" si="50"/>
        <v>80</v>
      </c>
      <c r="J73" s="123"/>
      <c r="K73" s="123">
        <f t="shared" si="51"/>
        <v>80</v>
      </c>
      <c r="L73" s="123"/>
      <c r="M73" s="123">
        <f t="shared" si="52"/>
        <v>80</v>
      </c>
      <c r="N73" s="123"/>
      <c r="O73" s="123">
        <f t="shared" si="53"/>
        <v>80</v>
      </c>
      <c r="P73" s="123"/>
      <c r="Q73" s="123">
        <f t="shared" si="54"/>
        <v>80</v>
      </c>
      <c r="R73" s="123"/>
      <c r="S73" s="123">
        <f t="shared" si="55"/>
        <v>80</v>
      </c>
      <c r="T73" s="123"/>
      <c r="U73" s="123">
        <f t="shared" si="56"/>
        <v>80</v>
      </c>
      <c r="V73" s="123"/>
      <c r="W73" s="123">
        <f t="shared" si="57"/>
        <v>80</v>
      </c>
      <c r="X73" s="123"/>
      <c r="Y73" s="123">
        <f t="shared" si="58"/>
        <v>80</v>
      </c>
    </row>
    <row r="74" spans="1:25" s="15" customFormat="1" ht="21.75" customHeight="1">
      <c r="A74" s="121"/>
      <c r="B74" s="121"/>
      <c r="C74" s="121"/>
      <c r="D74" s="122" t="s">
        <v>340</v>
      </c>
      <c r="E74" s="123">
        <v>80</v>
      </c>
      <c r="F74" s="123"/>
      <c r="G74" s="123">
        <f t="shared" si="49"/>
        <v>80</v>
      </c>
      <c r="H74" s="123"/>
      <c r="I74" s="123">
        <f t="shared" si="50"/>
        <v>80</v>
      </c>
      <c r="J74" s="123"/>
      <c r="K74" s="123">
        <f t="shared" si="51"/>
        <v>80</v>
      </c>
      <c r="L74" s="123"/>
      <c r="M74" s="123">
        <f t="shared" si="52"/>
        <v>80</v>
      </c>
      <c r="N74" s="123"/>
      <c r="O74" s="123">
        <f t="shared" si="53"/>
        <v>80</v>
      </c>
      <c r="P74" s="123"/>
      <c r="Q74" s="123">
        <f t="shared" si="54"/>
        <v>80</v>
      </c>
      <c r="R74" s="123"/>
      <c r="S74" s="123">
        <f t="shared" si="55"/>
        <v>80</v>
      </c>
      <c r="T74" s="123"/>
      <c r="U74" s="123">
        <f t="shared" si="56"/>
        <v>80</v>
      </c>
      <c r="V74" s="123"/>
      <c r="W74" s="123">
        <f t="shared" si="57"/>
        <v>80</v>
      </c>
      <c r="X74" s="123"/>
      <c r="Y74" s="123">
        <f t="shared" si="58"/>
        <v>80</v>
      </c>
    </row>
    <row r="75" spans="1:25" s="15" customFormat="1" ht="21.75" customHeight="1">
      <c r="A75" s="121"/>
      <c r="B75" s="121"/>
      <c r="C75" s="121"/>
      <c r="D75" s="122" t="s">
        <v>341</v>
      </c>
      <c r="E75" s="123">
        <v>80</v>
      </c>
      <c r="F75" s="123"/>
      <c r="G75" s="123">
        <f t="shared" si="49"/>
        <v>80</v>
      </c>
      <c r="H75" s="123"/>
      <c r="I75" s="123">
        <f t="shared" si="50"/>
        <v>80</v>
      </c>
      <c r="J75" s="123"/>
      <c r="K75" s="123">
        <f t="shared" si="51"/>
        <v>80</v>
      </c>
      <c r="L75" s="123"/>
      <c r="M75" s="123">
        <f t="shared" si="52"/>
        <v>80</v>
      </c>
      <c r="N75" s="123"/>
      <c r="O75" s="123">
        <f t="shared" si="53"/>
        <v>80</v>
      </c>
      <c r="P75" s="123"/>
      <c r="Q75" s="123">
        <f t="shared" si="54"/>
        <v>80</v>
      </c>
      <c r="R75" s="123"/>
      <c r="S75" s="123">
        <f t="shared" si="55"/>
        <v>80</v>
      </c>
      <c r="T75" s="123"/>
      <c r="U75" s="123">
        <f t="shared" si="56"/>
        <v>80</v>
      </c>
      <c r="V75" s="123"/>
      <c r="W75" s="123">
        <f t="shared" si="57"/>
        <v>80</v>
      </c>
      <c r="X75" s="123"/>
      <c r="Y75" s="123">
        <f t="shared" si="58"/>
        <v>80</v>
      </c>
    </row>
    <row r="76" spans="1:25" s="15" customFormat="1" ht="21.75" customHeight="1">
      <c r="A76" s="121"/>
      <c r="B76" s="121"/>
      <c r="C76" s="121"/>
      <c r="D76" s="122" t="s">
        <v>347</v>
      </c>
      <c r="E76" s="123">
        <v>80</v>
      </c>
      <c r="F76" s="123"/>
      <c r="G76" s="123">
        <f t="shared" si="49"/>
        <v>80</v>
      </c>
      <c r="H76" s="123"/>
      <c r="I76" s="123">
        <f t="shared" si="50"/>
        <v>80</v>
      </c>
      <c r="J76" s="123"/>
      <c r="K76" s="123">
        <f t="shared" si="51"/>
        <v>80</v>
      </c>
      <c r="L76" s="123"/>
      <c r="M76" s="123">
        <f t="shared" si="52"/>
        <v>80</v>
      </c>
      <c r="N76" s="123"/>
      <c r="O76" s="123">
        <f t="shared" si="53"/>
        <v>80</v>
      </c>
      <c r="P76" s="123">
        <v>-3</v>
      </c>
      <c r="Q76" s="123">
        <f t="shared" si="54"/>
        <v>77</v>
      </c>
      <c r="R76" s="123"/>
      <c r="S76" s="123">
        <f t="shared" si="55"/>
        <v>77</v>
      </c>
      <c r="T76" s="123"/>
      <c r="U76" s="123">
        <f t="shared" si="56"/>
        <v>77</v>
      </c>
      <c r="V76" s="123"/>
      <c r="W76" s="123">
        <f t="shared" si="57"/>
        <v>77</v>
      </c>
      <c r="X76" s="123"/>
      <c r="Y76" s="123">
        <f t="shared" si="58"/>
        <v>77</v>
      </c>
    </row>
    <row r="77" spans="1:25" s="15" customFormat="1" ht="21.75" customHeight="1">
      <c r="A77" s="121"/>
      <c r="B77" s="121"/>
      <c r="C77" s="121"/>
      <c r="D77" s="122" t="s">
        <v>348</v>
      </c>
      <c r="E77" s="123">
        <v>80</v>
      </c>
      <c r="F77" s="123"/>
      <c r="G77" s="123">
        <f t="shared" si="49"/>
        <v>80</v>
      </c>
      <c r="H77" s="123"/>
      <c r="I77" s="123">
        <f t="shared" si="50"/>
        <v>80</v>
      </c>
      <c r="J77" s="123"/>
      <c r="K77" s="123">
        <f t="shared" si="51"/>
        <v>80</v>
      </c>
      <c r="L77" s="123"/>
      <c r="M77" s="123">
        <f t="shared" si="52"/>
        <v>80</v>
      </c>
      <c r="N77" s="123"/>
      <c r="O77" s="123">
        <f t="shared" si="53"/>
        <v>80</v>
      </c>
      <c r="P77" s="123"/>
      <c r="Q77" s="123">
        <f t="shared" si="54"/>
        <v>80</v>
      </c>
      <c r="R77" s="123"/>
      <c r="S77" s="123">
        <f t="shared" si="55"/>
        <v>80</v>
      </c>
      <c r="T77" s="123"/>
      <c r="U77" s="123">
        <f t="shared" si="56"/>
        <v>80</v>
      </c>
      <c r="V77" s="123"/>
      <c r="W77" s="123">
        <f t="shared" si="57"/>
        <v>80</v>
      </c>
      <c r="X77" s="123"/>
      <c r="Y77" s="123">
        <f t="shared" si="58"/>
        <v>80</v>
      </c>
    </row>
    <row r="78" spans="1:25" s="15" customFormat="1" ht="21.75" customHeight="1">
      <c r="A78" s="121"/>
      <c r="B78" s="121"/>
      <c r="C78" s="121"/>
      <c r="D78" s="122" t="s">
        <v>351</v>
      </c>
      <c r="E78" s="123">
        <v>80</v>
      </c>
      <c r="F78" s="123"/>
      <c r="G78" s="123">
        <f t="shared" si="49"/>
        <v>80</v>
      </c>
      <c r="H78" s="123"/>
      <c r="I78" s="123">
        <f t="shared" si="50"/>
        <v>80</v>
      </c>
      <c r="J78" s="123"/>
      <c r="K78" s="123">
        <f t="shared" si="51"/>
        <v>80</v>
      </c>
      <c r="L78" s="123"/>
      <c r="M78" s="123">
        <f t="shared" si="52"/>
        <v>80</v>
      </c>
      <c r="N78" s="123"/>
      <c r="O78" s="123">
        <f t="shared" si="53"/>
        <v>80</v>
      </c>
      <c r="P78" s="123"/>
      <c r="Q78" s="123">
        <f t="shared" si="54"/>
        <v>80</v>
      </c>
      <c r="R78" s="123"/>
      <c r="S78" s="123">
        <f t="shared" si="55"/>
        <v>80</v>
      </c>
      <c r="T78" s="123"/>
      <c r="U78" s="123">
        <f t="shared" si="56"/>
        <v>80</v>
      </c>
      <c r="V78" s="123"/>
      <c r="W78" s="123">
        <f t="shared" si="57"/>
        <v>80</v>
      </c>
      <c r="X78" s="123"/>
      <c r="Y78" s="123">
        <f t="shared" si="58"/>
        <v>80</v>
      </c>
    </row>
    <row r="79" spans="1:25" s="15" customFormat="1" ht="21.75" customHeight="1">
      <c r="A79" s="121"/>
      <c r="B79" s="121"/>
      <c r="C79" s="121"/>
      <c r="D79" s="122" t="s">
        <v>342</v>
      </c>
      <c r="E79" s="123">
        <v>80</v>
      </c>
      <c r="F79" s="123"/>
      <c r="G79" s="123">
        <f t="shared" si="49"/>
        <v>80</v>
      </c>
      <c r="H79" s="123"/>
      <c r="I79" s="123">
        <f t="shared" si="50"/>
        <v>80</v>
      </c>
      <c r="J79" s="123"/>
      <c r="K79" s="123">
        <f t="shared" si="51"/>
        <v>80</v>
      </c>
      <c r="L79" s="123"/>
      <c r="M79" s="123">
        <f t="shared" si="52"/>
        <v>80</v>
      </c>
      <c r="N79" s="123"/>
      <c r="O79" s="123">
        <f t="shared" si="53"/>
        <v>80</v>
      </c>
      <c r="P79" s="123"/>
      <c r="Q79" s="123">
        <f t="shared" si="54"/>
        <v>80</v>
      </c>
      <c r="R79" s="123"/>
      <c r="S79" s="123">
        <f t="shared" si="55"/>
        <v>80</v>
      </c>
      <c r="T79" s="123"/>
      <c r="U79" s="123">
        <f t="shared" si="56"/>
        <v>80</v>
      </c>
      <c r="V79" s="123"/>
      <c r="W79" s="123">
        <f t="shared" si="57"/>
        <v>80</v>
      </c>
      <c r="X79" s="123"/>
      <c r="Y79" s="123">
        <f t="shared" si="58"/>
        <v>80</v>
      </c>
    </row>
    <row r="80" spans="1:25" s="15" customFormat="1" ht="21.75" customHeight="1">
      <c r="A80" s="121"/>
      <c r="B80" s="121"/>
      <c r="C80" s="121"/>
      <c r="D80" s="122" t="s">
        <v>349</v>
      </c>
      <c r="E80" s="123">
        <v>80</v>
      </c>
      <c r="F80" s="123"/>
      <c r="G80" s="123">
        <f t="shared" si="49"/>
        <v>80</v>
      </c>
      <c r="H80" s="123"/>
      <c r="I80" s="123">
        <f t="shared" si="50"/>
        <v>80</v>
      </c>
      <c r="J80" s="123"/>
      <c r="K80" s="123">
        <f t="shared" si="51"/>
        <v>80</v>
      </c>
      <c r="L80" s="123"/>
      <c r="M80" s="123">
        <f t="shared" si="52"/>
        <v>80</v>
      </c>
      <c r="N80" s="123"/>
      <c r="O80" s="123">
        <f t="shared" si="53"/>
        <v>80</v>
      </c>
      <c r="P80" s="123"/>
      <c r="Q80" s="123">
        <f t="shared" si="54"/>
        <v>80</v>
      </c>
      <c r="R80" s="123"/>
      <c r="S80" s="123">
        <f t="shared" si="55"/>
        <v>80</v>
      </c>
      <c r="T80" s="123"/>
      <c r="U80" s="123">
        <f t="shared" si="56"/>
        <v>80</v>
      </c>
      <c r="V80" s="123"/>
      <c r="W80" s="123">
        <f t="shared" si="57"/>
        <v>80</v>
      </c>
      <c r="X80" s="123"/>
      <c r="Y80" s="123">
        <f t="shared" si="58"/>
        <v>80</v>
      </c>
    </row>
    <row r="81" spans="1:25" s="15" customFormat="1" ht="21.75" customHeight="1">
      <c r="A81" s="121"/>
      <c r="B81" s="121"/>
      <c r="C81" s="121"/>
      <c r="D81" s="122" t="s">
        <v>352</v>
      </c>
      <c r="E81" s="123">
        <v>80</v>
      </c>
      <c r="F81" s="123"/>
      <c r="G81" s="123">
        <f t="shared" si="49"/>
        <v>80</v>
      </c>
      <c r="H81" s="123"/>
      <c r="I81" s="123">
        <f t="shared" si="50"/>
        <v>80</v>
      </c>
      <c r="J81" s="123"/>
      <c r="K81" s="123">
        <f t="shared" si="51"/>
        <v>80</v>
      </c>
      <c r="L81" s="123"/>
      <c r="M81" s="123">
        <f t="shared" si="52"/>
        <v>80</v>
      </c>
      <c r="N81" s="123"/>
      <c r="O81" s="123">
        <f t="shared" si="53"/>
        <v>80</v>
      </c>
      <c r="P81" s="123"/>
      <c r="Q81" s="123">
        <f t="shared" si="54"/>
        <v>80</v>
      </c>
      <c r="R81" s="123"/>
      <c r="S81" s="123">
        <f t="shared" si="55"/>
        <v>80</v>
      </c>
      <c r="T81" s="123"/>
      <c r="U81" s="123">
        <f t="shared" si="56"/>
        <v>80</v>
      </c>
      <c r="V81" s="123"/>
      <c r="W81" s="123">
        <f t="shared" si="57"/>
        <v>80</v>
      </c>
      <c r="X81" s="123"/>
      <c r="Y81" s="123">
        <f t="shared" si="58"/>
        <v>80</v>
      </c>
    </row>
    <row r="82" spans="1:25" s="4" customFormat="1" ht="24" customHeight="1">
      <c r="A82" s="115"/>
      <c r="B82" s="114">
        <v>75075</v>
      </c>
      <c r="C82" s="115"/>
      <c r="D82" s="116" t="s">
        <v>173</v>
      </c>
      <c r="E82" s="113">
        <f aca="true" t="shared" si="59" ref="E82:Q82">SUM(E83,E102)</f>
        <v>25320</v>
      </c>
      <c r="F82" s="113">
        <f t="shared" si="59"/>
        <v>0</v>
      </c>
      <c r="G82" s="113">
        <f t="shared" si="59"/>
        <v>25320</v>
      </c>
      <c r="H82" s="113">
        <f t="shared" si="59"/>
        <v>0</v>
      </c>
      <c r="I82" s="113">
        <f t="shared" si="59"/>
        <v>25320</v>
      </c>
      <c r="J82" s="113">
        <f t="shared" si="59"/>
        <v>-3000</v>
      </c>
      <c r="K82" s="113">
        <f t="shared" si="59"/>
        <v>22320</v>
      </c>
      <c r="L82" s="113">
        <f t="shared" si="59"/>
        <v>0</v>
      </c>
      <c r="M82" s="113">
        <f t="shared" si="59"/>
        <v>22320</v>
      </c>
      <c r="N82" s="113">
        <f t="shared" si="59"/>
        <v>0</v>
      </c>
      <c r="O82" s="113">
        <f t="shared" si="59"/>
        <v>22320</v>
      </c>
      <c r="P82" s="113">
        <f t="shared" si="59"/>
        <v>-4100</v>
      </c>
      <c r="Q82" s="113">
        <f t="shared" si="59"/>
        <v>18220</v>
      </c>
      <c r="R82" s="113">
        <f aca="true" t="shared" si="60" ref="R82:W82">SUM(R83,R102)</f>
        <v>0</v>
      </c>
      <c r="S82" s="113">
        <f t="shared" si="60"/>
        <v>18220</v>
      </c>
      <c r="T82" s="113">
        <f t="shared" si="60"/>
        <v>-1620</v>
      </c>
      <c r="U82" s="113">
        <f t="shared" si="60"/>
        <v>16600</v>
      </c>
      <c r="V82" s="113">
        <f t="shared" si="60"/>
        <v>0</v>
      </c>
      <c r="W82" s="113">
        <f t="shared" si="60"/>
        <v>16600</v>
      </c>
      <c r="X82" s="113">
        <f>SUM(X83,X102)</f>
        <v>0</v>
      </c>
      <c r="Y82" s="113">
        <f>SUM(Y83,Y102)</f>
        <v>16600</v>
      </c>
    </row>
    <row r="83" spans="1:25" s="15" customFormat="1" ht="21.75" customHeight="1">
      <c r="A83" s="117"/>
      <c r="B83" s="117"/>
      <c r="C83" s="117" t="s">
        <v>350</v>
      </c>
      <c r="D83" s="119" t="s">
        <v>82</v>
      </c>
      <c r="E83" s="120">
        <f aca="true" t="shared" si="61" ref="E83:Q83">SUM(E84:E101)</f>
        <v>18270</v>
      </c>
      <c r="F83" s="120">
        <f t="shared" si="61"/>
        <v>0</v>
      </c>
      <c r="G83" s="120">
        <f t="shared" si="61"/>
        <v>18270</v>
      </c>
      <c r="H83" s="120">
        <f t="shared" si="61"/>
        <v>0</v>
      </c>
      <c r="I83" s="120">
        <f t="shared" si="61"/>
        <v>18270</v>
      </c>
      <c r="J83" s="120">
        <f t="shared" si="61"/>
        <v>-3000</v>
      </c>
      <c r="K83" s="120">
        <f t="shared" si="61"/>
        <v>15270</v>
      </c>
      <c r="L83" s="120">
        <f t="shared" si="61"/>
        <v>0</v>
      </c>
      <c r="M83" s="120">
        <f t="shared" si="61"/>
        <v>15270</v>
      </c>
      <c r="N83" s="120">
        <f t="shared" si="61"/>
        <v>0</v>
      </c>
      <c r="O83" s="120">
        <f t="shared" si="61"/>
        <v>15270</v>
      </c>
      <c r="P83" s="120">
        <f t="shared" si="61"/>
        <v>-3500</v>
      </c>
      <c r="Q83" s="120">
        <f t="shared" si="61"/>
        <v>11770</v>
      </c>
      <c r="R83" s="120">
        <f aca="true" t="shared" si="62" ref="R83:W83">SUM(R84:R101)</f>
        <v>0</v>
      </c>
      <c r="S83" s="120">
        <f t="shared" si="62"/>
        <v>11770</v>
      </c>
      <c r="T83" s="120">
        <f t="shared" si="62"/>
        <v>-120</v>
      </c>
      <c r="U83" s="120">
        <f t="shared" si="62"/>
        <v>11650</v>
      </c>
      <c r="V83" s="120">
        <f t="shared" si="62"/>
        <v>0</v>
      </c>
      <c r="W83" s="120">
        <f t="shared" si="62"/>
        <v>11650</v>
      </c>
      <c r="X83" s="120">
        <f>SUM(X84:X101)</f>
        <v>0</v>
      </c>
      <c r="Y83" s="120">
        <f>SUM(Y84:Y101)</f>
        <v>11650</v>
      </c>
    </row>
    <row r="84" spans="1:25" s="15" customFormat="1" ht="21.75" customHeight="1">
      <c r="A84" s="121"/>
      <c r="B84" s="121"/>
      <c r="C84" s="121"/>
      <c r="D84" s="122" t="s">
        <v>343</v>
      </c>
      <c r="E84" s="123">
        <v>1350</v>
      </c>
      <c r="F84" s="123"/>
      <c r="G84" s="123">
        <f aca="true" t="shared" si="63" ref="G84:G101">SUM(E84:F84)</f>
        <v>1350</v>
      </c>
      <c r="H84" s="123"/>
      <c r="I84" s="123">
        <f aca="true" t="shared" si="64" ref="I84:I101">SUM(G84:H84)</f>
        <v>1350</v>
      </c>
      <c r="J84" s="123"/>
      <c r="K84" s="123">
        <f aca="true" t="shared" si="65" ref="K84:K101">SUM(I84:J84)</f>
        <v>1350</v>
      </c>
      <c r="L84" s="123"/>
      <c r="M84" s="123">
        <f aca="true" t="shared" si="66" ref="M84:M101">SUM(K84:L84)</f>
        <v>1350</v>
      </c>
      <c r="N84" s="123"/>
      <c r="O84" s="123">
        <f aca="true" t="shared" si="67" ref="O84:O101">SUM(M84:N84)</f>
        <v>1350</v>
      </c>
      <c r="P84" s="123">
        <v>-1000</v>
      </c>
      <c r="Q84" s="123">
        <f aca="true" t="shared" si="68" ref="Q84:Q101">SUM(O84:P84)</f>
        <v>350</v>
      </c>
      <c r="R84" s="123"/>
      <c r="S84" s="123">
        <f aca="true" t="shared" si="69" ref="S84:S101">SUM(Q84:R84)</f>
        <v>350</v>
      </c>
      <c r="T84" s="123"/>
      <c r="U84" s="123">
        <f aca="true" t="shared" si="70" ref="U84:U101">SUM(S84:T84)</f>
        <v>350</v>
      </c>
      <c r="V84" s="123"/>
      <c r="W84" s="123">
        <f aca="true" t="shared" si="71" ref="W84:W101">SUM(U84:V84)</f>
        <v>350</v>
      </c>
      <c r="X84" s="123"/>
      <c r="Y84" s="123">
        <f aca="true" t="shared" si="72" ref="Y84:Y101">SUM(W84:X84)</f>
        <v>350</v>
      </c>
    </row>
    <row r="85" spans="1:25" s="15" customFormat="1" ht="21.75" customHeight="1">
      <c r="A85" s="121"/>
      <c r="B85" s="121"/>
      <c r="C85" s="121"/>
      <c r="D85" s="122" t="s">
        <v>344</v>
      </c>
      <c r="E85" s="123">
        <v>500</v>
      </c>
      <c r="F85" s="123"/>
      <c r="G85" s="123">
        <f t="shared" si="63"/>
        <v>500</v>
      </c>
      <c r="H85" s="123"/>
      <c r="I85" s="123">
        <f t="shared" si="64"/>
        <v>500</v>
      </c>
      <c r="J85" s="123"/>
      <c r="K85" s="123">
        <f t="shared" si="65"/>
        <v>500</v>
      </c>
      <c r="L85" s="123"/>
      <c r="M85" s="123">
        <f t="shared" si="66"/>
        <v>500</v>
      </c>
      <c r="N85" s="123"/>
      <c r="O85" s="123">
        <f t="shared" si="67"/>
        <v>500</v>
      </c>
      <c r="P85" s="123"/>
      <c r="Q85" s="123">
        <f t="shared" si="68"/>
        <v>500</v>
      </c>
      <c r="R85" s="123"/>
      <c r="S85" s="123">
        <f t="shared" si="69"/>
        <v>500</v>
      </c>
      <c r="T85" s="123"/>
      <c r="U85" s="123">
        <f t="shared" si="70"/>
        <v>500</v>
      </c>
      <c r="V85" s="123"/>
      <c r="W85" s="123">
        <f t="shared" si="71"/>
        <v>500</v>
      </c>
      <c r="X85" s="123"/>
      <c r="Y85" s="123">
        <f t="shared" si="72"/>
        <v>500</v>
      </c>
    </row>
    <row r="86" spans="1:25" s="15" customFormat="1" ht="21.75" customHeight="1">
      <c r="A86" s="121"/>
      <c r="B86" s="121"/>
      <c r="C86" s="121"/>
      <c r="D86" s="122" t="s">
        <v>332</v>
      </c>
      <c r="E86" s="123">
        <v>500</v>
      </c>
      <c r="F86" s="123"/>
      <c r="G86" s="123">
        <f t="shared" si="63"/>
        <v>500</v>
      </c>
      <c r="H86" s="123"/>
      <c r="I86" s="123">
        <f t="shared" si="64"/>
        <v>500</v>
      </c>
      <c r="J86" s="123"/>
      <c r="K86" s="123">
        <f t="shared" si="65"/>
        <v>500</v>
      </c>
      <c r="L86" s="123"/>
      <c r="M86" s="123">
        <f t="shared" si="66"/>
        <v>500</v>
      </c>
      <c r="N86" s="123"/>
      <c r="O86" s="123">
        <f t="shared" si="67"/>
        <v>500</v>
      </c>
      <c r="P86" s="123"/>
      <c r="Q86" s="123">
        <f t="shared" si="68"/>
        <v>500</v>
      </c>
      <c r="R86" s="123"/>
      <c r="S86" s="123">
        <f t="shared" si="69"/>
        <v>500</v>
      </c>
      <c r="T86" s="123"/>
      <c r="U86" s="123">
        <f t="shared" si="70"/>
        <v>500</v>
      </c>
      <c r="V86" s="123"/>
      <c r="W86" s="123">
        <f t="shared" si="71"/>
        <v>500</v>
      </c>
      <c r="X86" s="123"/>
      <c r="Y86" s="123">
        <f t="shared" si="72"/>
        <v>500</v>
      </c>
    </row>
    <row r="87" spans="1:25" s="15" customFormat="1" ht="21.75" customHeight="1">
      <c r="A87" s="121"/>
      <c r="B87" s="121"/>
      <c r="C87" s="121"/>
      <c r="D87" s="122" t="s">
        <v>333</v>
      </c>
      <c r="E87" s="123">
        <v>1000</v>
      </c>
      <c r="F87" s="123"/>
      <c r="G87" s="123">
        <f t="shared" si="63"/>
        <v>1000</v>
      </c>
      <c r="H87" s="123"/>
      <c r="I87" s="123">
        <f t="shared" si="64"/>
        <v>1000</v>
      </c>
      <c r="J87" s="123">
        <v>-1000</v>
      </c>
      <c r="K87" s="123">
        <f t="shared" si="65"/>
        <v>0</v>
      </c>
      <c r="L87" s="123"/>
      <c r="M87" s="123">
        <f t="shared" si="66"/>
        <v>0</v>
      </c>
      <c r="N87" s="123"/>
      <c r="O87" s="123">
        <f t="shared" si="67"/>
        <v>0</v>
      </c>
      <c r="P87" s="123"/>
      <c r="Q87" s="123">
        <f t="shared" si="68"/>
        <v>0</v>
      </c>
      <c r="R87" s="123"/>
      <c r="S87" s="123">
        <f t="shared" si="69"/>
        <v>0</v>
      </c>
      <c r="T87" s="123"/>
      <c r="U87" s="123">
        <f t="shared" si="70"/>
        <v>0</v>
      </c>
      <c r="V87" s="123"/>
      <c r="W87" s="123">
        <f t="shared" si="71"/>
        <v>0</v>
      </c>
      <c r="X87" s="123"/>
      <c r="Y87" s="123">
        <f t="shared" si="72"/>
        <v>0</v>
      </c>
    </row>
    <row r="88" spans="1:25" s="15" customFormat="1" ht="21.75" customHeight="1">
      <c r="A88" s="121"/>
      <c r="B88" s="121"/>
      <c r="C88" s="121"/>
      <c r="D88" s="122" t="s">
        <v>345</v>
      </c>
      <c r="E88" s="123">
        <v>1400</v>
      </c>
      <c r="F88" s="123"/>
      <c r="G88" s="123">
        <f t="shared" si="63"/>
        <v>1400</v>
      </c>
      <c r="H88" s="123"/>
      <c r="I88" s="123">
        <f t="shared" si="64"/>
        <v>1400</v>
      </c>
      <c r="J88" s="123"/>
      <c r="K88" s="123">
        <f t="shared" si="65"/>
        <v>1400</v>
      </c>
      <c r="L88" s="123"/>
      <c r="M88" s="123">
        <f t="shared" si="66"/>
        <v>1400</v>
      </c>
      <c r="N88" s="123"/>
      <c r="O88" s="123">
        <f t="shared" si="67"/>
        <v>1400</v>
      </c>
      <c r="P88" s="123"/>
      <c r="Q88" s="123">
        <f t="shared" si="68"/>
        <v>1400</v>
      </c>
      <c r="R88" s="123"/>
      <c r="S88" s="123">
        <f t="shared" si="69"/>
        <v>1400</v>
      </c>
      <c r="T88" s="123"/>
      <c r="U88" s="123">
        <f t="shared" si="70"/>
        <v>1400</v>
      </c>
      <c r="V88" s="123"/>
      <c r="W88" s="123">
        <f t="shared" si="71"/>
        <v>1400</v>
      </c>
      <c r="X88" s="123"/>
      <c r="Y88" s="123">
        <f t="shared" si="72"/>
        <v>1400</v>
      </c>
    </row>
    <row r="89" spans="1:25" s="15" customFormat="1" ht="21.75" customHeight="1">
      <c r="A89" s="121"/>
      <c r="B89" s="121"/>
      <c r="C89" s="121"/>
      <c r="D89" s="122" t="s">
        <v>334</v>
      </c>
      <c r="E89" s="123">
        <v>500</v>
      </c>
      <c r="F89" s="123"/>
      <c r="G89" s="123">
        <f t="shared" si="63"/>
        <v>500</v>
      </c>
      <c r="H89" s="123"/>
      <c r="I89" s="123">
        <f t="shared" si="64"/>
        <v>500</v>
      </c>
      <c r="J89" s="123">
        <v>-500</v>
      </c>
      <c r="K89" s="123">
        <f t="shared" si="65"/>
        <v>0</v>
      </c>
      <c r="L89" s="123"/>
      <c r="M89" s="123">
        <f t="shared" si="66"/>
        <v>0</v>
      </c>
      <c r="N89" s="123"/>
      <c r="O89" s="123">
        <f t="shared" si="67"/>
        <v>0</v>
      </c>
      <c r="P89" s="123"/>
      <c r="Q89" s="123">
        <f t="shared" si="68"/>
        <v>0</v>
      </c>
      <c r="R89" s="123"/>
      <c r="S89" s="123">
        <f t="shared" si="69"/>
        <v>0</v>
      </c>
      <c r="T89" s="123"/>
      <c r="U89" s="123">
        <f t="shared" si="70"/>
        <v>0</v>
      </c>
      <c r="V89" s="123"/>
      <c r="W89" s="123">
        <f t="shared" si="71"/>
        <v>0</v>
      </c>
      <c r="X89" s="123"/>
      <c r="Y89" s="123">
        <f t="shared" si="72"/>
        <v>0</v>
      </c>
    </row>
    <row r="90" spans="1:25" s="15" customFormat="1" ht="21.75" customHeight="1">
      <c r="A90" s="121"/>
      <c r="B90" s="121"/>
      <c r="C90" s="121"/>
      <c r="D90" s="122" t="s">
        <v>335</v>
      </c>
      <c r="E90" s="123">
        <v>2000</v>
      </c>
      <c r="F90" s="123"/>
      <c r="G90" s="123">
        <f t="shared" si="63"/>
        <v>2000</v>
      </c>
      <c r="H90" s="123"/>
      <c r="I90" s="123">
        <f t="shared" si="64"/>
        <v>2000</v>
      </c>
      <c r="J90" s="123"/>
      <c r="K90" s="123">
        <f t="shared" si="65"/>
        <v>2000</v>
      </c>
      <c r="L90" s="123"/>
      <c r="M90" s="123">
        <f t="shared" si="66"/>
        <v>2000</v>
      </c>
      <c r="N90" s="123"/>
      <c r="O90" s="123">
        <f t="shared" si="67"/>
        <v>2000</v>
      </c>
      <c r="P90" s="123"/>
      <c r="Q90" s="123">
        <f t="shared" si="68"/>
        <v>2000</v>
      </c>
      <c r="R90" s="123"/>
      <c r="S90" s="123">
        <f t="shared" si="69"/>
        <v>2000</v>
      </c>
      <c r="T90" s="123"/>
      <c r="U90" s="123">
        <f t="shared" si="70"/>
        <v>2000</v>
      </c>
      <c r="V90" s="123"/>
      <c r="W90" s="123">
        <f t="shared" si="71"/>
        <v>2000</v>
      </c>
      <c r="X90" s="123"/>
      <c r="Y90" s="123">
        <f t="shared" si="72"/>
        <v>2000</v>
      </c>
    </row>
    <row r="91" spans="1:25" s="15" customFormat="1" ht="21.75" customHeight="1">
      <c r="A91" s="121"/>
      <c r="B91" s="121"/>
      <c r="C91" s="121"/>
      <c r="D91" s="122" t="s">
        <v>336</v>
      </c>
      <c r="E91" s="123">
        <v>1300</v>
      </c>
      <c r="F91" s="123"/>
      <c r="G91" s="123">
        <f t="shared" si="63"/>
        <v>1300</v>
      </c>
      <c r="H91" s="123"/>
      <c r="I91" s="123">
        <f t="shared" si="64"/>
        <v>1300</v>
      </c>
      <c r="J91" s="123"/>
      <c r="K91" s="123">
        <f t="shared" si="65"/>
        <v>1300</v>
      </c>
      <c r="L91" s="123"/>
      <c r="M91" s="123">
        <f t="shared" si="66"/>
        <v>1300</v>
      </c>
      <c r="N91" s="123"/>
      <c r="O91" s="123">
        <f t="shared" si="67"/>
        <v>1300</v>
      </c>
      <c r="P91" s="123"/>
      <c r="Q91" s="123">
        <f t="shared" si="68"/>
        <v>1300</v>
      </c>
      <c r="R91" s="123"/>
      <c r="S91" s="123">
        <f t="shared" si="69"/>
        <v>1300</v>
      </c>
      <c r="T91" s="123"/>
      <c r="U91" s="123">
        <f t="shared" si="70"/>
        <v>1300</v>
      </c>
      <c r="V91" s="123"/>
      <c r="W91" s="123">
        <f t="shared" si="71"/>
        <v>1300</v>
      </c>
      <c r="X91" s="123"/>
      <c r="Y91" s="123">
        <f t="shared" si="72"/>
        <v>1300</v>
      </c>
    </row>
    <row r="92" spans="1:25" s="15" customFormat="1" ht="21.75" customHeight="1">
      <c r="A92" s="121"/>
      <c r="B92" s="121"/>
      <c r="C92" s="121"/>
      <c r="D92" s="122" t="s">
        <v>346</v>
      </c>
      <c r="E92" s="123">
        <v>1900</v>
      </c>
      <c r="F92" s="123"/>
      <c r="G92" s="123">
        <f t="shared" si="63"/>
        <v>1900</v>
      </c>
      <c r="H92" s="123"/>
      <c r="I92" s="123">
        <f t="shared" si="64"/>
        <v>1900</v>
      </c>
      <c r="J92" s="123"/>
      <c r="K92" s="123">
        <f t="shared" si="65"/>
        <v>1900</v>
      </c>
      <c r="L92" s="123"/>
      <c r="M92" s="123">
        <f t="shared" si="66"/>
        <v>1900</v>
      </c>
      <c r="N92" s="123"/>
      <c r="O92" s="123">
        <f t="shared" si="67"/>
        <v>1900</v>
      </c>
      <c r="P92" s="123">
        <v>-1900</v>
      </c>
      <c r="Q92" s="123">
        <f t="shared" si="68"/>
        <v>0</v>
      </c>
      <c r="R92" s="123"/>
      <c r="S92" s="123">
        <f t="shared" si="69"/>
        <v>0</v>
      </c>
      <c r="T92" s="123"/>
      <c r="U92" s="123">
        <f t="shared" si="70"/>
        <v>0</v>
      </c>
      <c r="V92" s="123"/>
      <c r="W92" s="123">
        <f t="shared" si="71"/>
        <v>0</v>
      </c>
      <c r="X92" s="123"/>
      <c r="Y92" s="123">
        <f t="shared" si="72"/>
        <v>0</v>
      </c>
    </row>
    <row r="93" spans="1:25" s="15" customFormat="1" ht="21.75" customHeight="1">
      <c r="A93" s="121"/>
      <c r="B93" s="121"/>
      <c r="C93" s="121"/>
      <c r="D93" s="122" t="s">
        <v>337</v>
      </c>
      <c r="E93" s="123">
        <v>300</v>
      </c>
      <c r="F93" s="123"/>
      <c r="G93" s="123">
        <f t="shared" si="63"/>
        <v>300</v>
      </c>
      <c r="H93" s="123"/>
      <c r="I93" s="123">
        <f t="shared" si="64"/>
        <v>300</v>
      </c>
      <c r="J93" s="123"/>
      <c r="K93" s="123">
        <f t="shared" si="65"/>
        <v>300</v>
      </c>
      <c r="L93" s="123"/>
      <c r="M93" s="123">
        <f t="shared" si="66"/>
        <v>300</v>
      </c>
      <c r="N93" s="123"/>
      <c r="O93" s="123">
        <f t="shared" si="67"/>
        <v>300</v>
      </c>
      <c r="P93" s="123"/>
      <c r="Q93" s="123">
        <f t="shared" si="68"/>
        <v>300</v>
      </c>
      <c r="R93" s="123"/>
      <c r="S93" s="123">
        <f t="shared" si="69"/>
        <v>300</v>
      </c>
      <c r="T93" s="123"/>
      <c r="U93" s="123">
        <f t="shared" si="70"/>
        <v>300</v>
      </c>
      <c r="V93" s="123"/>
      <c r="W93" s="123">
        <f t="shared" si="71"/>
        <v>300</v>
      </c>
      <c r="X93" s="123"/>
      <c r="Y93" s="123">
        <f t="shared" si="72"/>
        <v>300</v>
      </c>
    </row>
    <row r="94" spans="1:25" s="15" customFormat="1" ht="21.75" customHeight="1">
      <c r="A94" s="121"/>
      <c r="B94" s="121"/>
      <c r="C94" s="121"/>
      <c r="D94" s="122" t="s">
        <v>338</v>
      </c>
      <c r="E94" s="123">
        <v>1000</v>
      </c>
      <c r="F94" s="123"/>
      <c r="G94" s="123">
        <f t="shared" si="63"/>
        <v>1000</v>
      </c>
      <c r="H94" s="123"/>
      <c r="I94" s="123">
        <f t="shared" si="64"/>
        <v>1000</v>
      </c>
      <c r="J94" s="123"/>
      <c r="K94" s="123">
        <f t="shared" si="65"/>
        <v>1000</v>
      </c>
      <c r="L94" s="123"/>
      <c r="M94" s="123">
        <f t="shared" si="66"/>
        <v>1000</v>
      </c>
      <c r="N94" s="123"/>
      <c r="O94" s="123">
        <f t="shared" si="67"/>
        <v>1000</v>
      </c>
      <c r="P94" s="123"/>
      <c r="Q94" s="123">
        <f t="shared" si="68"/>
        <v>1000</v>
      </c>
      <c r="R94" s="123"/>
      <c r="S94" s="123">
        <f t="shared" si="69"/>
        <v>1000</v>
      </c>
      <c r="T94" s="123"/>
      <c r="U94" s="123">
        <f t="shared" si="70"/>
        <v>1000</v>
      </c>
      <c r="V94" s="123"/>
      <c r="W94" s="123">
        <f t="shared" si="71"/>
        <v>1000</v>
      </c>
      <c r="X94" s="123"/>
      <c r="Y94" s="123">
        <f t="shared" si="72"/>
        <v>1000</v>
      </c>
    </row>
    <row r="95" spans="1:25" s="15" customFormat="1" ht="21.75" customHeight="1">
      <c r="A95" s="121"/>
      <c r="B95" s="121"/>
      <c r="C95" s="121"/>
      <c r="D95" s="122" t="s">
        <v>340</v>
      </c>
      <c r="E95" s="123">
        <v>720</v>
      </c>
      <c r="F95" s="123"/>
      <c r="G95" s="123">
        <f t="shared" si="63"/>
        <v>720</v>
      </c>
      <c r="H95" s="123"/>
      <c r="I95" s="123">
        <f t="shared" si="64"/>
        <v>720</v>
      </c>
      <c r="J95" s="123"/>
      <c r="K95" s="123">
        <f t="shared" si="65"/>
        <v>720</v>
      </c>
      <c r="L95" s="123"/>
      <c r="M95" s="123">
        <f t="shared" si="66"/>
        <v>720</v>
      </c>
      <c r="N95" s="123"/>
      <c r="O95" s="123">
        <f t="shared" si="67"/>
        <v>720</v>
      </c>
      <c r="P95" s="123"/>
      <c r="Q95" s="123">
        <f t="shared" si="68"/>
        <v>720</v>
      </c>
      <c r="R95" s="123"/>
      <c r="S95" s="123">
        <f t="shared" si="69"/>
        <v>720</v>
      </c>
      <c r="T95" s="123"/>
      <c r="U95" s="123">
        <f t="shared" si="70"/>
        <v>720</v>
      </c>
      <c r="V95" s="123"/>
      <c r="W95" s="123">
        <f t="shared" si="71"/>
        <v>720</v>
      </c>
      <c r="X95" s="123"/>
      <c r="Y95" s="123">
        <f t="shared" si="72"/>
        <v>720</v>
      </c>
    </row>
    <row r="96" spans="1:25" s="15" customFormat="1" ht="21.75" customHeight="1">
      <c r="A96" s="121"/>
      <c r="B96" s="121"/>
      <c r="C96" s="121"/>
      <c r="D96" s="122" t="s">
        <v>341</v>
      </c>
      <c r="E96" s="123">
        <v>600</v>
      </c>
      <c r="F96" s="123"/>
      <c r="G96" s="123">
        <f t="shared" si="63"/>
        <v>600</v>
      </c>
      <c r="H96" s="123"/>
      <c r="I96" s="123">
        <f t="shared" si="64"/>
        <v>600</v>
      </c>
      <c r="J96" s="123"/>
      <c r="K96" s="123">
        <f t="shared" si="65"/>
        <v>600</v>
      </c>
      <c r="L96" s="123"/>
      <c r="M96" s="123">
        <f t="shared" si="66"/>
        <v>600</v>
      </c>
      <c r="N96" s="123"/>
      <c r="O96" s="123">
        <f t="shared" si="67"/>
        <v>600</v>
      </c>
      <c r="P96" s="123">
        <v>-600</v>
      </c>
      <c r="Q96" s="123">
        <f t="shared" si="68"/>
        <v>0</v>
      </c>
      <c r="R96" s="123"/>
      <c r="S96" s="123">
        <f t="shared" si="69"/>
        <v>0</v>
      </c>
      <c r="T96" s="123"/>
      <c r="U96" s="123">
        <f t="shared" si="70"/>
        <v>0</v>
      </c>
      <c r="V96" s="123"/>
      <c r="W96" s="123">
        <f t="shared" si="71"/>
        <v>0</v>
      </c>
      <c r="X96" s="123"/>
      <c r="Y96" s="123">
        <f t="shared" si="72"/>
        <v>0</v>
      </c>
    </row>
    <row r="97" spans="1:25" s="15" customFormat="1" ht="21.75" customHeight="1">
      <c r="A97" s="121"/>
      <c r="B97" s="121"/>
      <c r="C97" s="121"/>
      <c r="D97" s="122" t="s">
        <v>347</v>
      </c>
      <c r="E97" s="123">
        <v>1500</v>
      </c>
      <c r="F97" s="123"/>
      <c r="G97" s="123">
        <f t="shared" si="63"/>
        <v>1500</v>
      </c>
      <c r="H97" s="123"/>
      <c r="I97" s="123">
        <f t="shared" si="64"/>
        <v>1500</v>
      </c>
      <c r="J97" s="123">
        <v>-1500</v>
      </c>
      <c r="K97" s="123">
        <f t="shared" si="65"/>
        <v>0</v>
      </c>
      <c r="L97" s="123"/>
      <c r="M97" s="123">
        <f t="shared" si="66"/>
        <v>0</v>
      </c>
      <c r="N97" s="123"/>
      <c r="O97" s="123">
        <f t="shared" si="67"/>
        <v>0</v>
      </c>
      <c r="P97" s="123"/>
      <c r="Q97" s="123">
        <f t="shared" si="68"/>
        <v>0</v>
      </c>
      <c r="R97" s="123"/>
      <c r="S97" s="123">
        <f t="shared" si="69"/>
        <v>0</v>
      </c>
      <c r="T97" s="123"/>
      <c r="U97" s="123">
        <f t="shared" si="70"/>
        <v>0</v>
      </c>
      <c r="V97" s="123"/>
      <c r="W97" s="123">
        <f t="shared" si="71"/>
        <v>0</v>
      </c>
      <c r="X97" s="123"/>
      <c r="Y97" s="123">
        <f t="shared" si="72"/>
        <v>0</v>
      </c>
    </row>
    <row r="98" spans="1:25" s="15" customFormat="1" ht="21.75" customHeight="1">
      <c r="A98" s="121"/>
      <c r="B98" s="121"/>
      <c r="C98" s="121"/>
      <c r="D98" s="122" t="s">
        <v>348</v>
      </c>
      <c r="E98" s="123">
        <v>1500</v>
      </c>
      <c r="F98" s="123"/>
      <c r="G98" s="123">
        <f t="shared" si="63"/>
        <v>1500</v>
      </c>
      <c r="H98" s="123"/>
      <c r="I98" s="123">
        <f t="shared" si="64"/>
        <v>1500</v>
      </c>
      <c r="J98" s="123"/>
      <c r="K98" s="123">
        <f t="shared" si="65"/>
        <v>1500</v>
      </c>
      <c r="L98" s="123"/>
      <c r="M98" s="123">
        <f t="shared" si="66"/>
        <v>1500</v>
      </c>
      <c r="N98" s="123"/>
      <c r="O98" s="123">
        <f t="shared" si="67"/>
        <v>1500</v>
      </c>
      <c r="P98" s="123"/>
      <c r="Q98" s="123">
        <f t="shared" si="68"/>
        <v>1500</v>
      </c>
      <c r="R98" s="123"/>
      <c r="S98" s="123">
        <f t="shared" si="69"/>
        <v>1500</v>
      </c>
      <c r="T98" s="145">
        <v>-120</v>
      </c>
      <c r="U98" s="145">
        <f t="shared" si="70"/>
        <v>1380</v>
      </c>
      <c r="V98" s="145"/>
      <c r="W98" s="145">
        <f t="shared" si="71"/>
        <v>1380</v>
      </c>
      <c r="X98" s="145"/>
      <c r="Y98" s="145">
        <f t="shared" si="72"/>
        <v>1380</v>
      </c>
    </row>
    <row r="99" spans="1:25" s="15" customFormat="1" ht="21.75" customHeight="1">
      <c r="A99" s="121"/>
      <c r="B99" s="121"/>
      <c r="C99" s="121"/>
      <c r="D99" s="122" t="s">
        <v>351</v>
      </c>
      <c r="E99" s="123">
        <v>1500</v>
      </c>
      <c r="F99" s="123"/>
      <c r="G99" s="123">
        <f t="shared" si="63"/>
        <v>1500</v>
      </c>
      <c r="H99" s="123"/>
      <c r="I99" s="123">
        <f t="shared" si="64"/>
        <v>1500</v>
      </c>
      <c r="J99" s="123"/>
      <c r="K99" s="123">
        <f t="shared" si="65"/>
        <v>1500</v>
      </c>
      <c r="L99" s="123"/>
      <c r="M99" s="123">
        <f t="shared" si="66"/>
        <v>1500</v>
      </c>
      <c r="N99" s="123"/>
      <c r="O99" s="123">
        <f t="shared" si="67"/>
        <v>1500</v>
      </c>
      <c r="P99" s="123"/>
      <c r="Q99" s="123">
        <f t="shared" si="68"/>
        <v>1500</v>
      </c>
      <c r="R99" s="123"/>
      <c r="S99" s="123">
        <f t="shared" si="69"/>
        <v>1500</v>
      </c>
      <c r="T99" s="123"/>
      <c r="U99" s="123">
        <f t="shared" si="70"/>
        <v>1500</v>
      </c>
      <c r="V99" s="123"/>
      <c r="W99" s="123">
        <f t="shared" si="71"/>
        <v>1500</v>
      </c>
      <c r="X99" s="123"/>
      <c r="Y99" s="123">
        <f t="shared" si="72"/>
        <v>1500</v>
      </c>
    </row>
    <row r="100" spans="1:25" s="15" customFormat="1" ht="21.75" customHeight="1">
      <c r="A100" s="121"/>
      <c r="B100" s="121"/>
      <c r="C100" s="121"/>
      <c r="D100" s="122" t="s">
        <v>349</v>
      </c>
      <c r="E100" s="123">
        <v>200</v>
      </c>
      <c r="F100" s="123"/>
      <c r="G100" s="123">
        <f t="shared" si="63"/>
        <v>200</v>
      </c>
      <c r="H100" s="123"/>
      <c r="I100" s="123">
        <f t="shared" si="64"/>
        <v>200</v>
      </c>
      <c r="J100" s="123"/>
      <c r="K100" s="123">
        <f t="shared" si="65"/>
        <v>200</v>
      </c>
      <c r="L100" s="123"/>
      <c r="M100" s="123">
        <f t="shared" si="66"/>
        <v>200</v>
      </c>
      <c r="N100" s="123"/>
      <c r="O100" s="123">
        <f t="shared" si="67"/>
        <v>200</v>
      </c>
      <c r="P100" s="123"/>
      <c r="Q100" s="123">
        <f t="shared" si="68"/>
        <v>200</v>
      </c>
      <c r="R100" s="123"/>
      <c r="S100" s="123">
        <f t="shared" si="69"/>
        <v>200</v>
      </c>
      <c r="T100" s="123"/>
      <c r="U100" s="123">
        <f t="shared" si="70"/>
        <v>200</v>
      </c>
      <c r="V100" s="123"/>
      <c r="W100" s="123">
        <f t="shared" si="71"/>
        <v>200</v>
      </c>
      <c r="X100" s="123"/>
      <c r="Y100" s="123">
        <f t="shared" si="72"/>
        <v>200</v>
      </c>
    </row>
    <row r="101" spans="1:25" s="15" customFormat="1" ht="21.75" customHeight="1">
      <c r="A101" s="121"/>
      <c r="B101" s="121"/>
      <c r="C101" s="121"/>
      <c r="D101" s="122" t="s">
        <v>352</v>
      </c>
      <c r="E101" s="123">
        <v>500</v>
      </c>
      <c r="F101" s="123"/>
      <c r="G101" s="123">
        <f t="shared" si="63"/>
        <v>500</v>
      </c>
      <c r="H101" s="123"/>
      <c r="I101" s="123">
        <f t="shared" si="64"/>
        <v>500</v>
      </c>
      <c r="J101" s="123"/>
      <c r="K101" s="123">
        <f t="shared" si="65"/>
        <v>500</v>
      </c>
      <c r="L101" s="123"/>
      <c r="M101" s="123">
        <f t="shared" si="66"/>
        <v>500</v>
      </c>
      <c r="N101" s="123"/>
      <c r="O101" s="123">
        <f t="shared" si="67"/>
        <v>500</v>
      </c>
      <c r="P101" s="123"/>
      <c r="Q101" s="123">
        <f t="shared" si="68"/>
        <v>500</v>
      </c>
      <c r="R101" s="123"/>
      <c r="S101" s="123">
        <f t="shared" si="69"/>
        <v>500</v>
      </c>
      <c r="T101" s="123"/>
      <c r="U101" s="123">
        <f t="shared" si="70"/>
        <v>500</v>
      </c>
      <c r="V101" s="123"/>
      <c r="W101" s="123">
        <f t="shared" si="71"/>
        <v>500</v>
      </c>
      <c r="X101" s="123"/>
      <c r="Y101" s="123">
        <f t="shared" si="72"/>
        <v>500</v>
      </c>
    </row>
    <row r="102" spans="1:25" s="15" customFormat="1" ht="21.75" customHeight="1">
      <c r="A102" s="117"/>
      <c r="B102" s="117"/>
      <c r="C102" s="117">
        <v>4300</v>
      </c>
      <c r="D102" s="119" t="s">
        <v>69</v>
      </c>
      <c r="E102" s="120">
        <f aca="true" t="shared" si="73" ref="E102:Q102">SUM(E103:E107)</f>
        <v>7050</v>
      </c>
      <c r="F102" s="120">
        <f t="shared" si="73"/>
        <v>0</v>
      </c>
      <c r="G102" s="120">
        <f t="shared" si="73"/>
        <v>7050</v>
      </c>
      <c r="H102" s="120">
        <f t="shared" si="73"/>
        <v>0</v>
      </c>
      <c r="I102" s="120">
        <f t="shared" si="73"/>
        <v>7050</v>
      </c>
      <c r="J102" s="120">
        <f t="shared" si="73"/>
        <v>0</v>
      </c>
      <c r="K102" s="120">
        <f t="shared" si="73"/>
        <v>7050</v>
      </c>
      <c r="L102" s="120">
        <f t="shared" si="73"/>
        <v>0</v>
      </c>
      <c r="M102" s="120">
        <f t="shared" si="73"/>
        <v>7050</v>
      </c>
      <c r="N102" s="120">
        <f t="shared" si="73"/>
        <v>0</v>
      </c>
      <c r="O102" s="120">
        <f t="shared" si="73"/>
        <v>7050</v>
      </c>
      <c r="P102" s="120">
        <f t="shared" si="73"/>
        <v>-600</v>
      </c>
      <c r="Q102" s="120">
        <f t="shared" si="73"/>
        <v>6450</v>
      </c>
      <c r="R102" s="120">
        <f aca="true" t="shared" si="74" ref="R102:W102">SUM(R103:R107)</f>
        <v>0</v>
      </c>
      <c r="S102" s="120">
        <f t="shared" si="74"/>
        <v>6450</v>
      </c>
      <c r="T102" s="120">
        <f t="shared" si="74"/>
        <v>-1500</v>
      </c>
      <c r="U102" s="120">
        <f t="shared" si="74"/>
        <v>4950</v>
      </c>
      <c r="V102" s="120">
        <f t="shared" si="74"/>
        <v>0</v>
      </c>
      <c r="W102" s="120">
        <f t="shared" si="74"/>
        <v>4950</v>
      </c>
      <c r="X102" s="120">
        <f>SUM(X103:X107)</f>
        <v>0</v>
      </c>
      <c r="Y102" s="120">
        <f>SUM(Y103:Y107)</f>
        <v>4950</v>
      </c>
    </row>
    <row r="103" spans="1:25" s="15" customFormat="1" ht="21.75" customHeight="1">
      <c r="A103" s="117"/>
      <c r="B103" s="117"/>
      <c r="C103" s="117"/>
      <c r="D103" s="122" t="s">
        <v>335</v>
      </c>
      <c r="E103" s="120">
        <v>900</v>
      </c>
      <c r="F103" s="120"/>
      <c r="G103" s="120">
        <f>SUM(E103:F103)</f>
        <v>900</v>
      </c>
      <c r="H103" s="120"/>
      <c r="I103" s="120">
        <f>SUM(G103:H103)</f>
        <v>900</v>
      </c>
      <c r="J103" s="120"/>
      <c r="K103" s="120">
        <f>SUM(I103:J103)</f>
        <v>900</v>
      </c>
      <c r="L103" s="120"/>
      <c r="M103" s="120">
        <f>SUM(K103:L103)</f>
        <v>900</v>
      </c>
      <c r="N103" s="120"/>
      <c r="O103" s="120">
        <f>SUM(M103:N103)</f>
        <v>900</v>
      </c>
      <c r="P103" s="120"/>
      <c r="Q103" s="120">
        <f>SUM(O103:P103)</f>
        <v>900</v>
      </c>
      <c r="R103" s="120"/>
      <c r="S103" s="120">
        <f>SUM(Q103:R103)</f>
        <v>900</v>
      </c>
      <c r="T103" s="120"/>
      <c r="U103" s="120">
        <f>SUM(S103:T103)</f>
        <v>900</v>
      </c>
      <c r="V103" s="120"/>
      <c r="W103" s="120">
        <f>SUM(U103:V103)</f>
        <v>900</v>
      </c>
      <c r="X103" s="120"/>
      <c r="Y103" s="120">
        <f>SUM(W103:X103)</f>
        <v>900</v>
      </c>
    </row>
    <row r="104" spans="1:25" s="15" customFormat="1" ht="21.75" customHeight="1">
      <c r="A104" s="108"/>
      <c r="B104" s="129"/>
      <c r="C104" s="121"/>
      <c r="D104" s="122" t="s">
        <v>336</v>
      </c>
      <c r="E104" s="123">
        <v>800</v>
      </c>
      <c r="F104" s="123"/>
      <c r="G104" s="120">
        <f>SUM(E104:F104)</f>
        <v>800</v>
      </c>
      <c r="H104" s="123"/>
      <c r="I104" s="120">
        <f>SUM(G104:H104)</f>
        <v>800</v>
      </c>
      <c r="J104" s="123"/>
      <c r="K104" s="120">
        <f>SUM(I104:J104)</f>
        <v>800</v>
      </c>
      <c r="L104" s="123"/>
      <c r="M104" s="120">
        <f>SUM(K104:L104)</f>
        <v>800</v>
      </c>
      <c r="N104" s="123"/>
      <c r="O104" s="120">
        <f>SUM(M104:N104)</f>
        <v>800</v>
      </c>
      <c r="P104" s="123"/>
      <c r="Q104" s="120">
        <f>SUM(O104:P104)</f>
        <v>800</v>
      </c>
      <c r="R104" s="123"/>
      <c r="S104" s="120">
        <f>SUM(Q104:R104)</f>
        <v>800</v>
      </c>
      <c r="T104" s="145">
        <v>-800</v>
      </c>
      <c r="U104" s="146">
        <f>SUM(S104:T104)</f>
        <v>0</v>
      </c>
      <c r="V104" s="145"/>
      <c r="W104" s="146">
        <f>SUM(U104:V104)</f>
        <v>0</v>
      </c>
      <c r="X104" s="145"/>
      <c r="Y104" s="146">
        <f>SUM(W104:X104)</f>
        <v>0</v>
      </c>
    </row>
    <row r="105" spans="1:25" s="15" customFormat="1" ht="21.75" customHeight="1">
      <c r="A105" s="108"/>
      <c r="B105" s="129"/>
      <c r="C105" s="121"/>
      <c r="D105" s="122" t="s">
        <v>346</v>
      </c>
      <c r="E105" s="123">
        <v>600</v>
      </c>
      <c r="F105" s="123"/>
      <c r="G105" s="120">
        <f>SUM(E105:F105)</f>
        <v>600</v>
      </c>
      <c r="H105" s="123"/>
      <c r="I105" s="120">
        <f>SUM(G105:H105)</f>
        <v>600</v>
      </c>
      <c r="J105" s="123"/>
      <c r="K105" s="120">
        <f>SUM(I105:J105)</f>
        <v>600</v>
      </c>
      <c r="L105" s="123"/>
      <c r="M105" s="120">
        <f>SUM(K105:L105)</f>
        <v>600</v>
      </c>
      <c r="N105" s="123"/>
      <c r="O105" s="120">
        <f>SUM(M105:N105)</f>
        <v>600</v>
      </c>
      <c r="P105" s="123">
        <v>-600</v>
      </c>
      <c r="Q105" s="120">
        <f>SUM(O105:P105)</f>
        <v>0</v>
      </c>
      <c r="R105" s="123"/>
      <c r="S105" s="120">
        <f>SUM(Q105:R105)</f>
        <v>0</v>
      </c>
      <c r="T105" s="145"/>
      <c r="U105" s="146">
        <f>SUM(S105:T105)</f>
        <v>0</v>
      </c>
      <c r="V105" s="145"/>
      <c r="W105" s="146">
        <f>SUM(U105:V105)</f>
        <v>0</v>
      </c>
      <c r="X105" s="145"/>
      <c r="Y105" s="146">
        <f>SUM(W105:X105)</f>
        <v>0</v>
      </c>
    </row>
    <row r="106" spans="1:25" s="15" customFormat="1" ht="21.75" customHeight="1">
      <c r="A106" s="121"/>
      <c r="B106" s="121"/>
      <c r="C106" s="121"/>
      <c r="D106" s="122" t="s">
        <v>337</v>
      </c>
      <c r="E106" s="123">
        <v>1600</v>
      </c>
      <c r="F106" s="123"/>
      <c r="G106" s="120">
        <f>SUM(E106:F106)</f>
        <v>1600</v>
      </c>
      <c r="H106" s="123"/>
      <c r="I106" s="120">
        <f>SUM(G106:H106)</f>
        <v>1600</v>
      </c>
      <c r="J106" s="123"/>
      <c r="K106" s="120">
        <f>SUM(I106:J106)</f>
        <v>1600</v>
      </c>
      <c r="L106" s="123"/>
      <c r="M106" s="120">
        <f>SUM(K106:L106)</f>
        <v>1600</v>
      </c>
      <c r="N106" s="123"/>
      <c r="O106" s="120">
        <f>SUM(M106:N106)</f>
        <v>1600</v>
      </c>
      <c r="P106" s="123"/>
      <c r="Q106" s="120">
        <f>SUM(O106:P106)</f>
        <v>1600</v>
      </c>
      <c r="R106" s="123"/>
      <c r="S106" s="120">
        <f>SUM(Q106:R106)</f>
        <v>1600</v>
      </c>
      <c r="T106" s="145">
        <v>-700</v>
      </c>
      <c r="U106" s="146">
        <f>SUM(S106:T106)</f>
        <v>900</v>
      </c>
      <c r="V106" s="145"/>
      <c r="W106" s="146">
        <f>SUM(U106:V106)</f>
        <v>900</v>
      </c>
      <c r="X106" s="145"/>
      <c r="Y106" s="146">
        <f>SUM(W106:X106)</f>
        <v>900</v>
      </c>
    </row>
    <row r="107" spans="1:25" s="15" customFormat="1" ht="21.75" customHeight="1">
      <c r="A107" s="108"/>
      <c r="B107" s="129"/>
      <c r="C107" s="121"/>
      <c r="D107" s="122" t="s">
        <v>340</v>
      </c>
      <c r="E107" s="123">
        <v>3150</v>
      </c>
      <c r="F107" s="123"/>
      <c r="G107" s="120">
        <f>SUM(E107:F107)</f>
        <v>3150</v>
      </c>
      <c r="H107" s="123"/>
      <c r="I107" s="120">
        <f>SUM(G107:H107)</f>
        <v>3150</v>
      </c>
      <c r="J107" s="123"/>
      <c r="K107" s="120">
        <f>SUM(I107:J107)</f>
        <v>3150</v>
      </c>
      <c r="L107" s="123"/>
      <c r="M107" s="120">
        <f>SUM(K107:L107)</f>
        <v>3150</v>
      </c>
      <c r="N107" s="123"/>
      <c r="O107" s="120">
        <f>SUM(M107:N107)</f>
        <v>3150</v>
      </c>
      <c r="P107" s="123"/>
      <c r="Q107" s="120">
        <f>SUM(O107:P107)</f>
        <v>3150</v>
      </c>
      <c r="R107" s="123"/>
      <c r="S107" s="120">
        <f>SUM(Q107:R107)</f>
        <v>3150</v>
      </c>
      <c r="T107" s="123"/>
      <c r="U107" s="120">
        <f>SUM(S107:T107)</f>
        <v>3150</v>
      </c>
      <c r="V107" s="123"/>
      <c r="W107" s="120">
        <f>SUM(U107:V107)</f>
        <v>3150</v>
      </c>
      <c r="X107" s="123"/>
      <c r="Y107" s="120">
        <f>SUM(W107:X107)</f>
        <v>3150</v>
      </c>
    </row>
    <row r="108" spans="1:25" s="4" customFormat="1" ht="24" customHeight="1">
      <c r="A108" s="110">
        <v>754</v>
      </c>
      <c r="B108" s="111"/>
      <c r="C108" s="111"/>
      <c r="D108" s="112" t="s">
        <v>31</v>
      </c>
      <c r="E108" s="113">
        <f aca="true" t="shared" si="75" ref="E108:X109">SUM(E109)</f>
        <v>7100</v>
      </c>
      <c r="F108" s="113">
        <f t="shared" si="75"/>
        <v>0</v>
      </c>
      <c r="G108" s="113">
        <f t="shared" si="75"/>
        <v>7100</v>
      </c>
      <c r="H108" s="113">
        <f t="shared" si="75"/>
        <v>0</v>
      </c>
      <c r="I108" s="113">
        <f t="shared" si="75"/>
        <v>7100</v>
      </c>
      <c r="J108" s="113">
        <f t="shared" si="75"/>
        <v>0</v>
      </c>
      <c r="K108" s="113">
        <f t="shared" si="75"/>
        <v>7100</v>
      </c>
      <c r="L108" s="113">
        <f t="shared" si="75"/>
        <v>0</v>
      </c>
      <c r="M108" s="113">
        <f t="shared" si="75"/>
        <v>7100</v>
      </c>
      <c r="N108" s="113">
        <f t="shared" si="75"/>
        <v>0</v>
      </c>
      <c r="O108" s="113">
        <f t="shared" si="75"/>
        <v>7100</v>
      </c>
      <c r="P108" s="113">
        <f t="shared" si="75"/>
        <v>0</v>
      </c>
      <c r="Q108" s="113">
        <f t="shared" si="75"/>
        <v>7100</v>
      </c>
      <c r="R108" s="113">
        <f t="shared" si="75"/>
        <v>0</v>
      </c>
      <c r="S108" s="113">
        <f t="shared" si="75"/>
        <v>7100</v>
      </c>
      <c r="T108" s="113">
        <f t="shared" si="75"/>
        <v>0</v>
      </c>
      <c r="U108" s="113">
        <f>SUM(U109)</f>
        <v>7100</v>
      </c>
      <c r="V108" s="113">
        <f t="shared" si="75"/>
        <v>0</v>
      </c>
      <c r="W108" s="113">
        <f>SUM(W109)</f>
        <v>7100</v>
      </c>
      <c r="X108" s="113">
        <f t="shared" si="75"/>
        <v>0</v>
      </c>
      <c r="Y108" s="113">
        <f>SUM(Y109)</f>
        <v>7100</v>
      </c>
    </row>
    <row r="109" spans="1:25" s="4" customFormat="1" ht="24" customHeight="1">
      <c r="A109" s="114"/>
      <c r="B109" s="114">
        <v>75412</v>
      </c>
      <c r="C109" s="115"/>
      <c r="D109" s="116" t="s">
        <v>93</v>
      </c>
      <c r="E109" s="113">
        <f t="shared" si="75"/>
        <v>7100</v>
      </c>
      <c r="F109" s="113">
        <f t="shared" si="75"/>
        <v>0</v>
      </c>
      <c r="G109" s="113">
        <f t="shared" si="75"/>
        <v>7100</v>
      </c>
      <c r="H109" s="113">
        <f t="shared" si="75"/>
        <v>0</v>
      </c>
      <c r="I109" s="113">
        <f t="shared" si="75"/>
        <v>7100</v>
      </c>
      <c r="J109" s="113">
        <f t="shared" si="75"/>
        <v>0</v>
      </c>
      <c r="K109" s="113">
        <f t="shared" si="75"/>
        <v>7100</v>
      </c>
      <c r="L109" s="113">
        <f t="shared" si="75"/>
        <v>0</v>
      </c>
      <c r="M109" s="113">
        <f t="shared" si="75"/>
        <v>7100</v>
      </c>
      <c r="N109" s="113">
        <f t="shared" si="75"/>
        <v>0</v>
      </c>
      <c r="O109" s="113">
        <f t="shared" si="75"/>
        <v>7100</v>
      </c>
      <c r="P109" s="113">
        <f t="shared" si="75"/>
        <v>0</v>
      </c>
      <c r="Q109" s="113">
        <f t="shared" si="75"/>
        <v>7100</v>
      </c>
      <c r="R109" s="113">
        <f t="shared" si="75"/>
        <v>0</v>
      </c>
      <c r="S109" s="113">
        <f t="shared" si="75"/>
        <v>7100</v>
      </c>
      <c r="T109" s="113">
        <f>SUM(T110)</f>
        <v>0</v>
      </c>
      <c r="U109" s="113">
        <f>SUM(U110)</f>
        <v>7100</v>
      </c>
      <c r="V109" s="113">
        <f>SUM(V110)</f>
        <v>0</v>
      </c>
      <c r="W109" s="113">
        <f>SUM(W110)</f>
        <v>7100</v>
      </c>
      <c r="X109" s="113">
        <f>SUM(X110)</f>
        <v>0</v>
      </c>
      <c r="Y109" s="113">
        <f>SUM(Y110)</f>
        <v>7100</v>
      </c>
    </row>
    <row r="110" spans="1:25" s="15" customFormat="1" ht="21.75" customHeight="1">
      <c r="A110" s="117"/>
      <c r="B110" s="118"/>
      <c r="C110" s="117">
        <v>4210</v>
      </c>
      <c r="D110" s="119" t="s">
        <v>353</v>
      </c>
      <c r="E110" s="120">
        <f aca="true" t="shared" si="76" ref="E110:Q110">SUM(E111:E116)</f>
        <v>7100</v>
      </c>
      <c r="F110" s="120">
        <f t="shared" si="76"/>
        <v>0</v>
      </c>
      <c r="G110" s="120">
        <f t="shared" si="76"/>
        <v>7100</v>
      </c>
      <c r="H110" s="120">
        <f t="shared" si="76"/>
        <v>0</v>
      </c>
      <c r="I110" s="120">
        <f t="shared" si="76"/>
        <v>7100</v>
      </c>
      <c r="J110" s="120">
        <f t="shared" si="76"/>
        <v>0</v>
      </c>
      <c r="K110" s="120">
        <f t="shared" si="76"/>
        <v>7100</v>
      </c>
      <c r="L110" s="120">
        <f t="shared" si="76"/>
        <v>0</v>
      </c>
      <c r="M110" s="120">
        <f t="shared" si="76"/>
        <v>7100</v>
      </c>
      <c r="N110" s="120">
        <f t="shared" si="76"/>
        <v>0</v>
      </c>
      <c r="O110" s="120">
        <f t="shared" si="76"/>
        <v>7100</v>
      </c>
      <c r="P110" s="120">
        <f t="shared" si="76"/>
        <v>0</v>
      </c>
      <c r="Q110" s="120">
        <f t="shared" si="76"/>
        <v>7100</v>
      </c>
      <c r="R110" s="120">
        <f aca="true" t="shared" si="77" ref="R110:W110">SUM(R111:R116)</f>
        <v>0</v>
      </c>
      <c r="S110" s="120">
        <f t="shared" si="77"/>
        <v>7100</v>
      </c>
      <c r="T110" s="120">
        <f t="shared" si="77"/>
        <v>0</v>
      </c>
      <c r="U110" s="120">
        <f t="shared" si="77"/>
        <v>7100</v>
      </c>
      <c r="V110" s="120">
        <f t="shared" si="77"/>
        <v>0</v>
      </c>
      <c r="W110" s="120">
        <f t="shared" si="77"/>
        <v>7100</v>
      </c>
      <c r="X110" s="120">
        <f>SUM(X111:X116)</f>
        <v>0</v>
      </c>
      <c r="Y110" s="120">
        <f>SUM(Y111:Y116)</f>
        <v>7100</v>
      </c>
    </row>
    <row r="111" spans="1:25" s="15" customFormat="1" ht="21.75" customHeight="1">
      <c r="A111" s="121"/>
      <c r="B111" s="121"/>
      <c r="C111" s="121"/>
      <c r="D111" s="122" t="s">
        <v>345</v>
      </c>
      <c r="E111" s="123">
        <v>2000</v>
      </c>
      <c r="F111" s="123"/>
      <c r="G111" s="123">
        <f aca="true" t="shared" si="78" ref="G111:G116">SUM(E111:F111)</f>
        <v>2000</v>
      </c>
      <c r="H111" s="123"/>
      <c r="I111" s="123">
        <f aca="true" t="shared" si="79" ref="I111:I116">SUM(G111:H111)</f>
        <v>2000</v>
      </c>
      <c r="J111" s="123"/>
      <c r="K111" s="123">
        <f aca="true" t="shared" si="80" ref="K111:K116">SUM(I111:J111)</f>
        <v>2000</v>
      </c>
      <c r="L111" s="123"/>
      <c r="M111" s="123">
        <f aca="true" t="shared" si="81" ref="M111:M116">SUM(K111:L111)</f>
        <v>2000</v>
      </c>
      <c r="N111" s="123"/>
      <c r="O111" s="123">
        <f aca="true" t="shared" si="82" ref="O111:O116">SUM(M111:N111)</f>
        <v>2000</v>
      </c>
      <c r="P111" s="123"/>
      <c r="Q111" s="123">
        <f aca="true" t="shared" si="83" ref="Q111:Q116">SUM(O111:P111)</f>
        <v>2000</v>
      </c>
      <c r="R111" s="123"/>
      <c r="S111" s="123">
        <f aca="true" t="shared" si="84" ref="S111:S116">SUM(Q111:R111)</f>
        <v>2000</v>
      </c>
      <c r="T111" s="123"/>
      <c r="U111" s="123">
        <f aca="true" t="shared" si="85" ref="U111:U116">SUM(S111:T111)</f>
        <v>2000</v>
      </c>
      <c r="V111" s="123"/>
      <c r="W111" s="123">
        <f aca="true" t="shared" si="86" ref="W111:W116">SUM(U111:V111)</f>
        <v>2000</v>
      </c>
      <c r="X111" s="123"/>
      <c r="Y111" s="123">
        <f aca="true" t="shared" si="87" ref="Y111:Y116">SUM(W111:X111)</f>
        <v>2000</v>
      </c>
    </row>
    <row r="112" spans="1:25" s="15" customFormat="1" ht="21.75" customHeight="1">
      <c r="A112" s="121"/>
      <c r="B112" s="121"/>
      <c r="C112" s="121"/>
      <c r="D112" s="122" t="s">
        <v>334</v>
      </c>
      <c r="E112" s="123">
        <v>500</v>
      </c>
      <c r="F112" s="123"/>
      <c r="G112" s="123">
        <f t="shared" si="78"/>
        <v>500</v>
      </c>
      <c r="H112" s="123"/>
      <c r="I112" s="123">
        <f t="shared" si="79"/>
        <v>500</v>
      </c>
      <c r="J112" s="123"/>
      <c r="K112" s="123">
        <f t="shared" si="80"/>
        <v>500</v>
      </c>
      <c r="L112" s="123"/>
      <c r="M112" s="123">
        <f t="shared" si="81"/>
        <v>500</v>
      </c>
      <c r="N112" s="123"/>
      <c r="O112" s="123">
        <f t="shared" si="82"/>
        <v>500</v>
      </c>
      <c r="P112" s="123"/>
      <c r="Q112" s="123">
        <f t="shared" si="83"/>
        <v>500</v>
      </c>
      <c r="R112" s="123"/>
      <c r="S112" s="123">
        <f t="shared" si="84"/>
        <v>500</v>
      </c>
      <c r="T112" s="123"/>
      <c r="U112" s="123">
        <f t="shared" si="85"/>
        <v>500</v>
      </c>
      <c r="V112" s="123"/>
      <c r="W112" s="123">
        <f t="shared" si="86"/>
        <v>500</v>
      </c>
      <c r="X112" s="123"/>
      <c r="Y112" s="123">
        <f t="shared" si="87"/>
        <v>500</v>
      </c>
    </row>
    <row r="113" spans="1:25" s="15" customFormat="1" ht="21.75" customHeight="1">
      <c r="A113" s="121"/>
      <c r="B113" s="121"/>
      <c r="C113" s="121"/>
      <c r="D113" s="122" t="s">
        <v>337</v>
      </c>
      <c r="E113" s="123">
        <v>500</v>
      </c>
      <c r="F113" s="123"/>
      <c r="G113" s="123">
        <f t="shared" si="78"/>
        <v>500</v>
      </c>
      <c r="H113" s="123"/>
      <c r="I113" s="123">
        <f t="shared" si="79"/>
        <v>500</v>
      </c>
      <c r="J113" s="123"/>
      <c r="K113" s="123">
        <f t="shared" si="80"/>
        <v>500</v>
      </c>
      <c r="L113" s="123"/>
      <c r="M113" s="123">
        <f t="shared" si="81"/>
        <v>500</v>
      </c>
      <c r="N113" s="123"/>
      <c r="O113" s="123">
        <f t="shared" si="82"/>
        <v>500</v>
      </c>
      <c r="P113" s="123"/>
      <c r="Q113" s="123">
        <f t="shared" si="83"/>
        <v>500</v>
      </c>
      <c r="R113" s="123"/>
      <c r="S113" s="123">
        <f t="shared" si="84"/>
        <v>500</v>
      </c>
      <c r="T113" s="123"/>
      <c r="U113" s="123">
        <f t="shared" si="85"/>
        <v>500</v>
      </c>
      <c r="V113" s="123"/>
      <c r="W113" s="123">
        <f t="shared" si="86"/>
        <v>500</v>
      </c>
      <c r="X113" s="123"/>
      <c r="Y113" s="123">
        <f t="shared" si="87"/>
        <v>500</v>
      </c>
    </row>
    <row r="114" spans="1:25" s="15" customFormat="1" ht="21.75" customHeight="1">
      <c r="A114" s="121"/>
      <c r="B114" s="121"/>
      <c r="C114" s="121"/>
      <c r="D114" s="122" t="s">
        <v>338</v>
      </c>
      <c r="E114" s="123">
        <v>500</v>
      </c>
      <c r="F114" s="123"/>
      <c r="G114" s="123">
        <f t="shared" si="78"/>
        <v>500</v>
      </c>
      <c r="H114" s="123"/>
      <c r="I114" s="123">
        <f t="shared" si="79"/>
        <v>500</v>
      </c>
      <c r="J114" s="123"/>
      <c r="K114" s="123">
        <f t="shared" si="80"/>
        <v>500</v>
      </c>
      <c r="L114" s="123"/>
      <c r="M114" s="123">
        <f t="shared" si="81"/>
        <v>500</v>
      </c>
      <c r="N114" s="123"/>
      <c r="O114" s="123">
        <f t="shared" si="82"/>
        <v>500</v>
      </c>
      <c r="P114" s="123"/>
      <c r="Q114" s="123">
        <f t="shared" si="83"/>
        <v>500</v>
      </c>
      <c r="R114" s="123"/>
      <c r="S114" s="123">
        <f t="shared" si="84"/>
        <v>500</v>
      </c>
      <c r="T114" s="123"/>
      <c r="U114" s="123">
        <f t="shared" si="85"/>
        <v>500</v>
      </c>
      <c r="V114" s="123"/>
      <c r="W114" s="123">
        <f t="shared" si="86"/>
        <v>500</v>
      </c>
      <c r="X114" s="123"/>
      <c r="Y114" s="123">
        <f t="shared" si="87"/>
        <v>500</v>
      </c>
    </row>
    <row r="115" spans="1:25" s="15" customFormat="1" ht="21.75" customHeight="1">
      <c r="A115" s="121"/>
      <c r="B115" s="121"/>
      <c r="C115" s="121"/>
      <c r="D115" s="122" t="s">
        <v>347</v>
      </c>
      <c r="E115" s="123">
        <v>600</v>
      </c>
      <c r="F115" s="123"/>
      <c r="G115" s="123">
        <f t="shared" si="78"/>
        <v>600</v>
      </c>
      <c r="H115" s="123"/>
      <c r="I115" s="123">
        <f t="shared" si="79"/>
        <v>600</v>
      </c>
      <c r="J115" s="123"/>
      <c r="K115" s="123">
        <f t="shared" si="80"/>
        <v>600</v>
      </c>
      <c r="L115" s="123"/>
      <c r="M115" s="123">
        <f t="shared" si="81"/>
        <v>600</v>
      </c>
      <c r="N115" s="123"/>
      <c r="O115" s="123">
        <f t="shared" si="82"/>
        <v>600</v>
      </c>
      <c r="P115" s="123"/>
      <c r="Q115" s="123">
        <f t="shared" si="83"/>
        <v>600</v>
      </c>
      <c r="R115" s="123"/>
      <c r="S115" s="123">
        <f t="shared" si="84"/>
        <v>600</v>
      </c>
      <c r="T115" s="123"/>
      <c r="U115" s="123">
        <f t="shared" si="85"/>
        <v>600</v>
      </c>
      <c r="V115" s="123"/>
      <c r="W115" s="123">
        <f t="shared" si="86"/>
        <v>600</v>
      </c>
      <c r="X115" s="123"/>
      <c r="Y115" s="123">
        <f t="shared" si="87"/>
        <v>600</v>
      </c>
    </row>
    <row r="116" spans="1:25" s="15" customFormat="1" ht="21.75" customHeight="1">
      <c r="A116" s="121"/>
      <c r="B116" s="121"/>
      <c r="C116" s="121"/>
      <c r="D116" s="122" t="s">
        <v>340</v>
      </c>
      <c r="E116" s="123">
        <v>3000</v>
      </c>
      <c r="F116" s="123"/>
      <c r="G116" s="123">
        <f t="shared" si="78"/>
        <v>3000</v>
      </c>
      <c r="H116" s="123"/>
      <c r="I116" s="123">
        <f t="shared" si="79"/>
        <v>3000</v>
      </c>
      <c r="J116" s="123"/>
      <c r="K116" s="123">
        <f t="shared" si="80"/>
        <v>3000</v>
      </c>
      <c r="L116" s="123"/>
      <c r="M116" s="123">
        <f t="shared" si="81"/>
        <v>3000</v>
      </c>
      <c r="N116" s="123"/>
      <c r="O116" s="123">
        <f t="shared" si="82"/>
        <v>3000</v>
      </c>
      <c r="P116" s="123"/>
      <c r="Q116" s="123">
        <f t="shared" si="83"/>
        <v>3000</v>
      </c>
      <c r="R116" s="123"/>
      <c r="S116" s="123">
        <f t="shared" si="84"/>
        <v>3000</v>
      </c>
      <c r="T116" s="123"/>
      <c r="U116" s="123">
        <f t="shared" si="85"/>
        <v>3000</v>
      </c>
      <c r="V116" s="123"/>
      <c r="W116" s="123">
        <f t="shared" si="86"/>
        <v>3000</v>
      </c>
      <c r="X116" s="123"/>
      <c r="Y116" s="123">
        <f t="shared" si="87"/>
        <v>3000</v>
      </c>
    </row>
    <row r="117" spans="1:25" s="4" customFormat="1" ht="21" customHeight="1">
      <c r="A117" s="110" t="s">
        <v>102</v>
      </c>
      <c r="B117" s="111"/>
      <c r="C117" s="111"/>
      <c r="D117" s="112" t="s">
        <v>103</v>
      </c>
      <c r="E117" s="113">
        <f aca="true" t="shared" si="88" ref="E117:Q117">SUM(E118,E127,E133,E136)</f>
        <v>9700</v>
      </c>
      <c r="F117" s="113">
        <f t="shared" si="88"/>
        <v>0</v>
      </c>
      <c r="G117" s="113">
        <f t="shared" si="88"/>
        <v>9700</v>
      </c>
      <c r="H117" s="113">
        <f t="shared" si="88"/>
        <v>0</v>
      </c>
      <c r="I117" s="113">
        <f t="shared" si="88"/>
        <v>9700</v>
      </c>
      <c r="J117" s="113">
        <f t="shared" si="88"/>
        <v>-400</v>
      </c>
      <c r="K117" s="113">
        <f t="shared" si="88"/>
        <v>9300</v>
      </c>
      <c r="L117" s="113">
        <f t="shared" si="88"/>
        <v>0</v>
      </c>
      <c r="M117" s="113">
        <f t="shared" si="88"/>
        <v>9300</v>
      </c>
      <c r="N117" s="113">
        <f t="shared" si="88"/>
        <v>0</v>
      </c>
      <c r="O117" s="113">
        <f t="shared" si="88"/>
        <v>9300</v>
      </c>
      <c r="P117" s="113">
        <f t="shared" si="88"/>
        <v>0</v>
      </c>
      <c r="Q117" s="113">
        <f t="shared" si="88"/>
        <v>9300</v>
      </c>
      <c r="R117" s="113">
        <f aca="true" t="shared" si="89" ref="R117:W117">SUM(R118,R127,R133,R136)</f>
        <v>0</v>
      </c>
      <c r="S117" s="113">
        <f t="shared" si="89"/>
        <v>9300</v>
      </c>
      <c r="T117" s="113">
        <f t="shared" si="89"/>
        <v>0</v>
      </c>
      <c r="U117" s="113">
        <f t="shared" si="89"/>
        <v>9300</v>
      </c>
      <c r="V117" s="113">
        <f t="shared" si="89"/>
        <v>0</v>
      </c>
      <c r="W117" s="113">
        <f t="shared" si="89"/>
        <v>9300</v>
      </c>
      <c r="X117" s="113">
        <f>SUM(X118,X127,X133,X136)</f>
        <v>0</v>
      </c>
      <c r="Y117" s="113">
        <f>SUM(Y118,Y127,Y133,Y136)</f>
        <v>9300</v>
      </c>
    </row>
    <row r="118" spans="1:25" s="15" customFormat="1" ht="19.5" customHeight="1">
      <c r="A118" s="117"/>
      <c r="B118" s="117" t="s">
        <v>104</v>
      </c>
      <c r="C118" s="118"/>
      <c r="D118" s="119" t="s">
        <v>43</v>
      </c>
      <c r="E118" s="120">
        <f aca="true" t="shared" si="90" ref="E118:Y118">SUM(E119)</f>
        <v>6500</v>
      </c>
      <c r="F118" s="120">
        <f t="shared" si="90"/>
        <v>0</v>
      </c>
      <c r="G118" s="120">
        <f t="shared" si="90"/>
        <v>6500</v>
      </c>
      <c r="H118" s="120">
        <f t="shared" si="90"/>
        <v>0</v>
      </c>
      <c r="I118" s="120">
        <f t="shared" si="90"/>
        <v>6500</v>
      </c>
      <c r="J118" s="120">
        <f t="shared" si="90"/>
        <v>0</v>
      </c>
      <c r="K118" s="120">
        <f t="shared" si="90"/>
        <v>6500</v>
      </c>
      <c r="L118" s="120">
        <f t="shared" si="90"/>
        <v>0</v>
      </c>
      <c r="M118" s="120">
        <f t="shared" si="90"/>
        <v>6500</v>
      </c>
      <c r="N118" s="120">
        <f t="shared" si="90"/>
        <v>0</v>
      </c>
      <c r="O118" s="120">
        <f t="shared" si="90"/>
        <v>6500</v>
      </c>
      <c r="P118" s="120">
        <f t="shared" si="90"/>
        <v>0</v>
      </c>
      <c r="Q118" s="120">
        <f t="shared" si="90"/>
        <v>6500</v>
      </c>
      <c r="R118" s="120">
        <f t="shared" si="90"/>
        <v>0</v>
      </c>
      <c r="S118" s="120">
        <f t="shared" si="90"/>
        <v>6500</v>
      </c>
      <c r="T118" s="120">
        <f t="shared" si="90"/>
        <v>0</v>
      </c>
      <c r="U118" s="120">
        <f t="shared" si="90"/>
        <v>6500</v>
      </c>
      <c r="V118" s="120">
        <f t="shared" si="90"/>
        <v>0</v>
      </c>
      <c r="W118" s="120">
        <f t="shared" si="90"/>
        <v>6500</v>
      </c>
      <c r="X118" s="120">
        <f t="shared" si="90"/>
        <v>0</v>
      </c>
      <c r="Y118" s="120">
        <f t="shared" si="90"/>
        <v>6500</v>
      </c>
    </row>
    <row r="119" spans="1:25" s="15" customFormat="1" ht="17.25" customHeight="1">
      <c r="A119" s="129"/>
      <c r="B119" s="129"/>
      <c r="C119" s="117">
        <v>4210</v>
      </c>
      <c r="D119" s="119" t="s">
        <v>353</v>
      </c>
      <c r="E119" s="120">
        <f aca="true" t="shared" si="91" ref="E119:Q119">SUM(E120:E126)</f>
        <v>6500</v>
      </c>
      <c r="F119" s="120">
        <f t="shared" si="91"/>
        <v>0</v>
      </c>
      <c r="G119" s="120">
        <f t="shared" si="91"/>
        <v>6500</v>
      </c>
      <c r="H119" s="120">
        <f t="shared" si="91"/>
        <v>0</v>
      </c>
      <c r="I119" s="120">
        <f t="shared" si="91"/>
        <v>6500</v>
      </c>
      <c r="J119" s="120">
        <f t="shared" si="91"/>
        <v>0</v>
      </c>
      <c r="K119" s="120">
        <f t="shared" si="91"/>
        <v>6500</v>
      </c>
      <c r="L119" s="120">
        <f t="shared" si="91"/>
        <v>0</v>
      </c>
      <c r="M119" s="120">
        <f t="shared" si="91"/>
        <v>6500</v>
      </c>
      <c r="N119" s="120">
        <f t="shared" si="91"/>
        <v>0</v>
      </c>
      <c r="O119" s="120">
        <f t="shared" si="91"/>
        <v>6500</v>
      </c>
      <c r="P119" s="120">
        <f t="shared" si="91"/>
        <v>0</v>
      </c>
      <c r="Q119" s="120">
        <f t="shared" si="91"/>
        <v>6500</v>
      </c>
      <c r="R119" s="120">
        <f aca="true" t="shared" si="92" ref="R119:W119">SUM(R120:R126)</f>
        <v>0</v>
      </c>
      <c r="S119" s="120">
        <f t="shared" si="92"/>
        <v>6500</v>
      </c>
      <c r="T119" s="120">
        <f t="shared" si="92"/>
        <v>0</v>
      </c>
      <c r="U119" s="120">
        <f t="shared" si="92"/>
        <v>6500</v>
      </c>
      <c r="V119" s="120">
        <f t="shared" si="92"/>
        <v>0</v>
      </c>
      <c r="W119" s="120">
        <f t="shared" si="92"/>
        <v>6500</v>
      </c>
      <c r="X119" s="120">
        <f>SUM(X120:X126)</f>
        <v>0</v>
      </c>
      <c r="Y119" s="120">
        <f>SUM(Y120:Y126)</f>
        <v>6500</v>
      </c>
    </row>
    <row r="120" spans="1:25" s="15" customFormat="1" ht="21.75" customHeight="1">
      <c r="A120" s="129"/>
      <c r="B120" s="129"/>
      <c r="C120" s="121"/>
      <c r="D120" s="122" t="s">
        <v>340</v>
      </c>
      <c r="E120" s="123">
        <v>900</v>
      </c>
      <c r="F120" s="123"/>
      <c r="G120" s="123">
        <f aca="true" t="shared" si="93" ref="G120:G126">SUM(E120:F120)</f>
        <v>900</v>
      </c>
      <c r="H120" s="123"/>
      <c r="I120" s="123">
        <f aca="true" t="shared" si="94" ref="I120:I126">SUM(G120:H120)</f>
        <v>900</v>
      </c>
      <c r="J120" s="123"/>
      <c r="K120" s="123">
        <f aca="true" t="shared" si="95" ref="K120:K126">SUM(I120:J120)</f>
        <v>900</v>
      </c>
      <c r="L120" s="123"/>
      <c r="M120" s="123">
        <f aca="true" t="shared" si="96" ref="M120:M126">SUM(K120:L120)</f>
        <v>900</v>
      </c>
      <c r="N120" s="123"/>
      <c r="O120" s="123">
        <f aca="true" t="shared" si="97" ref="O120:O126">SUM(M120:N120)</f>
        <v>900</v>
      </c>
      <c r="P120" s="123"/>
      <c r="Q120" s="123">
        <f aca="true" t="shared" si="98" ref="Q120:Q126">SUM(O120:P120)</f>
        <v>900</v>
      </c>
      <c r="R120" s="123"/>
      <c r="S120" s="123">
        <f aca="true" t="shared" si="99" ref="S120:S126">SUM(Q120:R120)</f>
        <v>900</v>
      </c>
      <c r="T120" s="123"/>
      <c r="U120" s="123">
        <f aca="true" t="shared" si="100" ref="U120:U126">SUM(S120:T120)</f>
        <v>900</v>
      </c>
      <c r="V120" s="123"/>
      <c r="W120" s="123">
        <f aca="true" t="shared" si="101" ref="W120:W126">SUM(U120:V120)</f>
        <v>900</v>
      </c>
      <c r="X120" s="123"/>
      <c r="Y120" s="123">
        <f aca="true" t="shared" si="102" ref="Y120:Y126">SUM(W120:X120)</f>
        <v>900</v>
      </c>
    </row>
    <row r="121" spans="1:25" s="15" customFormat="1" ht="21.75" customHeight="1">
      <c r="A121" s="121"/>
      <c r="B121" s="121"/>
      <c r="C121" s="121"/>
      <c r="D121" s="122" t="s">
        <v>333</v>
      </c>
      <c r="E121" s="123">
        <v>2000</v>
      </c>
      <c r="F121" s="123"/>
      <c r="G121" s="123">
        <f t="shared" si="93"/>
        <v>2000</v>
      </c>
      <c r="H121" s="123"/>
      <c r="I121" s="123">
        <f t="shared" si="94"/>
        <v>2000</v>
      </c>
      <c r="J121" s="123"/>
      <c r="K121" s="123">
        <f t="shared" si="95"/>
        <v>2000</v>
      </c>
      <c r="L121" s="123"/>
      <c r="M121" s="123">
        <f t="shared" si="96"/>
        <v>2000</v>
      </c>
      <c r="N121" s="123"/>
      <c r="O121" s="123">
        <f t="shared" si="97"/>
        <v>2000</v>
      </c>
      <c r="P121" s="123"/>
      <c r="Q121" s="123">
        <f t="shared" si="98"/>
        <v>2000</v>
      </c>
      <c r="R121" s="123"/>
      <c r="S121" s="123">
        <f t="shared" si="99"/>
        <v>2000</v>
      </c>
      <c r="T121" s="123"/>
      <c r="U121" s="123">
        <f t="shared" si="100"/>
        <v>2000</v>
      </c>
      <c r="V121" s="123"/>
      <c r="W121" s="123">
        <f t="shared" si="101"/>
        <v>2000</v>
      </c>
      <c r="X121" s="123"/>
      <c r="Y121" s="123">
        <f t="shared" si="102"/>
        <v>2000</v>
      </c>
    </row>
    <row r="122" spans="1:25" s="15" customFormat="1" ht="21.75" customHeight="1">
      <c r="A122" s="121"/>
      <c r="B122" s="121"/>
      <c r="C122" s="121"/>
      <c r="D122" s="122" t="s">
        <v>345</v>
      </c>
      <c r="E122" s="123">
        <v>2000</v>
      </c>
      <c r="F122" s="123"/>
      <c r="G122" s="123">
        <f t="shared" si="93"/>
        <v>2000</v>
      </c>
      <c r="H122" s="123"/>
      <c r="I122" s="123">
        <f t="shared" si="94"/>
        <v>2000</v>
      </c>
      <c r="J122" s="123"/>
      <c r="K122" s="123">
        <f t="shared" si="95"/>
        <v>2000</v>
      </c>
      <c r="L122" s="123"/>
      <c r="M122" s="123">
        <f t="shared" si="96"/>
        <v>2000</v>
      </c>
      <c r="N122" s="123"/>
      <c r="O122" s="123">
        <f t="shared" si="97"/>
        <v>2000</v>
      </c>
      <c r="P122" s="123"/>
      <c r="Q122" s="123">
        <f t="shared" si="98"/>
        <v>2000</v>
      </c>
      <c r="R122" s="123"/>
      <c r="S122" s="123">
        <f t="shared" si="99"/>
        <v>2000</v>
      </c>
      <c r="T122" s="123"/>
      <c r="U122" s="123">
        <f t="shared" si="100"/>
        <v>2000</v>
      </c>
      <c r="V122" s="123"/>
      <c r="W122" s="123">
        <f t="shared" si="101"/>
        <v>2000</v>
      </c>
      <c r="X122" s="123"/>
      <c r="Y122" s="123">
        <f t="shared" si="102"/>
        <v>2000</v>
      </c>
    </row>
    <row r="123" spans="1:25" s="15" customFormat="1" ht="21.75" customHeight="1">
      <c r="A123" s="121"/>
      <c r="B123" s="121"/>
      <c r="C123" s="121"/>
      <c r="D123" s="122" t="s">
        <v>334</v>
      </c>
      <c r="E123" s="123">
        <v>200</v>
      </c>
      <c r="F123" s="123"/>
      <c r="G123" s="123">
        <f t="shared" si="93"/>
        <v>200</v>
      </c>
      <c r="H123" s="123"/>
      <c r="I123" s="123">
        <f t="shared" si="94"/>
        <v>200</v>
      </c>
      <c r="J123" s="123"/>
      <c r="K123" s="123">
        <f t="shared" si="95"/>
        <v>200</v>
      </c>
      <c r="L123" s="123"/>
      <c r="M123" s="123">
        <f t="shared" si="96"/>
        <v>200</v>
      </c>
      <c r="N123" s="123"/>
      <c r="O123" s="123">
        <f t="shared" si="97"/>
        <v>200</v>
      </c>
      <c r="P123" s="123"/>
      <c r="Q123" s="123">
        <f t="shared" si="98"/>
        <v>200</v>
      </c>
      <c r="R123" s="123"/>
      <c r="S123" s="123">
        <f t="shared" si="99"/>
        <v>200</v>
      </c>
      <c r="T123" s="123"/>
      <c r="U123" s="123">
        <f t="shared" si="100"/>
        <v>200</v>
      </c>
      <c r="V123" s="123"/>
      <c r="W123" s="123">
        <f t="shared" si="101"/>
        <v>200</v>
      </c>
      <c r="X123" s="123"/>
      <c r="Y123" s="123">
        <f t="shared" si="102"/>
        <v>200</v>
      </c>
    </row>
    <row r="124" spans="1:25" s="15" customFormat="1" ht="21.75" customHeight="1">
      <c r="A124" s="121"/>
      <c r="B124" s="121"/>
      <c r="C124" s="121"/>
      <c r="D124" s="122" t="s">
        <v>335</v>
      </c>
      <c r="E124" s="123">
        <v>700</v>
      </c>
      <c r="F124" s="123"/>
      <c r="G124" s="123">
        <f t="shared" si="93"/>
        <v>700</v>
      </c>
      <c r="H124" s="123"/>
      <c r="I124" s="123">
        <f t="shared" si="94"/>
        <v>700</v>
      </c>
      <c r="J124" s="123"/>
      <c r="K124" s="123">
        <f t="shared" si="95"/>
        <v>700</v>
      </c>
      <c r="L124" s="123"/>
      <c r="M124" s="123">
        <f t="shared" si="96"/>
        <v>700</v>
      </c>
      <c r="N124" s="123"/>
      <c r="O124" s="123">
        <f t="shared" si="97"/>
        <v>700</v>
      </c>
      <c r="P124" s="123"/>
      <c r="Q124" s="123">
        <f t="shared" si="98"/>
        <v>700</v>
      </c>
      <c r="R124" s="123"/>
      <c r="S124" s="123">
        <f t="shared" si="99"/>
        <v>700</v>
      </c>
      <c r="T124" s="123"/>
      <c r="U124" s="123">
        <f t="shared" si="100"/>
        <v>700</v>
      </c>
      <c r="V124" s="123"/>
      <c r="W124" s="123">
        <f t="shared" si="101"/>
        <v>700</v>
      </c>
      <c r="X124" s="123"/>
      <c r="Y124" s="123">
        <f t="shared" si="102"/>
        <v>700</v>
      </c>
    </row>
    <row r="125" spans="1:25" s="15" customFormat="1" ht="21.75" customHeight="1">
      <c r="A125" s="121"/>
      <c r="B125" s="121"/>
      <c r="C125" s="121"/>
      <c r="D125" s="122" t="s">
        <v>346</v>
      </c>
      <c r="E125" s="123">
        <v>500</v>
      </c>
      <c r="F125" s="123"/>
      <c r="G125" s="123">
        <f t="shared" si="93"/>
        <v>500</v>
      </c>
      <c r="H125" s="123"/>
      <c r="I125" s="123">
        <f t="shared" si="94"/>
        <v>500</v>
      </c>
      <c r="J125" s="123"/>
      <c r="K125" s="123">
        <f t="shared" si="95"/>
        <v>500</v>
      </c>
      <c r="L125" s="123"/>
      <c r="M125" s="123">
        <f t="shared" si="96"/>
        <v>500</v>
      </c>
      <c r="N125" s="123"/>
      <c r="O125" s="123">
        <f t="shared" si="97"/>
        <v>500</v>
      </c>
      <c r="P125" s="123"/>
      <c r="Q125" s="123">
        <f t="shared" si="98"/>
        <v>500</v>
      </c>
      <c r="R125" s="123"/>
      <c r="S125" s="123">
        <f t="shared" si="99"/>
        <v>500</v>
      </c>
      <c r="T125" s="123"/>
      <c r="U125" s="123">
        <f t="shared" si="100"/>
        <v>500</v>
      </c>
      <c r="V125" s="123"/>
      <c r="W125" s="123">
        <f t="shared" si="101"/>
        <v>500</v>
      </c>
      <c r="X125" s="123"/>
      <c r="Y125" s="123">
        <f t="shared" si="102"/>
        <v>500</v>
      </c>
    </row>
    <row r="126" spans="1:25" s="15" customFormat="1" ht="21.75" customHeight="1">
      <c r="A126" s="121"/>
      <c r="B126" s="121"/>
      <c r="C126" s="121"/>
      <c r="D126" s="122" t="s">
        <v>347</v>
      </c>
      <c r="E126" s="123">
        <v>200</v>
      </c>
      <c r="F126" s="123"/>
      <c r="G126" s="123">
        <f t="shared" si="93"/>
        <v>200</v>
      </c>
      <c r="H126" s="123"/>
      <c r="I126" s="123">
        <f t="shared" si="94"/>
        <v>200</v>
      </c>
      <c r="J126" s="123"/>
      <c r="K126" s="123">
        <f t="shared" si="95"/>
        <v>200</v>
      </c>
      <c r="L126" s="123"/>
      <c r="M126" s="123">
        <f t="shared" si="96"/>
        <v>200</v>
      </c>
      <c r="N126" s="123"/>
      <c r="O126" s="123">
        <f t="shared" si="97"/>
        <v>200</v>
      </c>
      <c r="P126" s="123"/>
      <c r="Q126" s="123">
        <f t="shared" si="98"/>
        <v>200</v>
      </c>
      <c r="R126" s="123"/>
      <c r="S126" s="123">
        <f t="shared" si="99"/>
        <v>200</v>
      </c>
      <c r="T126" s="123"/>
      <c r="U126" s="123">
        <f t="shared" si="100"/>
        <v>200</v>
      </c>
      <c r="V126" s="123"/>
      <c r="W126" s="123">
        <f t="shared" si="101"/>
        <v>200</v>
      </c>
      <c r="X126" s="123"/>
      <c r="Y126" s="123">
        <f t="shared" si="102"/>
        <v>200</v>
      </c>
    </row>
    <row r="127" spans="1:25" s="15" customFormat="1" ht="24" customHeight="1">
      <c r="A127" s="117"/>
      <c r="B127" s="117">
        <v>80103</v>
      </c>
      <c r="C127" s="118"/>
      <c r="D127" s="119" t="s">
        <v>172</v>
      </c>
      <c r="E127" s="120">
        <f aca="true" t="shared" si="103" ref="E127:Y127">SUM(E128,)</f>
        <v>1900</v>
      </c>
      <c r="F127" s="120">
        <f t="shared" si="103"/>
        <v>0</v>
      </c>
      <c r="G127" s="120">
        <f t="shared" si="103"/>
        <v>1900</v>
      </c>
      <c r="H127" s="120">
        <f t="shared" si="103"/>
        <v>0</v>
      </c>
      <c r="I127" s="120">
        <f t="shared" si="103"/>
        <v>1900</v>
      </c>
      <c r="J127" s="120">
        <f t="shared" si="103"/>
        <v>0</v>
      </c>
      <c r="K127" s="120">
        <f t="shared" si="103"/>
        <v>1900</v>
      </c>
      <c r="L127" s="120">
        <f t="shared" si="103"/>
        <v>0</v>
      </c>
      <c r="M127" s="120">
        <f t="shared" si="103"/>
        <v>1900</v>
      </c>
      <c r="N127" s="120">
        <f t="shared" si="103"/>
        <v>0</v>
      </c>
      <c r="O127" s="120">
        <f t="shared" si="103"/>
        <v>1900</v>
      </c>
      <c r="P127" s="120">
        <f t="shared" si="103"/>
        <v>0</v>
      </c>
      <c r="Q127" s="120">
        <f t="shared" si="103"/>
        <v>1900</v>
      </c>
      <c r="R127" s="120">
        <f t="shared" si="103"/>
        <v>0</v>
      </c>
      <c r="S127" s="120">
        <f t="shared" si="103"/>
        <v>1900</v>
      </c>
      <c r="T127" s="120">
        <f t="shared" si="103"/>
        <v>0</v>
      </c>
      <c r="U127" s="120">
        <f t="shared" si="103"/>
        <v>1900</v>
      </c>
      <c r="V127" s="120">
        <f t="shared" si="103"/>
        <v>0</v>
      </c>
      <c r="W127" s="120">
        <f t="shared" si="103"/>
        <v>1900</v>
      </c>
      <c r="X127" s="120">
        <f t="shared" si="103"/>
        <v>0</v>
      </c>
      <c r="Y127" s="120">
        <f t="shared" si="103"/>
        <v>1900</v>
      </c>
    </row>
    <row r="128" spans="1:25" s="15" customFormat="1" ht="21.75" customHeight="1">
      <c r="A128" s="117"/>
      <c r="B128" s="117"/>
      <c r="C128" s="118">
        <v>4210</v>
      </c>
      <c r="D128" s="119" t="s">
        <v>82</v>
      </c>
      <c r="E128" s="120">
        <f aca="true" t="shared" si="104" ref="E128:Q128">SUM(E129:E132)</f>
        <v>1900</v>
      </c>
      <c r="F128" s="120">
        <f t="shared" si="104"/>
        <v>0</v>
      </c>
      <c r="G128" s="120">
        <f t="shared" si="104"/>
        <v>1900</v>
      </c>
      <c r="H128" s="120">
        <f t="shared" si="104"/>
        <v>0</v>
      </c>
      <c r="I128" s="120">
        <f t="shared" si="104"/>
        <v>1900</v>
      </c>
      <c r="J128" s="120">
        <f t="shared" si="104"/>
        <v>0</v>
      </c>
      <c r="K128" s="120">
        <f t="shared" si="104"/>
        <v>1900</v>
      </c>
      <c r="L128" s="120">
        <f t="shared" si="104"/>
        <v>0</v>
      </c>
      <c r="M128" s="120">
        <f t="shared" si="104"/>
        <v>1900</v>
      </c>
      <c r="N128" s="120">
        <f t="shared" si="104"/>
        <v>0</v>
      </c>
      <c r="O128" s="120">
        <f t="shared" si="104"/>
        <v>1900</v>
      </c>
      <c r="P128" s="120">
        <f t="shared" si="104"/>
        <v>0</v>
      </c>
      <c r="Q128" s="120">
        <f t="shared" si="104"/>
        <v>1900</v>
      </c>
      <c r="R128" s="120">
        <f aca="true" t="shared" si="105" ref="R128:W128">SUM(R129:R132)</f>
        <v>0</v>
      </c>
      <c r="S128" s="120">
        <f t="shared" si="105"/>
        <v>1900</v>
      </c>
      <c r="T128" s="120">
        <f t="shared" si="105"/>
        <v>0</v>
      </c>
      <c r="U128" s="120">
        <f t="shared" si="105"/>
        <v>1900</v>
      </c>
      <c r="V128" s="120">
        <f t="shared" si="105"/>
        <v>0</v>
      </c>
      <c r="W128" s="120">
        <f t="shared" si="105"/>
        <v>1900</v>
      </c>
      <c r="X128" s="120">
        <f>SUM(X129:X132)</f>
        <v>0</v>
      </c>
      <c r="Y128" s="120">
        <f>SUM(Y129:Y132)</f>
        <v>1900</v>
      </c>
    </row>
    <row r="129" spans="1:25" s="15" customFormat="1" ht="21.75" customHeight="1">
      <c r="A129" s="128"/>
      <c r="B129" s="128"/>
      <c r="C129" s="127"/>
      <c r="D129" s="122" t="s">
        <v>347</v>
      </c>
      <c r="E129" s="123">
        <v>200</v>
      </c>
      <c r="F129" s="123"/>
      <c r="G129" s="123">
        <f>SUM(E129:F129)</f>
        <v>200</v>
      </c>
      <c r="H129" s="123"/>
      <c r="I129" s="123">
        <f>SUM(G129:H129)</f>
        <v>200</v>
      </c>
      <c r="J129" s="123"/>
      <c r="K129" s="123">
        <f>SUM(I129:J129)</f>
        <v>200</v>
      </c>
      <c r="L129" s="123"/>
      <c r="M129" s="123">
        <f>SUM(K129:L129)</f>
        <v>200</v>
      </c>
      <c r="N129" s="123"/>
      <c r="O129" s="123">
        <f>SUM(M129:N129)</f>
        <v>200</v>
      </c>
      <c r="P129" s="123"/>
      <c r="Q129" s="123">
        <f>SUM(O129:P129)</f>
        <v>200</v>
      </c>
      <c r="R129" s="123"/>
      <c r="S129" s="123">
        <f>SUM(Q129:R129)</f>
        <v>200</v>
      </c>
      <c r="T129" s="123"/>
      <c r="U129" s="123">
        <f>SUM(S129:T129)</f>
        <v>200</v>
      </c>
      <c r="V129" s="123"/>
      <c r="W129" s="123">
        <f>SUM(U129:V129)</f>
        <v>200</v>
      </c>
      <c r="X129" s="123"/>
      <c r="Y129" s="123">
        <f>SUM(W129:X129)</f>
        <v>200</v>
      </c>
    </row>
    <row r="130" spans="1:25" s="15" customFormat="1" ht="21.75" customHeight="1">
      <c r="A130" s="128"/>
      <c r="B130" s="128"/>
      <c r="C130" s="127"/>
      <c r="D130" s="122" t="s">
        <v>346</v>
      </c>
      <c r="E130" s="123">
        <v>500</v>
      </c>
      <c r="F130" s="123"/>
      <c r="G130" s="123">
        <f>SUM(E130:F130)</f>
        <v>500</v>
      </c>
      <c r="H130" s="123"/>
      <c r="I130" s="123">
        <f>SUM(G130:H130)</f>
        <v>500</v>
      </c>
      <c r="J130" s="123"/>
      <c r="K130" s="123">
        <f>SUM(I130:J130)</f>
        <v>500</v>
      </c>
      <c r="L130" s="123"/>
      <c r="M130" s="123">
        <f>SUM(K130:L130)</f>
        <v>500</v>
      </c>
      <c r="N130" s="123"/>
      <c r="O130" s="123">
        <f>SUM(M130:N130)</f>
        <v>500</v>
      </c>
      <c r="P130" s="123"/>
      <c r="Q130" s="123">
        <f>SUM(O130:P130)</f>
        <v>500</v>
      </c>
      <c r="R130" s="123"/>
      <c r="S130" s="123">
        <f>SUM(Q130:R130)</f>
        <v>500</v>
      </c>
      <c r="T130" s="123"/>
      <c r="U130" s="123">
        <f>SUM(S130:T130)</f>
        <v>500</v>
      </c>
      <c r="V130" s="123"/>
      <c r="W130" s="123">
        <f>SUM(U130:V130)</f>
        <v>500</v>
      </c>
      <c r="X130" s="123"/>
      <c r="Y130" s="123">
        <f>SUM(W130:X130)</f>
        <v>500</v>
      </c>
    </row>
    <row r="131" spans="1:25" s="15" customFormat="1" ht="21.75" customHeight="1">
      <c r="A131" s="128"/>
      <c r="B131" s="128"/>
      <c r="C131" s="127"/>
      <c r="D131" s="122" t="s">
        <v>345</v>
      </c>
      <c r="E131" s="123">
        <v>1000</v>
      </c>
      <c r="F131" s="123"/>
      <c r="G131" s="123">
        <f>SUM(E131:F131)</f>
        <v>1000</v>
      </c>
      <c r="H131" s="123"/>
      <c r="I131" s="123">
        <f>SUM(G131:H131)</f>
        <v>1000</v>
      </c>
      <c r="J131" s="123"/>
      <c r="K131" s="123">
        <f>SUM(I131:J131)</f>
        <v>1000</v>
      </c>
      <c r="L131" s="123"/>
      <c r="M131" s="123">
        <f>SUM(K131:L131)</f>
        <v>1000</v>
      </c>
      <c r="N131" s="123"/>
      <c r="O131" s="123">
        <f>SUM(M131:N131)</f>
        <v>1000</v>
      </c>
      <c r="P131" s="123"/>
      <c r="Q131" s="123">
        <f>SUM(O131:P131)</f>
        <v>1000</v>
      </c>
      <c r="R131" s="123"/>
      <c r="S131" s="123">
        <f>SUM(Q131:R131)</f>
        <v>1000</v>
      </c>
      <c r="T131" s="123"/>
      <c r="U131" s="123">
        <f>SUM(S131:T131)</f>
        <v>1000</v>
      </c>
      <c r="V131" s="123"/>
      <c r="W131" s="123">
        <f>SUM(U131:V131)</f>
        <v>1000</v>
      </c>
      <c r="X131" s="123"/>
      <c r="Y131" s="123">
        <f>SUM(W131:X131)</f>
        <v>1000</v>
      </c>
    </row>
    <row r="132" spans="1:25" s="15" customFormat="1" ht="21.75" customHeight="1">
      <c r="A132" s="128"/>
      <c r="B132" s="128"/>
      <c r="C132" s="127"/>
      <c r="D132" s="122" t="s">
        <v>334</v>
      </c>
      <c r="E132" s="123">
        <v>200</v>
      </c>
      <c r="F132" s="123"/>
      <c r="G132" s="123">
        <f>SUM(E132:F132)</f>
        <v>200</v>
      </c>
      <c r="H132" s="123"/>
      <c r="I132" s="123">
        <f>SUM(G132:H132)</f>
        <v>200</v>
      </c>
      <c r="J132" s="123"/>
      <c r="K132" s="123">
        <f>SUM(I132:J132)</f>
        <v>200</v>
      </c>
      <c r="L132" s="123"/>
      <c r="M132" s="123">
        <f>SUM(K132:L132)</f>
        <v>200</v>
      </c>
      <c r="N132" s="123"/>
      <c r="O132" s="123">
        <f>SUM(M132:N132)</f>
        <v>200</v>
      </c>
      <c r="P132" s="123"/>
      <c r="Q132" s="123">
        <f>SUM(O132:P132)</f>
        <v>200</v>
      </c>
      <c r="R132" s="123"/>
      <c r="S132" s="123">
        <f>SUM(Q132:R132)</f>
        <v>200</v>
      </c>
      <c r="T132" s="123"/>
      <c r="U132" s="123">
        <f>SUM(S132:T132)</f>
        <v>200</v>
      </c>
      <c r="V132" s="123"/>
      <c r="W132" s="123">
        <f>SUM(U132:V132)</f>
        <v>200</v>
      </c>
      <c r="X132" s="123"/>
      <c r="Y132" s="123">
        <f>SUM(W132:X132)</f>
        <v>200</v>
      </c>
    </row>
    <row r="133" spans="1:25" s="15" customFormat="1" ht="24" customHeight="1">
      <c r="A133" s="117"/>
      <c r="B133" s="117">
        <v>80104</v>
      </c>
      <c r="C133" s="118"/>
      <c r="D133" s="119" t="s">
        <v>236</v>
      </c>
      <c r="E133" s="120">
        <f aca="true" t="shared" si="106" ref="E133:Y133">SUM(E134)</f>
        <v>400</v>
      </c>
      <c r="F133" s="120">
        <f t="shared" si="106"/>
        <v>0</v>
      </c>
      <c r="G133" s="120">
        <f t="shared" si="106"/>
        <v>400</v>
      </c>
      <c r="H133" s="120">
        <f t="shared" si="106"/>
        <v>0</v>
      </c>
      <c r="I133" s="120">
        <f t="shared" si="106"/>
        <v>400</v>
      </c>
      <c r="J133" s="120">
        <f t="shared" si="106"/>
        <v>-400</v>
      </c>
      <c r="K133" s="120">
        <f t="shared" si="106"/>
        <v>0</v>
      </c>
      <c r="L133" s="120">
        <f t="shared" si="106"/>
        <v>0</v>
      </c>
      <c r="M133" s="120">
        <f t="shared" si="106"/>
        <v>0</v>
      </c>
      <c r="N133" s="120">
        <f t="shared" si="106"/>
        <v>0</v>
      </c>
      <c r="O133" s="120">
        <f t="shared" si="106"/>
        <v>0</v>
      </c>
      <c r="P133" s="120">
        <f t="shared" si="106"/>
        <v>0</v>
      </c>
      <c r="Q133" s="120">
        <f t="shared" si="106"/>
        <v>0</v>
      </c>
      <c r="R133" s="120">
        <f t="shared" si="106"/>
        <v>0</v>
      </c>
      <c r="S133" s="120">
        <f t="shared" si="106"/>
        <v>0</v>
      </c>
      <c r="T133" s="120">
        <f t="shared" si="106"/>
        <v>0</v>
      </c>
      <c r="U133" s="120">
        <f t="shared" si="106"/>
        <v>0</v>
      </c>
      <c r="V133" s="120">
        <f t="shared" si="106"/>
        <v>0</v>
      </c>
      <c r="W133" s="120">
        <f t="shared" si="106"/>
        <v>0</v>
      </c>
      <c r="X133" s="120">
        <f t="shared" si="106"/>
        <v>0</v>
      </c>
      <c r="Y133" s="120">
        <f t="shared" si="106"/>
        <v>0</v>
      </c>
    </row>
    <row r="134" spans="1:25" s="15" customFormat="1" ht="21.75" customHeight="1">
      <c r="A134" s="117"/>
      <c r="B134" s="117"/>
      <c r="C134" s="118">
        <v>4210</v>
      </c>
      <c r="D134" s="119" t="s">
        <v>82</v>
      </c>
      <c r="E134" s="120">
        <f aca="true" t="shared" si="107" ref="E134:Y134">SUM(E135:E135)</f>
        <v>400</v>
      </c>
      <c r="F134" s="120">
        <f t="shared" si="107"/>
        <v>0</v>
      </c>
      <c r="G134" s="120">
        <f t="shared" si="107"/>
        <v>400</v>
      </c>
      <c r="H134" s="120">
        <f t="shared" si="107"/>
        <v>0</v>
      </c>
      <c r="I134" s="120">
        <f t="shared" si="107"/>
        <v>400</v>
      </c>
      <c r="J134" s="120">
        <f t="shared" si="107"/>
        <v>-400</v>
      </c>
      <c r="K134" s="120">
        <f t="shared" si="107"/>
        <v>0</v>
      </c>
      <c r="L134" s="120">
        <f t="shared" si="107"/>
        <v>0</v>
      </c>
      <c r="M134" s="120">
        <f t="shared" si="107"/>
        <v>0</v>
      </c>
      <c r="N134" s="120">
        <f t="shared" si="107"/>
        <v>0</v>
      </c>
      <c r="O134" s="120">
        <f t="shared" si="107"/>
        <v>0</v>
      </c>
      <c r="P134" s="120">
        <f t="shared" si="107"/>
        <v>0</v>
      </c>
      <c r="Q134" s="120">
        <f t="shared" si="107"/>
        <v>0</v>
      </c>
      <c r="R134" s="120">
        <f t="shared" si="107"/>
        <v>0</v>
      </c>
      <c r="S134" s="120">
        <f t="shared" si="107"/>
        <v>0</v>
      </c>
      <c r="T134" s="120">
        <f t="shared" si="107"/>
        <v>0</v>
      </c>
      <c r="U134" s="120">
        <f t="shared" si="107"/>
        <v>0</v>
      </c>
      <c r="V134" s="120">
        <f t="shared" si="107"/>
        <v>0</v>
      </c>
      <c r="W134" s="120">
        <f t="shared" si="107"/>
        <v>0</v>
      </c>
      <c r="X134" s="120">
        <f t="shared" si="107"/>
        <v>0</v>
      </c>
      <c r="Y134" s="120">
        <f t="shared" si="107"/>
        <v>0</v>
      </c>
    </row>
    <row r="135" spans="1:25" s="15" customFormat="1" ht="21.75" customHeight="1">
      <c r="A135" s="128"/>
      <c r="B135" s="128"/>
      <c r="C135" s="127"/>
      <c r="D135" s="122" t="s">
        <v>340</v>
      </c>
      <c r="E135" s="123">
        <v>400</v>
      </c>
      <c r="F135" s="123"/>
      <c r="G135" s="123">
        <f>SUM(E135:F135)</f>
        <v>400</v>
      </c>
      <c r="H135" s="123"/>
      <c r="I135" s="123">
        <f>SUM(G135:H135)</f>
        <v>400</v>
      </c>
      <c r="J135" s="123">
        <v>-400</v>
      </c>
      <c r="K135" s="123">
        <f>SUM(I135:J135)</f>
        <v>0</v>
      </c>
      <c r="L135" s="123"/>
      <c r="M135" s="123">
        <f>SUM(K135:L135)</f>
        <v>0</v>
      </c>
      <c r="N135" s="123"/>
      <c r="O135" s="123">
        <f>SUM(M135:N135)</f>
        <v>0</v>
      </c>
      <c r="P135" s="123"/>
      <c r="Q135" s="123">
        <f>SUM(O135:P135)</f>
        <v>0</v>
      </c>
      <c r="R135" s="123"/>
      <c r="S135" s="123">
        <f>SUM(Q135:R135)</f>
        <v>0</v>
      </c>
      <c r="T135" s="123"/>
      <c r="U135" s="123">
        <f>SUM(S135:T135)</f>
        <v>0</v>
      </c>
      <c r="V135" s="123"/>
      <c r="W135" s="123">
        <f>SUM(U135:V135)</f>
        <v>0</v>
      </c>
      <c r="X135" s="123"/>
      <c r="Y135" s="123">
        <f>SUM(W135:X135)</f>
        <v>0</v>
      </c>
    </row>
    <row r="136" spans="1:25" s="15" customFormat="1" ht="19.5" customHeight="1">
      <c r="A136" s="117"/>
      <c r="B136" s="117">
        <v>80110</v>
      </c>
      <c r="C136" s="118"/>
      <c r="D136" s="119" t="s">
        <v>44</v>
      </c>
      <c r="E136" s="120">
        <f aca="true" t="shared" si="108" ref="E136:Y136">E137</f>
        <v>900</v>
      </c>
      <c r="F136" s="120">
        <f t="shared" si="108"/>
        <v>0</v>
      </c>
      <c r="G136" s="120">
        <f t="shared" si="108"/>
        <v>900</v>
      </c>
      <c r="H136" s="120">
        <f t="shared" si="108"/>
        <v>0</v>
      </c>
      <c r="I136" s="120">
        <f t="shared" si="108"/>
        <v>900</v>
      </c>
      <c r="J136" s="120">
        <f t="shared" si="108"/>
        <v>0</v>
      </c>
      <c r="K136" s="120">
        <f t="shared" si="108"/>
        <v>900</v>
      </c>
      <c r="L136" s="120">
        <f t="shared" si="108"/>
        <v>0</v>
      </c>
      <c r="M136" s="120">
        <f t="shared" si="108"/>
        <v>900</v>
      </c>
      <c r="N136" s="120">
        <f t="shared" si="108"/>
        <v>0</v>
      </c>
      <c r="O136" s="120">
        <f t="shared" si="108"/>
        <v>900</v>
      </c>
      <c r="P136" s="120">
        <f t="shared" si="108"/>
        <v>0</v>
      </c>
      <c r="Q136" s="120">
        <f t="shared" si="108"/>
        <v>900</v>
      </c>
      <c r="R136" s="120">
        <f t="shared" si="108"/>
        <v>0</v>
      </c>
      <c r="S136" s="120">
        <f t="shared" si="108"/>
        <v>900</v>
      </c>
      <c r="T136" s="120">
        <f t="shared" si="108"/>
        <v>0</v>
      </c>
      <c r="U136" s="120">
        <f t="shared" si="108"/>
        <v>900</v>
      </c>
      <c r="V136" s="120">
        <f t="shared" si="108"/>
        <v>0</v>
      </c>
      <c r="W136" s="120">
        <f t="shared" si="108"/>
        <v>900</v>
      </c>
      <c r="X136" s="120">
        <f t="shared" si="108"/>
        <v>0</v>
      </c>
      <c r="Y136" s="120">
        <f t="shared" si="108"/>
        <v>900</v>
      </c>
    </row>
    <row r="137" spans="1:25" s="15" customFormat="1" ht="18" customHeight="1">
      <c r="A137" s="117"/>
      <c r="B137" s="117"/>
      <c r="C137" s="118">
        <v>4210</v>
      </c>
      <c r="D137" s="119" t="s">
        <v>82</v>
      </c>
      <c r="E137" s="120">
        <f aca="true" t="shared" si="109" ref="E137:Y137">SUM(E138)</f>
        <v>900</v>
      </c>
      <c r="F137" s="120">
        <f t="shared" si="109"/>
        <v>0</v>
      </c>
      <c r="G137" s="120">
        <f t="shared" si="109"/>
        <v>900</v>
      </c>
      <c r="H137" s="120">
        <f t="shared" si="109"/>
        <v>0</v>
      </c>
      <c r="I137" s="120">
        <f t="shared" si="109"/>
        <v>900</v>
      </c>
      <c r="J137" s="120">
        <f t="shared" si="109"/>
        <v>0</v>
      </c>
      <c r="K137" s="120">
        <f t="shared" si="109"/>
        <v>900</v>
      </c>
      <c r="L137" s="120">
        <f t="shared" si="109"/>
        <v>0</v>
      </c>
      <c r="M137" s="120">
        <f t="shared" si="109"/>
        <v>900</v>
      </c>
      <c r="N137" s="120">
        <f t="shared" si="109"/>
        <v>0</v>
      </c>
      <c r="O137" s="120">
        <f t="shared" si="109"/>
        <v>900</v>
      </c>
      <c r="P137" s="120">
        <f t="shared" si="109"/>
        <v>0</v>
      </c>
      <c r="Q137" s="120">
        <f t="shared" si="109"/>
        <v>900</v>
      </c>
      <c r="R137" s="120">
        <f t="shared" si="109"/>
        <v>0</v>
      </c>
      <c r="S137" s="120">
        <f t="shared" si="109"/>
        <v>900</v>
      </c>
      <c r="T137" s="120">
        <f t="shared" si="109"/>
        <v>0</v>
      </c>
      <c r="U137" s="120">
        <f t="shared" si="109"/>
        <v>900</v>
      </c>
      <c r="V137" s="120">
        <f t="shared" si="109"/>
        <v>0</v>
      </c>
      <c r="W137" s="120">
        <f t="shared" si="109"/>
        <v>900</v>
      </c>
      <c r="X137" s="120">
        <f t="shared" si="109"/>
        <v>0</v>
      </c>
      <c r="Y137" s="120">
        <f t="shared" si="109"/>
        <v>900</v>
      </c>
    </row>
    <row r="138" spans="1:25" s="15" customFormat="1" ht="21.75" customHeight="1">
      <c r="A138" s="128"/>
      <c r="B138" s="128"/>
      <c r="C138" s="127"/>
      <c r="D138" s="122" t="s">
        <v>340</v>
      </c>
      <c r="E138" s="123">
        <v>900</v>
      </c>
      <c r="F138" s="123"/>
      <c r="G138" s="123">
        <f>SUM(E138:F138)</f>
        <v>900</v>
      </c>
      <c r="H138" s="123"/>
      <c r="I138" s="123">
        <f>SUM(G138:H138)</f>
        <v>900</v>
      </c>
      <c r="J138" s="123"/>
      <c r="K138" s="123">
        <f>SUM(I138:J138)</f>
        <v>900</v>
      </c>
      <c r="L138" s="123"/>
      <c r="M138" s="123">
        <f>SUM(K138:L138)</f>
        <v>900</v>
      </c>
      <c r="N138" s="123"/>
      <c r="O138" s="123">
        <f>SUM(M138:N138)</f>
        <v>900</v>
      </c>
      <c r="P138" s="123"/>
      <c r="Q138" s="123">
        <f>SUM(O138:P138)</f>
        <v>900</v>
      </c>
      <c r="R138" s="123"/>
      <c r="S138" s="123">
        <f>SUM(Q138:R138)</f>
        <v>900</v>
      </c>
      <c r="T138" s="123"/>
      <c r="U138" s="123">
        <f>SUM(S138:T138)</f>
        <v>900</v>
      </c>
      <c r="V138" s="123"/>
      <c r="W138" s="123">
        <f>SUM(U138:V138)</f>
        <v>900</v>
      </c>
      <c r="X138" s="123"/>
      <c r="Y138" s="123">
        <f>SUM(W138:X138)</f>
        <v>900</v>
      </c>
    </row>
    <row r="139" spans="1:25" s="29" customFormat="1" ht="19.5" customHeight="1">
      <c r="A139" s="114">
        <v>851</v>
      </c>
      <c r="B139" s="114"/>
      <c r="C139" s="115"/>
      <c r="D139" s="116" t="s">
        <v>45</v>
      </c>
      <c r="E139" s="113">
        <f aca="true" t="shared" si="110" ref="E139:X141">SUM(E140)</f>
        <v>800</v>
      </c>
      <c r="F139" s="113">
        <f t="shared" si="110"/>
        <v>0</v>
      </c>
      <c r="G139" s="113">
        <f t="shared" si="110"/>
        <v>800</v>
      </c>
      <c r="H139" s="113">
        <f t="shared" si="110"/>
        <v>0</v>
      </c>
      <c r="I139" s="113">
        <f t="shared" si="110"/>
        <v>800</v>
      </c>
      <c r="J139" s="113">
        <f t="shared" si="110"/>
        <v>0</v>
      </c>
      <c r="K139" s="113">
        <f t="shared" si="110"/>
        <v>800</v>
      </c>
      <c r="L139" s="113">
        <f t="shared" si="110"/>
        <v>0</v>
      </c>
      <c r="M139" s="113">
        <f t="shared" si="110"/>
        <v>800</v>
      </c>
      <c r="N139" s="113">
        <f t="shared" si="110"/>
        <v>432</v>
      </c>
      <c r="O139" s="113">
        <f t="shared" si="110"/>
        <v>1232</v>
      </c>
      <c r="P139" s="113">
        <f t="shared" si="110"/>
        <v>0</v>
      </c>
      <c r="Q139" s="113">
        <f t="shared" si="110"/>
        <v>1232</v>
      </c>
      <c r="R139" s="113">
        <f t="shared" si="110"/>
        <v>0</v>
      </c>
      <c r="S139" s="113">
        <f t="shared" si="110"/>
        <v>1232</v>
      </c>
      <c r="T139" s="113">
        <f t="shared" si="110"/>
        <v>0</v>
      </c>
      <c r="U139" s="113">
        <f aca="true" t="shared" si="111" ref="T139:Y141">SUM(U140)</f>
        <v>1232</v>
      </c>
      <c r="V139" s="113">
        <f t="shared" si="110"/>
        <v>0</v>
      </c>
      <c r="W139" s="113">
        <f t="shared" si="111"/>
        <v>1232</v>
      </c>
      <c r="X139" s="113">
        <f t="shared" si="110"/>
        <v>0</v>
      </c>
      <c r="Y139" s="113">
        <f t="shared" si="111"/>
        <v>1232</v>
      </c>
    </row>
    <row r="140" spans="1:25" s="15" customFormat="1" ht="24" customHeight="1">
      <c r="A140" s="117"/>
      <c r="B140" s="117">
        <v>85154</v>
      </c>
      <c r="C140" s="118"/>
      <c r="D140" s="119" t="s">
        <v>46</v>
      </c>
      <c r="E140" s="120">
        <f t="shared" si="110"/>
        <v>800</v>
      </c>
      <c r="F140" s="120">
        <f t="shared" si="110"/>
        <v>0</v>
      </c>
      <c r="G140" s="120">
        <f t="shared" si="110"/>
        <v>800</v>
      </c>
      <c r="H140" s="120">
        <f t="shared" si="110"/>
        <v>0</v>
      </c>
      <c r="I140" s="120">
        <f t="shared" si="110"/>
        <v>800</v>
      </c>
      <c r="J140" s="120">
        <f t="shared" si="110"/>
        <v>0</v>
      </c>
      <c r="K140" s="120">
        <f t="shared" si="110"/>
        <v>800</v>
      </c>
      <c r="L140" s="120">
        <f t="shared" si="110"/>
        <v>0</v>
      </c>
      <c r="M140" s="120">
        <f t="shared" si="110"/>
        <v>800</v>
      </c>
      <c r="N140" s="120">
        <f t="shared" si="110"/>
        <v>432</v>
      </c>
      <c r="O140" s="120">
        <f t="shared" si="110"/>
        <v>1232</v>
      </c>
      <c r="P140" s="120">
        <f t="shared" si="110"/>
        <v>0</v>
      </c>
      <c r="Q140" s="120">
        <f t="shared" si="110"/>
        <v>1232</v>
      </c>
      <c r="R140" s="120">
        <f t="shared" si="110"/>
        <v>0</v>
      </c>
      <c r="S140" s="120">
        <f t="shared" si="110"/>
        <v>1232</v>
      </c>
      <c r="T140" s="120">
        <f t="shared" si="111"/>
        <v>0</v>
      </c>
      <c r="U140" s="120">
        <f t="shared" si="111"/>
        <v>1232</v>
      </c>
      <c r="V140" s="120">
        <f t="shared" si="111"/>
        <v>0</v>
      </c>
      <c r="W140" s="120">
        <f t="shared" si="111"/>
        <v>1232</v>
      </c>
      <c r="X140" s="120">
        <f t="shared" si="111"/>
        <v>0</v>
      </c>
      <c r="Y140" s="120">
        <f t="shared" si="111"/>
        <v>1232</v>
      </c>
    </row>
    <row r="141" spans="1:25" s="15" customFormat="1" ht="18.75" customHeight="1">
      <c r="A141" s="117"/>
      <c r="B141" s="117"/>
      <c r="C141" s="118">
        <v>4350</v>
      </c>
      <c r="D141" s="119" t="s">
        <v>354</v>
      </c>
      <c r="E141" s="120">
        <f t="shared" si="110"/>
        <v>800</v>
      </c>
      <c r="F141" s="120">
        <f t="shared" si="110"/>
        <v>0</v>
      </c>
      <c r="G141" s="120">
        <f t="shared" si="110"/>
        <v>800</v>
      </c>
      <c r="H141" s="120">
        <f t="shared" si="110"/>
        <v>0</v>
      </c>
      <c r="I141" s="120">
        <f t="shared" si="110"/>
        <v>800</v>
      </c>
      <c r="J141" s="120">
        <f t="shared" si="110"/>
        <v>0</v>
      </c>
      <c r="K141" s="120">
        <f t="shared" si="110"/>
        <v>800</v>
      </c>
      <c r="L141" s="120">
        <f t="shared" si="110"/>
        <v>0</v>
      </c>
      <c r="M141" s="120">
        <f t="shared" si="110"/>
        <v>800</v>
      </c>
      <c r="N141" s="120">
        <f t="shared" si="110"/>
        <v>432</v>
      </c>
      <c r="O141" s="120">
        <f t="shared" si="110"/>
        <v>1232</v>
      </c>
      <c r="P141" s="120">
        <f t="shared" si="110"/>
        <v>0</v>
      </c>
      <c r="Q141" s="120">
        <f t="shared" si="110"/>
        <v>1232</v>
      </c>
      <c r="R141" s="120">
        <f t="shared" si="110"/>
        <v>0</v>
      </c>
      <c r="S141" s="120">
        <f t="shared" si="110"/>
        <v>1232</v>
      </c>
      <c r="T141" s="120">
        <f t="shared" si="111"/>
        <v>0</v>
      </c>
      <c r="U141" s="120">
        <f t="shared" si="111"/>
        <v>1232</v>
      </c>
      <c r="V141" s="120">
        <f t="shared" si="111"/>
        <v>0</v>
      </c>
      <c r="W141" s="120">
        <f t="shared" si="111"/>
        <v>1232</v>
      </c>
      <c r="X141" s="120">
        <f t="shared" si="111"/>
        <v>0</v>
      </c>
      <c r="Y141" s="120">
        <f t="shared" si="111"/>
        <v>1232</v>
      </c>
    </row>
    <row r="142" spans="1:25" s="17" customFormat="1" ht="21.75" customHeight="1">
      <c r="A142" s="128"/>
      <c r="B142" s="128"/>
      <c r="C142" s="127"/>
      <c r="D142" s="122" t="s">
        <v>340</v>
      </c>
      <c r="E142" s="123">
        <v>800</v>
      </c>
      <c r="F142" s="123"/>
      <c r="G142" s="123">
        <f>SUM(E142:F142)</f>
        <v>800</v>
      </c>
      <c r="H142" s="123"/>
      <c r="I142" s="123">
        <f>SUM(G142:H142)</f>
        <v>800</v>
      </c>
      <c r="J142" s="123"/>
      <c r="K142" s="123">
        <f>SUM(I142:J142)</f>
        <v>800</v>
      </c>
      <c r="L142" s="123"/>
      <c r="M142" s="123">
        <f>SUM(K142:L142)</f>
        <v>800</v>
      </c>
      <c r="N142" s="123">
        <v>432</v>
      </c>
      <c r="O142" s="123">
        <f>SUM(M142:N142)</f>
        <v>1232</v>
      </c>
      <c r="P142" s="123"/>
      <c r="Q142" s="123">
        <f>SUM(O142:P142)</f>
        <v>1232</v>
      </c>
      <c r="R142" s="123"/>
      <c r="S142" s="123">
        <f>SUM(Q142:R142)</f>
        <v>1232</v>
      </c>
      <c r="T142" s="123"/>
      <c r="U142" s="123">
        <f>SUM(S142:T142)</f>
        <v>1232</v>
      </c>
      <c r="V142" s="123"/>
      <c r="W142" s="123">
        <f>SUM(U142:V142)</f>
        <v>1232</v>
      </c>
      <c r="X142" s="123"/>
      <c r="Y142" s="123">
        <f>SUM(W142:X142)</f>
        <v>1232</v>
      </c>
    </row>
    <row r="143" spans="1:25" s="4" customFormat="1" ht="24" customHeight="1">
      <c r="A143" s="110">
        <v>854</v>
      </c>
      <c r="B143" s="111"/>
      <c r="C143" s="111"/>
      <c r="D143" s="112" t="s">
        <v>49</v>
      </c>
      <c r="E143" s="113">
        <f aca="true" t="shared" si="112" ref="E143:Y143">SUM(E144)</f>
        <v>6200</v>
      </c>
      <c r="F143" s="113">
        <f t="shared" si="112"/>
        <v>0</v>
      </c>
      <c r="G143" s="113">
        <f t="shared" si="112"/>
        <v>6200</v>
      </c>
      <c r="H143" s="113">
        <f t="shared" si="112"/>
        <v>0</v>
      </c>
      <c r="I143" s="113">
        <f t="shared" si="112"/>
        <v>6200</v>
      </c>
      <c r="J143" s="113">
        <f t="shared" si="112"/>
        <v>2000</v>
      </c>
      <c r="K143" s="113">
        <f t="shared" si="112"/>
        <v>8200</v>
      </c>
      <c r="L143" s="113">
        <f t="shared" si="112"/>
        <v>0</v>
      </c>
      <c r="M143" s="113">
        <f t="shared" si="112"/>
        <v>8200</v>
      </c>
      <c r="N143" s="113">
        <f t="shared" si="112"/>
        <v>-1260</v>
      </c>
      <c r="O143" s="113">
        <f t="shared" si="112"/>
        <v>6940</v>
      </c>
      <c r="P143" s="113">
        <f t="shared" si="112"/>
        <v>3110</v>
      </c>
      <c r="Q143" s="113">
        <f t="shared" si="112"/>
        <v>10050</v>
      </c>
      <c r="R143" s="113">
        <f t="shared" si="112"/>
        <v>0</v>
      </c>
      <c r="S143" s="113">
        <f t="shared" si="112"/>
        <v>10050</v>
      </c>
      <c r="T143" s="113">
        <f t="shared" si="112"/>
        <v>-1225</v>
      </c>
      <c r="U143" s="113">
        <f t="shared" si="112"/>
        <v>8825</v>
      </c>
      <c r="V143" s="113">
        <f t="shared" si="112"/>
        <v>0</v>
      </c>
      <c r="W143" s="113">
        <f t="shared" si="112"/>
        <v>8825</v>
      </c>
      <c r="X143" s="113">
        <f t="shared" si="112"/>
        <v>0</v>
      </c>
      <c r="Y143" s="113">
        <f t="shared" si="112"/>
        <v>8825</v>
      </c>
    </row>
    <row r="144" spans="1:25" s="15" customFormat="1" ht="24" customHeight="1">
      <c r="A144" s="117"/>
      <c r="B144" s="117">
        <v>85412</v>
      </c>
      <c r="C144" s="118"/>
      <c r="D144" s="119" t="s">
        <v>355</v>
      </c>
      <c r="E144" s="120">
        <f aca="true" t="shared" si="113" ref="E144:N144">SUM(E145,E150)</f>
        <v>6200</v>
      </c>
      <c r="F144" s="120">
        <f t="shared" si="113"/>
        <v>0</v>
      </c>
      <c r="G144" s="120">
        <f t="shared" si="113"/>
        <v>6200</v>
      </c>
      <c r="H144" s="120">
        <f t="shared" si="113"/>
        <v>0</v>
      </c>
      <c r="I144" s="120">
        <f t="shared" si="113"/>
        <v>6200</v>
      </c>
      <c r="J144" s="120">
        <f t="shared" si="113"/>
        <v>2000</v>
      </c>
      <c r="K144" s="120">
        <f t="shared" si="113"/>
        <v>8200</v>
      </c>
      <c r="L144" s="120">
        <f t="shared" si="113"/>
        <v>0</v>
      </c>
      <c r="M144" s="120">
        <f t="shared" si="113"/>
        <v>8200</v>
      </c>
      <c r="N144" s="120">
        <f t="shared" si="113"/>
        <v>-1260</v>
      </c>
      <c r="O144" s="120">
        <f aca="true" t="shared" si="114" ref="O144:U144">SUM(O145,O150,O158)</f>
        <v>6940</v>
      </c>
      <c r="P144" s="120">
        <f t="shared" si="114"/>
        <v>3110</v>
      </c>
      <c r="Q144" s="120">
        <f t="shared" si="114"/>
        <v>10050</v>
      </c>
      <c r="R144" s="120">
        <f t="shared" si="114"/>
        <v>0</v>
      </c>
      <c r="S144" s="120">
        <f t="shared" si="114"/>
        <v>10050</v>
      </c>
      <c r="T144" s="120">
        <f t="shared" si="114"/>
        <v>-1225</v>
      </c>
      <c r="U144" s="120">
        <f t="shared" si="114"/>
        <v>8825</v>
      </c>
      <c r="V144" s="120">
        <f>SUM(V145,V150,V158)</f>
        <v>0</v>
      </c>
      <c r="W144" s="120">
        <f>SUM(W145,W150,W158)</f>
        <v>8825</v>
      </c>
      <c r="X144" s="120">
        <f>SUM(X145,X150,X158)</f>
        <v>0</v>
      </c>
      <c r="Y144" s="120">
        <f>SUM(Y145,Y150,Y158)</f>
        <v>8825</v>
      </c>
    </row>
    <row r="145" spans="1:25" s="15" customFormat="1" ht="21.75" customHeight="1">
      <c r="A145" s="129"/>
      <c r="B145" s="129"/>
      <c r="C145" s="118">
        <v>4210</v>
      </c>
      <c r="D145" s="119" t="s">
        <v>82</v>
      </c>
      <c r="E145" s="120">
        <f aca="true" t="shared" si="115" ref="E145:Q145">SUM(E146:E149)</f>
        <v>2000</v>
      </c>
      <c r="F145" s="120">
        <f t="shared" si="115"/>
        <v>0</v>
      </c>
      <c r="G145" s="120">
        <f t="shared" si="115"/>
        <v>2000</v>
      </c>
      <c r="H145" s="120">
        <f t="shared" si="115"/>
        <v>0</v>
      </c>
      <c r="I145" s="120">
        <f t="shared" si="115"/>
        <v>2000</v>
      </c>
      <c r="J145" s="120">
        <f t="shared" si="115"/>
        <v>0</v>
      </c>
      <c r="K145" s="120">
        <f t="shared" si="115"/>
        <v>2000</v>
      </c>
      <c r="L145" s="120">
        <f t="shared" si="115"/>
        <v>700</v>
      </c>
      <c r="M145" s="120">
        <f t="shared" si="115"/>
        <v>2700</v>
      </c>
      <c r="N145" s="120">
        <f t="shared" si="115"/>
        <v>-760</v>
      </c>
      <c r="O145" s="120">
        <f t="shared" si="115"/>
        <v>1940</v>
      </c>
      <c r="P145" s="120">
        <f t="shared" si="115"/>
        <v>0</v>
      </c>
      <c r="Q145" s="120">
        <f t="shared" si="115"/>
        <v>1940</v>
      </c>
      <c r="R145" s="120">
        <f aca="true" t="shared" si="116" ref="R145:W145">SUM(R146:R149)</f>
        <v>0</v>
      </c>
      <c r="S145" s="120">
        <f t="shared" si="116"/>
        <v>1940</v>
      </c>
      <c r="T145" s="120">
        <f t="shared" si="116"/>
        <v>-800</v>
      </c>
      <c r="U145" s="120">
        <f t="shared" si="116"/>
        <v>1140</v>
      </c>
      <c r="V145" s="120">
        <f t="shared" si="116"/>
        <v>0</v>
      </c>
      <c r="W145" s="120">
        <f t="shared" si="116"/>
        <v>1140</v>
      </c>
      <c r="X145" s="120">
        <f>SUM(X146:X149)</f>
        <v>0</v>
      </c>
      <c r="Y145" s="120">
        <f>SUM(Y146:Y149)</f>
        <v>1140</v>
      </c>
    </row>
    <row r="146" spans="1:25" s="15" customFormat="1" ht="20.25" customHeight="1">
      <c r="A146" s="129"/>
      <c r="B146" s="129"/>
      <c r="C146" s="127"/>
      <c r="D146" s="122" t="s">
        <v>338</v>
      </c>
      <c r="E146" s="123">
        <v>1000</v>
      </c>
      <c r="F146" s="123"/>
      <c r="G146" s="123">
        <f>SUM(E146:F146)</f>
        <v>1000</v>
      </c>
      <c r="H146" s="123"/>
      <c r="I146" s="123">
        <f>SUM(G146:H146)</f>
        <v>1000</v>
      </c>
      <c r="J146" s="123"/>
      <c r="K146" s="123">
        <f>SUM(I146:J146)</f>
        <v>1000</v>
      </c>
      <c r="L146" s="123">
        <v>-800</v>
      </c>
      <c r="M146" s="123">
        <f>SUM(K146:L146)</f>
        <v>200</v>
      </c>
      <c r="N146" s="123"/>
      <c r="O146" s="123">
        <f>SUM(M146:N146)</f>
        <v>200</v>
      </c>
      <c r="P146" s="123"/>
      <c r="Q146" s="123">
        <f>SUM(O146:P146)</f>
        <v>200</v>
      </c>
      <c r="R146" s="123"/>
      <c r="S146" s="123">
        <f>SUM(Q146:R146)</f>
        <v>200</v>
      </c>
      <c r="T146" s="123"/>
      <c r="U146" s="123">
        <f>SUM(S146:T146)</f>
        <v>200</v>
      </c>
      <c r="V146" s="123"/>
      <c r="W146" s="123">
        <f>SUM(U146:V146)</f>
        <v>200</v>
      </c>
      <c r="X146" s="123"/>
      <c r="Y146" s="123">
        <f>SUM(W146:X146)</f>
        <v>200</v>
      </c>
    </row>
    <row r="147" spans="1:25" s="15" customFormat="1" ht="21.75" customHeight="1">
      <c r="A147" s="129"/>
      <c r="B147" s="129"/>
      <c r="C147" s="127"/>
      <c r="D147" s="122" t="s">
        <v>340</v>
      </c>
      <c r="E147" s="123">
        <v>200</v>
      </c>
      <c r="F147" s="123"/>
      <c r="G147" s="123">
        <f>SUM(E147:F147)</f>
        <v>200</v>
      </c>
      <c r="H147" s="123"/>
      <c r="I147" s="123">
        <f>SUM(G147:H147)</f>
        <v>200</v>
      </c>
      <c r="J147" s="123"/>
      <c r="K147" s="123">
        <f>SUM(I147:J147)</f>
        <v>200</v>
      </c>
      <c r="L147" s="123"/>
      <c r="M147" s="123">
        <f>SUM(K147:L147)</f>
        <v>200</v>
      </c>
      <c r="N147" s="123">
        <f>-200+500</f>
        <v>300</v>
      </c>
      <c r="O147" s="123">
        <f>SUM(M147:N147)</f>
        <v>500</v>
      </c>
      <c r="P147" s="123"/>
      <c r="Q147" s="123">
        <f>SUM(O147:P147)</f>
        <v>500</v>
      </c>
      <c r="R147" s="123"/>
      <c r="S147" s="123">
        <f>SUM(Q147:R147)</f>
        <v>500</v>
      </c>
      <c r="T147" s="123"/>
      <c r="U147" s="123">
        <f>SUM(S147:T147)</f>
        <v>500</v>
      </c>
      <c r="V147" s="123"/>
      <c r="W147" s="123">
        <f>SUM(U147:V147)</f>
        <v>500</v>
      </c>
      <c r="X147" s="123"/>
      <c r="Y147" s="123">
        <f>SUM(W147:X147)</f>
        <v>500</v>
      </c>
    </row>
    <row r="148" spans="1:25" s="15" customFormat="1" ht="21.75" customHeight="1">
      <c r="A148" s="129"/>
      <c r="B148" s="129"/>
      <c r="C148" s="127"/>
      <c r="D148" s="122" t="s">
        <v>347</v>
      </c>
      <c r="E148" s="123"/>
      <c r="F148" s="123"/>
      <c r="G148" s="123"/>
      <c r="H148" s="123"/>
      <c r="I148" s="123"/>
      <c r="J148" s="123"/>
      <c r="K148" s="123">
        <v>0</v>
      </c>
      <c r="L148" s="123">
        <v>1500</v>
      </c>
      <c r="M148" s="123">
        <f>SUM(K148:L148)</f>
        <v>1500</v>
      </c>
      <c r="N148" s="123">
        <v>-1060</v>
      </c>
      <c r="O148" s="123">
        <f>SUM(M148:N148)</f>
        <v>440</v>
      </c>
      <c r="P148" s="123"/>
      <c r="Q148" s="123">
        <f>SUM(O148:P148)</f>
        <v>440</v>
      </c>
      <c r="R148" s="123"/>
      <c r="S148" s="123">
        <f>SUM(Q148:R148)</f>
        <v>440</v>
      </c>
      <c r="T148" s="123"/>
      <c r="U148" s="123">
        <f>SUM(S148:T148)</f>
        <v>440</v>
      </c>
      <c r="V148" s="123"/>
      <c r="W148" s="123">
        <f>SUM(U148:V148)</f>
        <v>440</v>
      </c>
      <c r="X148" s="123"/>
      <c r="Y148" s="123">
        <f>SUM(W148:X148)</f>
        <v>440</v>
      </c>
    </row>
    <row r="149" spans="1:25" s="15" customFormat="1" ht="21.75" customHeight="1">
      <c r="A149" s="129"/>
      <c r="B149" s="129"/>
      <c r="C149" s="127"/>
      <c r="D149" s="122" t="s">
        <v>352</v>
      </c>
      <c r="E149" s="123">
        <v>800</v>
      </c>
      <c r="F149" s="123"/>
      <c r="G149" s="123">
        <f>SUM(E149:F149)</f>
        <v>800</v>
      </c>
      <c r="H149" s="123"/>
      <c r="I149" s="123">
        <f>SUM(G149:H149)</f>
        <v>800</v>
      </c>
      <c r="J149" s="123"/>
      <c r="K149" s="123">
        <f>SUM(I149:J149)</f>
        <v>800</v>
      </c>
      <c r="L149" s="123"/>
      <c r="M149" s="123">
        <f>SUM(K149:L149)</f>
        <v>800</v>
      </c>
      <c r="N149" s="123"/>
      <c r="O149" s="123">
        <f>SUM(M149:N149)</f>
        <v>800</v>
      </c>
      <c r="P149" s="123"/>
      <c r="Q149" s="123">
        <f>SUM(O149:P149)</f>
        <v>800</v>
      </c>
      <c r="R149" s="123"/>
      <c r="S149" s="123">
        <f>SUM(Q149:R149)</f>
        <v>800</v>
      </c>
      <c r="T149" s="123">
        <v>-800</v>
      </c>
      <c r="U149" s="123">
        <f>SUM(S149:T149)</f>
        <v>0</v>
      </c>
      <c r="V149" s="123"/>
      <c r="W149" s="123">
        <f>SUM(U149:V149)</f>
        <v>0</v>
      </c>
      <c r="X149" s="123"/>
      <c r="Y149" s="123">
        <f>SUM(W149:X149)</f>
        <v>0</v>
      </c>
    </row>
    <row r="150" spans="1:25" s="15" customFormat="1" ht="21.75" customHeight="1">
      <c r="A150" s="117"/>
      <c r="B150" s="117"/>
      <c r="C150" s="118">
        <v>4300</v>
      </c>
      <c r="D150" s="119" t="s">
        <v>69</v>
      </c>
      <c r="E150" s="120">
        <f aca="true" t="shared" si="117" ref="E150:Q150">SUM(E151:E157)</f>
        <v>4200</v>
      </c>
      <c r="F150" s="120">
        <f t="shared" si="117"/>
        <v>0</v>
      </c>
      <c r="G150" s="120">
        <f t="shared" si="117"/>
        <v>4200</v>
      </c>
      <c r="H150" s="120">
        <f t="shared" si="117"/>
        <v>0</v>
      </c>
      <c r="I150" s="120">
        <f t="shared" si="117"/>
        <v>4200</v>
      </c>
      <c r="J150" s="120">
        <f t="shared" si="117"/>
        <v>2000</v>
      </c>
      <c r="K150" s="120">
        <f t="shared" si="117"/>
        <v>6200</v>
      </c>
      <c r="L150" s="120">
        <f t="shared" si="117"/>
        <v>-700</v>
      </c>
      <c r="M150" s="120">
        <f t="shared" si="117"/>
        <v>5500</v>
      </c>
      <c r="N150" s="120">
        <f t="shared" si="117"/>
        <v>-500</v>
      </c>
      <c r="O150" s="120">
        <f t="shared" si="117"/>
        <v>5000</v>
      </c>
      <c r="P150" s="120">
        <f t="shared" si="117"/>
        <v>-550</v>
      </c>
      <c r="Q150" s="120">
        <f t="shared" si="117"/>
        <v>4450</v>
      </c>
      <c r="R150" s="120">
        <f aca="true" t="shared" si="118" ref="R150:W150">SUM(R151:R157)</f>
        <v>0</v>
      </c>
      <c r="S150" s="120">
        <f t="shared" si="118"/>
        <v>4450</v>
      </c>
      <c r="T150" s="120">
        <f t="shared" si="118"/>
        <v>0</v>
      </c>
      <c r="U150" s="120">
        <f t="shared" si="118"/>
        <v>4450</v>
      </c>
      <c r="V150" s="120">
        <f t="shared" si="118"/>
        <v>0</v>
      </c>
      <c r="W150" s="120">
        <f t="shared" si="118"/>
        <v>4450</v>
      </c>
      <c r="X150" s="120">
        <f>SUM(X151:X157)</f>
        <v>0</v>
      </c>
      <c r="Y150" s="120">
        <f>SUM(Y151:Y157)</f>
        <v>4450</v>
      </c>
    </row>
    <row r="151" spans="1:25" s="17" customFormat="1" ht="21.75" customHeight="1">
      <c r="A151" s="128"/>
      <c r="B151" s="128"/>
      <c r="C151" s="127"/>
      <c r="D151" s="122" t="s">
        <v>337</v>
      </c>
      <c r="E151" s="123">
        <v>1500</v>
      </c>
      <c r="F151" s="123"/>
      <c r="G151" s="123">
        <f>SUM(E151:F151)</f>
        <v>1500</v>
      </c>
      <c r="H151" s="123"/>
      <c r="I151" s="123">
        <f>SUM(G151:H151)</f>
        <v>1500</v>
      </c>
      <c r="J151" s="123"/>
      <c r="K151" s="123">
        <f>SUM(I151:J151)</f>
        <v>1500</v>
      </c>
      <c r="L151" s="123"/>
      <c r="M151" s="123">
        <f aca="true" t="shared" si="119" ref="M151:M157">SUM(K151:L151)</f>
        <v>1500</v>
      </c>
      <c r="N151" s="123"/>
      <c r="O151" s="123">
        <f aca="true" t="shared" si="120" ref="O151:O157">SUM(M151:N151)</f>
        <v>1500</v>
      </c>
      <c r="P151" s="123"/>
      <c r="Q151" s="123">
        <f aca="true" t="shared" si="121" ref="Q151:Q157">SUM(O151:P151)</f>
        <v>1500</v>
      </c>
      <c r="R151" s="123"/>
      <c r="S151" s="123">
        <f aca="true" t="shared" si="122" ref="S151:S157">SUM(Q151:R151)</f>
        <v>1500</v>
      </c>
      <c r="T151" s="123"/>
      <c r="U151" s="123">
        <f aca="true" t="shared" si="123" ref="U151:U157">SUM(S151:T151)</f>
        <v>1500</v>
      </c>
      <c r="V151" s="123"/>
      <c r="W151" s="123">
        <f aca="true" t="shared" si="124" ref="W151:W157">SUM(U151:V151)</f>
        <v>1500</v>
      </c>
      <c r="X151" s="123"/>
      <c r="Y151" s="123">
        <f aca="true" t="shared" si="125" ref="Y151:Y157">SUM(W151:X151)</f>
        <v>1500</v>
      </c>
    </row>
    <row r="152" spans="1:25" s="17" customFormat="1" ht="21.75" customHeight="1">
      <c r="A152" s="128"/>
      <c r="B152" s="128"/>
      <c r="C152" s="127"/>
      <c r="D152" s="122" t="s">
        <v>340</v>
      </c>
      <c r="E152" s="123">
        <v>500</v>
      </c>
      <c r="F152" s="123"/>
      <c r="G152" s="123">
        <f>SUM(E152:F152)</f>
        <v>500</v>
      </c>
      <c r="H152" s="123"/>
      <c r="I152" s="123">
        <f>SUM(G152:H152)</f>
        <v>500</v>
      </c>
      <c r="J152" s="123"/>
      <c r="K152" s="123">
        <f>SUM(I152:J152)</f>
        <v>500</v>
      </c>
      <c r="L152" s="123"/>
      <c r="M152" s="123">
        <f t="shared" si="119"/>
        <v>500</v>
      </c>
      <c r="N152" s="123">
        <v>-500</v>
      </c>
      <c r="O152" s="123">
        <f t="shared" si="120"/>
        <v>0</v>
      </c>
      <c r="P152" s="123"/>
      <c r="Q152" s="123">
        <f t="shared" si="121"/>
        <v>0</v>
      </c>
      <c r="R152" s="123"/>
      <c r="S152" s="123">
        <f t="shared" si="122"/>
        <v>0</v>
      </c>
      <c r="T152" s="123"/>
      <c r="U152" s="123">
        <f t="shared" si="123"/>
        <v>0</v>
      </c>
      <c r="V152" s="123"/>
      <c r="W152" s="123">
        <f t="shared" si="124"/>
        <v>0</v>
      </c>
      <c r="X152" s="123"/>
      <c r="Y152" s="123">
        <f t="shared" si="125"/>
        <v>0</v>
      </c>
    </row>
    <row r="153" spans="1:25" s="17" customFormat="1" ht="21.75" customHeight="1">
      <c r="A153" s="128"/>
      <c r="B153" s="128"/>
      <c r="C153" s="127"/>
      <c r="D153" s="122" t="s">
        <v>338</v>
      </c>
      <c r="E153" s="123"/>
      <c r="F153" s="123"/>
      <c r="G153" s="123"/>
      <c r="H153" s="123"/>
      <c r="I153" s="123"/>
      <c r="J153" s="123"/>
      <c r="K153" s="123">
        <v>0</v>
      </c>
      <c r="L153" s="123">
        <v>800</v>
      </c>
      <c r="M153" s="123">
        <f t="shared" si="119"/>
        <v>800</v>
      </c>
      <c r="N153" s="123"/>
      <c r="O153" s="123">
        <f t="shared" si="120"/>
        <v>800</v>
      </c>
      <c r="P153" s="123"/>
      <c r="Q153" s="123">
        <f t="shared" si="121"/>
        <v>800</v>
      </c>
      <c r="R153" s="123"/>
      <c r="S153" s="123">
        <f t="shared" si="122"/>
        <v>800</v>
      </c>
      <c r="T153" s="123"/>
      <c r="U153" s="123">
        <f t="shared" si="123"/>
        <v>800</v>
      </c>
      <c r="V153" s="123"/>
      <c r="W153" s="123">
        <f t="shared" si="124"/>
        <v>800</v>
      </c>
      <c r="X153" s="123"/>
      <c r="Y153" s="123">
        <f t="shared" si="125"/>
        <v>800</v>
      </c>
    </row>
    <row r="154" spans="1:25" s="17" customFormat="1" ht="21.75" customHeight="1">
      <c r="A154" s="128"/>
      <c r="B154" s="128"/>
      <c r="C154" s="127"/>
      <c r="D154" s="122" t="s">
        <v>356</v>
      </c>
      <c r="E154" s="123"/>
      <c r="F154" s="123"/>
      <c r="G154" s="123"/>
      <c r="H154" s="123"/>
      <c r="I154" s="123">
        <v>0</v>
      </c>
      <c r="J154" s="123">
        <v>1500</v>
      </c>
      <c r="K154" s="123">
        <f>SUM(I154:J154)</f>
        <v>1500</v>
      </c>
      <c r="L154" s="123">
        <v>-1500</v>
      </c>
      <c r="M154" s="123">
        <f t="shared" si="119"/>
        <v>0</v>
      </c>
      <c r="N154" s="123"/>
      <c r="O154" s="123">
        <f t="shared" si="120"/>
        <v>0</v>
      </c>
      <c r="P154" s="123"/>
      <c r="Q154" s="123">
        <f t="shared" si="121"/>
        <v>0</v>
      </c>
      <c r="R154" s="123"/>
      <c r="S154" s="123">
        <f t="shared" si="122"/>
        <v>0</v>
      </c>
      <c r="T154" s="123"/>
      <c r="U154" s="123">
        <f t="shared" si="123"/>
        <v>0</v>
      </c>
      <c r="V154" s="123"/>
      <c r="W154" s="123">
        <f t="shared" si="124"/>
        <v>0</v>
      </c>
      <c r="X154" s="123"/>
      <c r="Y154" s="123">
        <f t="shared" si="125"/>
        <v>0</v>
      </c>
    </row>
    <row r="155" spans="1:25" s="17" customFormat="1" ht="21.75" customHeight="1">
      <c r="A155" s="128"/>
      <c r="B155" s="128"/>
      <c r="C155" s="127"/>
      <c r="D155" s="122" t="s">
        <v>341</v>
      </c>
      <c r="E155" s="123">
        <v>1200</v>
      </c>
      <c r="F155" s="123"/>
      <c r="G155" s="123">
        <f>SUM(E155:F155)</f>
        <v>1200</v>
      </c>
      <c r="H155" s="123"/>
      <c r="I155" s="123">
        <f>SUM(G155:H155)</f>
        <v>1200</v>
      </c>
      <c r="J155" s="123"/>
      <c r="K155" s="123">
        <f>SUM(I155:J155)</f>
        <v>1200</v>
      </c>
      <c r="L155" s="123"/>
      <c r="M155" s="123">
        <f t="shared" si="119"/>
        <v>1200</v>
      </c>
      <c r="N155" s="123"/>
      <c r="O155" s="123">
        <f t="shared" si="120"/>
        <v>1200</v>
      </c>
      <c r="P155" s="123">
        <v>-550</v>
      </c>
      <c r="Q155" s="123">
        <f t="shared" si="121"/>
        <v>650</v>
      </c>
      <c r="R155" s="123"/>
      <c r="S155" s="123">
        <f t="shared" si="122"/>
        <v>650</v>
      </c>
      <c r="T155" s="123"/>
      <c r="U155" s="123">
        <f t="shared" si="123"/>
        <v>650</v>
      </c>
      <c r="V155" s="123"/>
      <c r="W155" s="123">
        <f t="shared" si="124"/>
        <v>650</v>
      </c>
      <c r="X155" s="123"/>
      <c r="Y155" s="123">
        <f t="shared" si="125"/>
        <v>650</v>
      </c>
    </row>
    <row r="156" spans="1:25" s="17" customFormat="1" ht="21.75" customHeight="1">
      <c r="A156" s="128"/>
      <c r="B156" s="128"/>
      <c r="C156" s="127"/>
      <c r="D156" s="122" t="s">
        <v>334</v>
      </c>
      <c r="E156" s="123"/>
      <c r="F156" s="123"/>
      <c r="G156" s="123"/>
      <c r="H156" s="123"/>
      <c r="I156" s="123">
        <v>0</v>
      </c>
      <c r="J156" s="123">
        <v>500</v>
      </c>
      <c r="K156" s="123">
        <f>SUM(I156:J156)</f>
        <v>500</v>
      </c>
      <c r="L156" s="123"/>
      <c r="M156" s="123">
        <f t="shared" si="119"/>
        <v>500</v>
      </c>
      <c r="N156" s="123"/>
      <c r="O156" s="123">
        <f t="shared" si="120"/>
        <v>500</v>
      </c>
      <c r="P156" s="123"/>
      <c r="Q156" s="123">
        <f t="shared" si="121"/>
        <v>500</v>
      </c>
      <c r="R156" s="123"/>
      <c r="S156" s="123">
        <f t="shared" si="122"/>
        <v>500</v>
      </c>
      <c r="T156" s="123"/>
      <c r="U156" s="123">
        <f t="shared" si="123"/>
        <v>500</v>
      </c>
      <c r="V156" s="123"/>
      <c r="W156" s="123">
        <f t="shared" si="124"/>
        <v>500</v>
      </c>
      <c r="X156" s="123"/>
      <c r="Y156" s="123">
        <f t="shared" si="125"/>
        <v>500</v>
      </c>
    </row>
    <row r="157" spans="1:25" s="17" customFormat="1" ht="21.75" customHeight="1">
      <c r="A157" s="128"/>
      <c r="B157" s="128"/>
      <c r="C157" s="127"/>
      <c r="D157" s="122" t="s">
        <v>352</v>
      </c>
      <c r="E157" s="123">
        <v>1000</v>
      </c>
      <c r="F157" s="123"/>
      <c r="G157" s="123">
        <f>SUM(E157:F157)</f>
        <v>1000</v>
      </c>
      <c r="H157" s="123"/>
      <c r="I157" s="123">
        <f>SUM(G157:H157)</f>
        <v>1000</v>
      </c>
      <c r="J157" s="123"/>
      <c r="K157" s="123">
        <f>SUM(I157:J157)</f>
        <v>1000</v>
      </c>
      <c r="L157" s="123"/>
      <c r="M157" s="123">
        <f t="shared" si="119"/>
        <v>1000</v>
      </c>
      <c r="N157" s="123"/>
      <c r="O157" s="123">
        <f t="shared" si="120"/>
        <v>1000</v>
      </c>
      <c r="P157" s="123"/>
      <c r="Q157" s="123">
        <f t="shared" si="121"/>
        <v>1000</v>
      </c>
      <c r="R157" s="123"/>
      <c r="S157" s="123">
        <f t="shared" si="122"/>
        <v>1000</v>
      </c>
      <c r="T157" s="123"/>
      <c r="U157" s="123">
        <f t="shared" si="123"/>
        <v>1000</v>
      </c>
      <c r="V157" s="123"/>
      <c r="W157" s="123">
        <f t="shared" si="124"/>
        <v>1000</v>
      </c>
      <c r="X157" s="123"/>
      <c r="Y157" s="123">
        <f t="shared" si="125"/>
        <v>1000</v>
      </c>
    </row>
    <row r="158" spans="1:25" s="15" customFormat="1" ht="21.75" customHeight="1">
      <c r="A158" s="117"/>
      <c r="B158" s="117"/>
      <c r="C158" s="118">
        <v>6060</v>
      </c>
      <c r="D158" s="130" t="s">
        <v>86</v>
      </c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>
        <f aca="true" t="shared" si="126" ref="O158:Y158">SUM(O159)</f>
        <v>0</v>
      </c>
      <c r="P158" s="120">
        <f t="shared" si="126"/>
        <v>3660</v>
      </c>
      <c r="Q158" s="120">
        <f t="shared" si="126"/>
        <v>3660</v>
      </c>
      <c r="R158" s="120">
        <f t="shared" si="126"/>
        <v>0</v>
      </c>
      <c r="S158" s="120">
        <f t="shared" si="126"/>
        <v>3660</v>
      </c>
      <c r="T158" s="120">
        <f t="shared" si="126"/>
        <v>-425</v>
      </c>
      <c r="U158" s="120">
        <f t="shared" si="126"/>
        <v>3235</v>
      </c>
      <c r="V158" s="120">
        <f t="shared" si="126"/>
        <v>0</v>
      </c>
      <c r="W158" s="120">
        <f t="shared" si="126"/>
        <v>3235</v>
      </c>
      <c r="X158" s="120">
        <f t="shared" si="126"/>
        <v>0</v>
      </c>
      <c r="Y158" s="120">
        <f t="shared" si="126"/>
        <v>3235</v>
      </c>
    </row>
    <row r="159" spans="1:25" s="17" customFormat="1" ht="21.75" customHeight="1">
      <c r="A159" s="128"/>
      <c r="B159" s="128"/>
      <c r="C159" s="127"/>
      <c r="D159" s="122" t="s">
        <v>346</v>
      </c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>
        <v>0</v>
      </c>
      <c r="P159" s="123">
        <v>3660</v>
      </c>
      <c r="Q159" s="123">
        <f>SUM(O159:P159)</f>
        <v>3660</v>
      </c>
      <c r="R159" s="123"/>
      <c r="S159" s="123">
        <f>SUM(Q159:R159)</f>
        <v>3660</v>
      </c>
      <c r="T159" s="123">
        <v>-425</v>
      </c>
      <c r="U159" s="123">
        <f>SUM(S159:T159)</f>
        <v>3235</v>
      </c>
      <c r="V159" s="123"/>
      <c r="W159" s="123">
        <f>SUM(U159:V159)</f>
        <v>3235</v>
      </c>
      <c r="X159" s="123"/>
      <c r="Y159" s="123">
        <f>SUM(W159:X159)</f>
        <v>3235</v>
      </c>
    </row>
    <row r="160" spans="1:25" s="4" customFormat="1" ht="24" customHeight="1">
      <c r="A160" s="110" t="s">
        <v>120</v>
      </c>
      <c r="B160" s="111"/>
      <c r="C160" s="111"/>
      <c r="D160" s="112" t="s">
        <v>51</v>
      </c>
      <c r="E160" s="113">
        <f aca="true" t="shared" si="127" ref="E160:N160">SUM(E161,E169,E199,E208)</f>
        <v>82590</v>
      </c>
      <c r="F160" s="113">
        <f t="shared" si="127"/>
        <v>-2520</v>
      </c>
      <c r="G160" s="113">
        <f t="shared" si="127"/>
        <v>80070</v>
      </c>
      <c r="H160" s="113">
        <f t="shared" si="127"/>
        <v>0</v>
      </c>
      <c r="I160" s="113">
        <f t="shared" si="127"/>
        <v>80070</v>
      </c>
      <c r="J160" s="113">
        <f t="shared" si="127"/>
        <v>2250</v>
      </c>
      <c r="K160" s="113">
        <f t="shared" si="127"/>
        <v>82320</v>
      </c>
      <c r="L160" s="113">
        <f t="shared" si="127"/>
        <v>0</v>
      </c>
      <c r="M160" s="113">
        <f t="shared" si="127"/>
        <v>82320</v>
      </c>
      <c r="N160" s="113">
        <f t="shared" si="127"/>
        <v>-1195</v>
      </c>
      <c r="O160" s="113">
        <f aca="true" t="shared" si="128" ref="O160:U160">SUM(O161,O169,O199,O208,)</f>
        <v>81125</v>
      </c>
      <c r="P160" s="113">
        <f t="shared" si="128"/>
        <v>-6860</v>
      </c>
      <c r="Q160" s="113">
        <f t="shared" si="128"/>
        <v>74265</v>
      </c>
      <c r="R160" s="113">
        <f t="shared" si="128"/>
        <v>0</v>
      </c>
      <c r="S160" s="113">
        <f t="shared" si="128"/>
        <v>74265</v>
      </c>
      <c r="T160" s="113">
        <f t="shared" si="128"/>
        <v>-3701</v>
      </c>
      <c r="U160" s="113">
        <f t="shared" si="128"/>
        <v>70564</v>
      </c>
      <c r="V160" s="113">
        <f>SUM(V161,V169,V199,V208,)</f>
        <v>0</v>
      </c>
      <c r="W160" s="113">
        <f>SUM(W161,W169,W199,W208,)</f>
        <v>70564</v>
      </c>
      <c r="X160" s="113">
        <f>SUM(X161,X169,X199,X208,)</f>
        <v>0</v>
      </c>
      <c r="Y160" s="113">
        <f>SUM(Y161,Y169,Y199,Y208,)</f>
        <v>70564</v>
      </c>
    </row>
    <row r="161" spans="1:25" s="15" customFormat="1" ht="21.75" customHeight="1">
      <c r="A161" s="117"/>
      <c r="B161" s="117" t="s">
        <v>122</v>
      </c>
      <c r="C161" s="118"/>
      <c r="D161" s="119" t="s">
        <v>123</v>
      </c>
      <c r="E161" s="120">
        <f aca="true" t="shared" si="129" ref="E161:Y161">SUM(E162)</f>
        <v>300</v>
      </c>
      <c r="F161" s="120">
        <f t="shared" si="129"/>
        <v>0</v>
      </c>
      <c r="G161" s="120">
        <f t="shared" si="129"/>
        <v>300</v>
      </c>
      <c r="H161" s="120">
        <f t="shared" si="129"/>
        <v>0</v>
      </c>
      <c r="I161" s="120">
        <f t="shared" si="129"/>
        <v>300</v>
      </c>
      <c r="J161" s="120">
        <f t="shared" si="129"/>
        <v>0</v>
      </c>
      <c r="K161" s="120">
        <f t="shared" si="129"/>
        <v>300</v>
      </c>
      <c r="L161" s="120">
        <f t="shared" si="129"/>
        <v>1170</v>
      </c>
      <c r="M161" s="120">
        <f t="shared" si="129"/>
        <v>1470</v>
      </c>
      <c r="N161" s="120">
        <f t="shared" si="129"/>
        <v>240</v>
      </c>
      <c r="O161" s="120">
        <f t="shared" si="129"/>
        <v>1710</v>
      </c>
      <c r="P161" s="120">
        <f t="shared" si="129"/>
        <v>-165</v>
      </c>
      <c r="Q161" s="120">
        <f t="shared" si="129"/>
        <v>1545</v>
      </c>
      <c r="R161" s="120">
        <f t="shared" si="129"/>
        <v>0</v>
      </c>
      <c r="S161" s="120">
        <f t="shared" si="129"/>
        <v>1545</v>
      </c>
      <c r="T161" s="120">
        <f t="shared" si="129"/>
        <v>-100</v>
      </c>
      <c r="U161" s="120">
        <f t="shared" si="129"/>
        <v>1445</v>
      </c>
      <c r="V161" s="120">
        <f t="shared" si="129"/>
        <v>0</v>
      </c>
      <c r="W161" s="120">
        <f t="shared" si="129"/>
        <v>1445</v>
      </c>
      <c r="X161" s="120">
        <f t="shared" si="129"/>
        <v>0</v>
      </c>
      <c r="Y161" s="120">
        <f t="shared" si="129"/>
        <v>1445</v>
      </c>
    </row>
    <row r="162" spans="1:25" s="15" customFormat="1" ht="21.75" customHeight="1">
      <c r="A162" s="117"/>
      <c r="B162" s="117"/>
      <c r="C162" s="118">
        <v>4300</v>
      </c>
      <c r="D162" s="131" t="s">
        <v>69</v>
      </c>
      <c r="E162" s="120">
        <f aca="true" t="shared" si="130" ref="E162:J162">SUM(E163:E163)</f>
        <v>300</v>
      </c>
      <c r="F162" s="120">
        <f t="shared" si="130"/>
        <v>0</v>
      </c>
      <c r="G162" s="120">
        <f t="shared" si="130"/>
        <v>300</v>
      </c>
      <c r="H162" s="120">
        <f t="shared" si="130"/>
        <v>0</v>
      </c>
      <c r="I162" s="120">
        <f t="shared" si="130"/>
        <v>300</v>
      </c>
      <c r="J162" s="120">
        <f t="shared" si="130"/>
        <v>0</v>
      </c>
      <c r="K162" s="120">
        <f aca="true" t="shared" si="131" ref="K162:Q162">SUM(K163:K168)</f>
        <v>300</v>
      </c>
      <c r="L162" s="120">
        <f t="shared" si="131"/>
        <v>1170</v>
      </c>
      <c r="M162" s="120">
        <f t="shared" si="131"/>
        <v>1470</v>
      </c>
      <c r="N162" s="120">
        <f t="shared" si="131"/>
        <v>240</v>
      </c>
      <c r="O162" s="120">
        <f t="shared" si="131"/>
        <v>1710</v>
      </c>
      <c r="P162" s="120">
        <f t="shared" si="131"/>
        <v>-165</v>
      </c>
      <c r="Q162" s="120">
        <f t="shared" si="131"/>
        <v>1545</v>
      </c>
      <c r="R162" s="120">
        <f aca="true" t="shared" si="132" ref="R162:W162">SUM(R163:R168)</f>
        <v>0</v>
      </c>
      <c r="S162" s="120">
        <f t="shared" si="132"/>
        <v>1545</v>
      </c>
      <c r="T162" s="120">
        <f t="shared" si="132"/>
        <v>-100</v>
      </c>
      <c r="U162" s="120">
        <f t="shared" si="132"/>
        <v>1445</v>
      </c>
      <c r="V162" s="120">
        <f t="shared" si="132"/>
        <v>0</v>
      </c>
      <c r="W162" s="120">
        <f t="shared" si="132"/>
        <v>1445</v>
      </c>
      <c r="X162" s="120">
        <f>SUM(X163:X168)</f>
        <v>0</v>
      </c>
      <c r="Y162" s="120">
        <f>SUM(Y163:Y168)</f>
        <v>1445</v>
      </c>
    </row>
    <row r="163" spans="1:25" s="15" customFormat="1" ht="21.75" customHeight="1">
      <c r="A163" s="121"/>
      <c r="B163" s="121"/>
      <c r="C163" s="121"/>
      <c r="D163" s="122" t="s">
        <v>332</v>
      </c>
      <c r="E163" s="123">
        <v>300</v>
      </c>
      <c r="F163" s="123"/>
      <c r="G163" s="123">
        <f>SUM(E163:F163)</f>
        <v>300</v>
      </c>
      <c r="H163" s="123"/>
      <c r="I163" s="123">
        <f>SUM(G163:H163)</f>
        <v>300</v>
      </c>
      <c r="J163" s="123"/>
      <c r="K163" s="123">
        <f>SUM(I163:J163)</f>
        <v>300</v>
      </c>
      <c r="L163" s="123"/>
      <c r="M163" s="123">
        <f>SUM(K163:L163)</f>
        <v>300</v>
      </c>
      <c r="N163" s="123"/>
      <c r="O163" s="123">
        <f aca="true" t="shared" si="133" ref="O163:O168">SUM(M163:N163)</f>
        <v>300</v>
      </c>
      <c r="P163" s="123"/>
      <c r="Q163" s="123">
        <f aca="true" t="shared" si="134" ref="Q163:Q168">SUM(O163:P163)</f>
        <v>300</v>
      </c>
      <c r="R163" s="123"/>
      <c r="S163" s="123">
        <f aca="true" t="shared" si="135" ref="S163:S168">SUM(Q163:R163)</f>
        <v>300</v>
      </c>
      <c r="T163" s="123"/>
      <c r="U163" s="123">
        <f aca="true" t="shared" si="136" ref="U163:U168">SUM(S163:T163)</f>
        <v>300</v>
      </c>
      <c r="V163" s="123"/>
      <c r="W163" s="123">
        <f aca="true" t="shared" si="137" ref="W163:W168">SUM(U163:V163)</f>
        <v>300</v>
      </c>
      <c r="X163" s="123"/>
      <c r="Y163" s="123">
        <f aca="true" t="shared" si="138" ref="Y163:Y168">SUM(W163:X163)</f>
        <v>300</v>
      </c>
    </row>
    <row r="164" spans="1:25" s="15" customFormat="1" ht="21.75" customHeight="1">
      <c r="A164" s="121"/>
      <c r="B164" s="121"/>
      <c r="C164" s="121"/>
      <c r="D164" s="122" t="s">
        <v>338</v>
      </c>
      <c r="E164" s="123"/>
      <c r="F164" s="123"/>
      <c r="G164" s="123"/>
      <c r="H164" s="123"/>
      <c r="I164" s="123"/>
      <c r="J164" s="123"/>
      <c r="K164" s="123">
        <v>0</v>
      </c>
      <c r="L164" s="123">
        <v>250</v>
      </c>
      <c r="M164" s="123">
        <f>SUM(K164:L164)</f>
        <v>250</v>
      </c>
      <c r="N164" s="123"/>
      <c r="O164" s="123">
        <f t="shared" si="133"/>
        <v>250</v>
      </c>
      <c r="P164" s="123"/>
      <c r="Q164" s="123">
        <f t="shared" si="134"/>
        <v>250</v>
      </c>
      <c r="R164" s="123"/>
      <c r="S164" s="123">
        <f t="shared" si="135"/>
        <v>250</v>
      </c>
      <c r="T164" s="123"/>
      <c r="U164" s="123">
        <f t="shared" si="136"/>
        <v>250</v>
      </c>
      <c r="V164" s="123"/>
      <c r="W164" s="123">
        <f t="shared" si="137"/>
        <v>250</v>
      </c>
      <c r="X164" s="123"/>
      <c r="Y164" s="123">
        <f t="shared" si="138"/>
        <v>250</v>
      </c>
    </row>
    <row r="165" spans="1:25" s="15" customFormat="1" ht="21.75" customHeight="1">
      <c r="A165" s="121"/>
      <c r="B165" s="121"/>
      <c r="C165" s="121"/>
      <c r="D165" s="122" t="s">
        <v>346</v>
      </c>
      <c r="E165" s="123"/>
      <c r="F165" s="123"/>
      <c r="G165" s="123"/>
      <c r="H165" s="123"/>
      <c r="I165" s="123"/>
      <c r="J165" s="123"/>
      <c r="K165" s="123">
        <v>0</v>
      </c>
      <c r="L165" s="123">
        <v>300</v>
      </c>
      <c r="M165" s="123">
        <f>SUM(K165:L165)</f>
        <v>300</v>
      </c>
      <c r="N165" s="123"/>
      <c r="O165" s="123">
        <f t="shared" si="133"/>
        <v>300</v>
      </c>
      <c r="P165" s="123">
        <v>-165</v>
      </c>
      <c r="Q165" s="123">
        <f t="shared" si="134"/>
        <v>135</v>
      </c>
      <c r="R165" s="123"/>
      <c r="S165" s="123">
        <f t="shared" si="135"/>
        <v>135</v>
      </c>
      <c r="T165" s="123"/>
      <c r="U165" s="123">
        <f t="shared" si="136"/>
        <v>135</v>
      </c>
      <c r="V165" s="123"/>
      <c r="W165" s="123">
        <f t="shared" si="137"/>
        <v>135</v>
      </c>
      <c r="X165" s="123"/>
      <c r="Y165" s="123">
        <f t="shared" si="138"/>
        <v>135</v>
      </c>
    </row>
    <row r="166" spans="1:25" s="15" customFormat="1" ht="21.75" customHeight="1">
      <c r="A166" s="121"/>
      <c r="B166" s="121"/>
      <c r="C166" s="121"/>
      <c r="D166" s="122" t="s">
        <v>347</v>
      </c>
      <c r="E166" s="123"/>
      <c r="F166" s="123"/>
      <c r="G166" s="123"/>
      <c r="H166" s="123"/>
      <c r="I166" s="123"/>
      <c r="J166" s="123"/>
      <c r="K166" s="123"/>
      <c r="L166" s="123"/>
      <c r="M166" s="123">
        <v>0</v>
      </c>
      <c r="N166" s="123">
        <v>240</v>
      </c>
      <c r="O166" s="123">
        <f t="shared" si="133"/>
        <v>240</v>
      </c>
      <c r="P166" s="123"/>
      <c r="Q166" s="123">
        <f t="shared" si="134"/>
        <v>240</v>
      </c>
      <c r="R166" s="123"/>
      <c r="S166" s="123">
        <f t="shared" si="135"/>
        <v>240</v>
      </c>
      <c r="T166" s="123"/>
      <c r="U166" s="123">
        <f t="shared" si="136"/>
        <v>240</v>
      </c>
      <c r="V166" s="123"/>
      <c r="W166" s="123">
        <f t="shared" si="137"/>
        <v>240</v>
      </c>
      <c r="X166" s="123"/>
      <c r="Y166" s="123">
        <f t="shared" si="138"/>
        <v>240</v>
      </c>
    </row>
    <row r="167" spans="1:25" s="15" customFormat="1" ht="21" customHeight="1">
      <c r="A167" s="121"/>
      <c r="B167" s="121"/>
      <c r="C167" s="121"/>
      <c r="D167" s="122" t="s">
        <v>340</v>
      </c>
      <c r="E167" s="123"/>
      <c r="F167" s="123"/>
      <c r="G167" s="123"/>
      <c r="H167" s="123"/>
      <c r="I167" s="123"/>
      <c r="J167" s="123"/>
      <c r="K167" s="123">
        <v>0</v>
      </c>
      <c r="L167" s="123">
        <v>620</v>
      </c>
      <c r="M167" s="123">
        <f>SUM(K167:L167)</f>
        <v>620</v>
      </c>
      <c r="N167" s="123"/>
      <c r="O167" s="123">
        <f t="shared" si="133"/>
        <v>620</v>
      </c>
      <c r="P167" s="123"/>
      <c r="Q167" s="123">
        <f t="shared" si="134"/>
        <v>620</v>
      </c>
      <c r="R167" s="123"/>
      <c r="S167" s="123">
        <f t="shared" si="135"/>
        <v>620</v>
      </c>
      <c r="T167" s="123">
        <v>-100</v>
      </c>
      <c r="U167" s="123">
        <f t="shared" si="136"/>
        <v>520</v>
      </c>
      <c r="V167" s="123"/>
      <c r="W167" s="123">
        <f t="shared" si="137"/>
        <v>520</v>
      </c>
      <c r="X167" s="123"/>
      <c r="Y167" s="123">
        <f t="shared" si="138"/>
        <v>520</v>
      </c>
    </row>
    <row r="168" spans="1:25" s="15" customFormat="1" ht="24.75" customHeight="1" hidden="1">
      <c r="A168" s="121"/>
      <c r="B168" s="121"/>
      <c r="C168" s="121"/>
      <c r="D168" s="122" t="s">
        <v>347</v>
      </c>
      <c r="E168" s="123"/>
      <c r="F168" s="123"/>
      <c r="G168" s="123"/>
      <c r="H168" s="123"/>
      <c r="I168" s="123"/>
      <c r="J168" s="123"/>
      <c r="K168" s="123">
        <v>0</v>
      </c>
      <c r="L168" s="123"/>
      <c r="M168" s="123">
        <f>SUM(K168:L168)</f>
        <v>0</v>
      </c>
      <c r="N168" s="123"/>
      <c r="O168" s="123">
        <f t="shared" si="133"/>
        <v>0</v>
      </c>
      <c r="P168" s="123"/>
      <c r="Q168" s="123">
        <f t="shared" si="134"/>
        <v>0</v>
      </c>
      <c r="R168" s="123"/>
      <c r="S168" s="123">
        <f t="shared" si="135"/>
        <v>0</v>
      </c>
      <c r="T168" s="123"/>
      <c r="U168" s="123">
        <f t="shared" si="136"/>
        <v>0</v>
      </c>
      <c r="V168" s="123"/>
      <c r="W168" s="123">
        <f t="shared" si="137"/>
        <v>0</v>
      </c>
      <c r="X168" s="123"/>
      <c r="Y168" s="123">
        <f t="shared" si="138"/>
        <v>0</v>
      </c>
    </row>
    <row r="169" spans="1:25" s="15" customFormat="1" ht="24" customHeight="1">
      <c r="A169" s="117"/>
      <c r="B169" s="117" t="s">
        <v>124</v>
      </c>
      <c r="C169" s="118"/>
      <c r="D169" s="119" t="s">
        <v>147</v>
      </c>
      <c r="E169" s="120">
        <f aca="true" t="shared" si="139" ref="E169:L169">SUM(E170,E188)</f>
        <v>67470</v>
      </c>
      <c r="F169" s="120">
        <f t="shared" si="139"/>
        <v>-2520</v>
      </c>
      <c r="G169" s="120">
        <f t="shared" si="139"/>
        <v>64950</v>
      </c>
      <c r="H169" s="120">
        <f t="shared" si="139"/>
        <v>0</v>
      </c>
      <c r="I169" s="120">
        <f t="shared" si="139"/>
        <v>64950</v>
      </c>
      <c r="J169" s="120">
        <f t="shared" si="139"/>
        <v>-500</v>
      </c>
      <c r="K169" s="120">
        <f t="shared" si="139"/>
        <v>64450</v>
      </c>
      <c r="L169" s="120">
        <f t="shared" si="139"/>
        <v>-1170</v>
      </c>
      <c r="M169" s="120">
        <f>SUM(M170,M188,M196)</f>
        <v>63280</v>
      </c>
      <c r="N169" s="120">
        <f>SUM(N170,N188,N196)</f>
        <v>-2635</v>
      </c>
      <c r="O169" s="120">
        <f aca="true" t="shared" si="140" ref="O169:U169">SUM(O170,O188,O196,O186)</f>
        <v>60645</v>
      </c>
      <c r="P169" s="120">
        <f t="shared" si="140"/>
        <v>3305</v>
      </c>
      <c r="Q169" s="120">
        <f t="shared" si="140"/>
        <v>63950</v>
      </c>
      <c r="R169" s="120">
        <f t="shared" si="140"/>
        <v>0</v>
      </c>
      <c r="S169" s="120">
        <f t="shared" si="140"/>
        <v>63950</v>
      </c>
      <c r="T169" s="120">
        <f t="shared" si="140"/>
        <v>-1601</v>
      </c>
      <c r="U169" s="120">
        <f t="shared" si="140"/>
        <v>62349</v>
      </c>
      <c r="V169" s="120">
        <f>SUM(V170,V188,V196,V186)</f>
        <v>0</v>
      </c>
      <c r="W169" s="120">
        <f>SUM(W170,W188,W196,W186)</f>
        <v>62349</v>
      </c>
      <c r="X169" s="120">
        <f>SUM(X170,X188,X196,X186)</f>
        <v>0</v>
      </c>
      <c r="Y169" s="120">
        <f>SUM(Y170,Y188,Y196,Y186)</f>
        <v>62349</v>
      </c>
    </row>
    <row r="170" spans="1:25" s="15" customFormat="1" ht="21" customHeight="1">
      <c r="A170" s="117"/>
      <c r="B170" s="117"/>
      <c r="C170" s="117" t="s">
        <v>350</v>
      </c>
      <c r="D170" s="119" t="s">
        <v>82</v>
      </c>
      <c r="E170" s="120">
        <f aca="true" t="shared" si="141" ref="E170:Q170">SUM(E171:E185)</f>
        <v>57300</v>
      </c>
      <c r="F170" s="120">
        <f t="shared" si="141"/>
        <v>-2520</v>
      </c>
      <c r="G170" s="120">
        <f t="shared" si="141"/>
        <v>54780</v>
      </c>
      <c r="H170" s="120">
        <f t="shared" si="141"/>
        <v>0</v>
      </c>
      <c r="I170" s="120">
        <f t="shared" si="141"/>
        <v>54780</v>
      </c>
      <c r="J170" s="120">
        <f t="shared" si="141"/>
        <v>-500</v>
      </c>
      <c r="K170" s="120">
        <f t="shared" si="141"/>
        <v>54280</v>
      </c>
      <c r="L170" s="120">
        <f t="shared" si="141"/>
        <v>0</v>
      </c>
      <c r="M170" s="120">
        <f t="shared" si="141"/>
        <v>54280</v>
      </c>
      <c r="N170" s="120">
        <f t="shared" si="141"/>
        <v>-24185</v>
      </c>
      <c r="O170" s="120">
        <f t="shared" si="141"/>
        <v>30095</v>
      </c>
      <c r="P170" s="120">
        <f t="shared" si="141"/>
        <v>6280</v>
      </c>
      <c r="Q170" s="120">
        <f t="shared" si="141"/>
        <v>36375</v>
      </c>
      <c r="R170" s="120">
        <f aca="true" t="shared" si="142" ref="R170:W170">SUM(R171:R185)</f>
        <v>0</v>
      </c>
      <c r="S170" s="120">
        <f t="shared" si="142"/>
        <v>36375</v>
      </c>
      <c r="T170" s="120">
        <f t="shared" si="142"/>
        <v>-601</v>
      </c>
      <c r="U170" s="120">
        <f t="shared" si="142"/>
        <v>35774</v>
      </c>
      <c r="V170" s="120">
        <f t="shared" si="142"/>
        <v>0</v>
      </c>
      <c r="W170" s="120">
        <f t="shared" si="142"/>
        <v>35774</v>
      </c>
      <c r="X170" s="120">
        <f>SUM(X171:X185)</f>
        <v>0</v>
      </c>
      <c r="Y170" s="120">
        <f>SUM(Y171:Y185)</f>
        <v>35774</v>
      </c>
    </row>
    <row r="171" spans="1:25" s="15" customFormat="1" ht="21" customHeight="1">
      <c r="A171" s="121"/>
      <c r="B171" s="121"/>
      <c r="C171" s="121"/>
      <c r="D171" s="122" t="s">
        <v>343</v>
      </c>
      <c r="E171" s="123">
        <v>600</v>
      </c>
      <c r="F171" s="123"/>
      <c r="G171" s="123">
        <f aca="true" t="shared" si="143" ref="G171:G185">SUM(E171:F171)</f>
        <v>600</v>
      </c>
      <c r="H171" s="123"/>
      <c r="I171" s="123">
        <f aca="true" t="shared" si="144" ref="I171:I185">SUM(G171:H171)</f>
        <v>600</v>
      </c>
      <c r="J171" s="123">
        <v>-500</v>
      </c>
      <c r="K171" s="123">
        <f aca="true" t="shared" si="145" ref="K171:K185">SUM(I171:J171)</f>
        <v>100</v>
      </c>
      <c r="L171" s="123"/>
      <c r="M171" s="123">
        <f aca="true" t="shared" si="146" ref="M171:M185">SUM(K171:L171)</f>
        <v>100</v>
      </c>
      <c r="N171" s="123"/>
      <c r="O171" s="123">
        <f aca="true" t="shared" si="147" ref="O171:O185">SUM(M171:N171)</f>
        <v>100</v>
      </c>
      <c r="P171" s="123"/>
      <c r="Q171" s="123">
        <f aca="true" t="shared" si="148" ref="Q171:Q185">SUM(O171:P171)</f>
        <v>100</v>
      </c>
      <c r="R171" s="123"/>
      <c r="S171" s="123">
        <f aca="true" t="shared" si="149" ref="S171:S185">SUM(Q171:R171)</f>
        <v>100</v>
      </c>
      <c r="T171" s="123"/>
      <c r="U171" s="123">
        <f aca="true" t="shared" si="150" ref="U171:U185">SUM(S171:T171)</f>
        <v>100</v>
      </c>
      <c r="V171" s="123"/>
      <c r="W171" s="123">
        <f aca="true" t="shared" si="151" ref="W171:W185">SUM(U171:V171)</f>
        <v>100</v>
      </c>
      <c r="X171" s="123"/>
      <c r="Y171" s="123">
        <f aca="true" t="shared" si="152" ref="Y171:Y185">SUM(W171:X171)</f>
        <v>100</v>
      </c>
    </row>
    <row r="172" spans="1:25" s="15" customFormat="1" ht="21" customHeight="1">
      <c r="A172" s="121"/>
      <c r="B172" s="121"/>
      <c r="C172" s="121"/>
      <c r="D172" s="122" t="s">
        <v>344</v>
      </c>
      <c r="E172" s="123">
        <v>1200</v>
      </c>
      <c r="F172" s="123"/>
      <c r="G172" s="123">
        <f t="shared" si="143"/>
        <v>1200</v>
      </c>
      <c r="H172" s="123"/>
      <c r="I172" s="123">
        <f t="shared" si="144"/>
        <v>1200</v>
      </c>
      <c r="J172" s="123"/>
      <c r="K172" s="123">
        <f t="shared" si="145"/>
        <v>1200</v>
      </c>
      <c r="L172" s="123"/>
      <c r="M172" s="123">
        <f t="shared" si="146"/>
        <v>1200</v>
      </c>
      <c r="N172" s="123"/>
      <c r="O172" s="123">
        <f t="shared" si="147"/>
        <v>1200</v>
      </c>
      <c r="P172" s="123"/>
      <c r="Q172" s="123">
        <f t="shared" si="148"/>
        <v>1200</v>
      </c>
      <c r="R172" s="123"/>
      <c r="S172" s="123">
        <f t="shared" si="149"/>
        <v>1200</v>
      </c>
      <c r="T172" s="123"/>
      <c r="U172" s="123">
        <f t="shared" si="150"/>
        <v>1200</v>
      </c>
      <c r="V172" s="123"/>
      <c r="W172" s="123">
        <f t="shared" si="151"/>
        <v>1200</v>
      </c>
      <c r="X172" s="123"/>
      <c r="Y172" s="123">
        <f t="shared" si="152"/>
        <v>1200</v>
      </c>
    </row>
    <row r="173" spans="1:25" s="15" customFormat="1" ht="21" customHeight="1">
      <c r="A173" s="121"/>
      <c r="B173" s="121"/>
      <c r="C173" s="121"/>
      <c r="D173" s="122" t="s">
        <v>332</v>
      </c>
      <c r="E173" s="123">
        <v>490</v>
      </c>
      <c r="F173" s="123"/>
      <c r="G173" s="123">
        <f t="shared" si="143"/>
        <v>490</v>
      </c>
      <c r="H173" s="123"/>
      <c r="I173" s="123">
        <f t="shared" si="144"/>
        <v>490</v>
      </c>
      <c r="J173" s="123"/>
      <c r="K173" s="123">
        <f t="shared" si="145"/>
        <v>490</v>
      </c>
      <c r="L173" s="123"/>
      <c r="M173" s="123">
        <f t="shared" si="146"/>
        <v>490</v>
      </c>
      <c r="N173" s="123"/>
      <c r="O173" s="123">
        <f t="shared" si="147"/>
        <v>490</v>
      </c>
      <c r="P173" s="123"/>
      <c r="Q173" s="123">
        <f t="shared" si="148"/>
        <v>490</v>
      </c>
      <c r="R173" s="123"/>
      <c r="S173" s="123">
        <f t="shared" si="149"/>
        <v>490</v>
      </c>
      <c r="T173" s="123"/>
      <c r="U173" s="123">
        <f t="shared" si="150"/>
        <v>490</v>
      </c>
      <c r="V173" s="123"/>
      <c r="W173" s="123">
        <f t="shared" si="151"/>
        <v>490</v>
      </c>
      <c r="X173" s="123"/>
      <c r="Y173" s="123">
        <f t="shared" si="152"/>
        <v>490</v>
      </c>
    </row>
    <row r="174" spans="1:25" s="15" customFormat="1" ht="21" customHeight="1">
      <c r="A174" s="121"/>
      <c r="B174" s="121"/>
      <c r="C174" s="121"/>
      <c r="D174" s="122" t="s">
        <v>333</v>
      </c>
      <c r="E174" s="123">
        <v>900</v>
      </c>
      <c r="F174" s="123"/>
      <c r="G174" s="123">
        <f t="shared" si="143"/>
        <v>900</v>
      </c>
      <c r="H174" s="123"/>
      <c r="I174" s="123">
        <f t="shared" si="144"/>
        <v>900</v>
      </c>
      <c r="J174" s="123"/>
      <c r="K174" s="123">
        <f t="shared" si="145"/>
        <v>900</v>
      </c>
      <c r="L174" s="123"/>
      <c r="M174" s="123">
        <f t="shared" si="146"/>
        <v>900</v>
      </c>
      <c r="N174" s="123"/>
      <c r="O174" s="123">
        <f t="shared" si="147"/>
        <v>900</v>
      </c>
      <c r="P174" s="123">
        <v>2800</v>
      </c>
      <c r="Q174" s="123">
        <f t="shared" si="148"/>
        <v>3700</v>
      </c>
      <c r="R174" s="123"/>
      <c r="S174" s="123">
        <f t="shared" si="149"/>
        <v>3700</v>
      </c>
      <c r="T174" s="123"/>
      <c r="U174" s="123">
        <f t="shared" si="150"/>
        <v>3700</v>
      </c>
      <c r="V174" s="123"/>
      <c r="W174" s="123">
        <f t="shared" si="151"/>
        <v>3700</v>
      </c>
      <c r="X174" s="123"/>
      <c r="Y174" s="123">
        <f t="shared" si="152"/>
        <v>3700</v>
      </c>
    </row>
    <row r="175" spans="1:25" s="15" customFormat="1" ht="21" customHeight="1">
      <c r="A175" s="121"/>
      <c r="B175" s="121"/>
      <c r="C175" s="121"/>
      <c r="D175" s="122" t="s">
        <v>345</v>
      </c>
      <c r="E175" s="123">
        <v>1870</v>
      </c>
      <c r="F175" s="123"/>
      <c r="G175" s="123">
        <f t="shared" si="143"/>
        <v>1870</v>
      </c>
      <c r="H175" s="123"/>
      <c r="I175" s="123">
        <f t="shared" si="144"/>
        <v>1870</v>
      </c>
      <c r="J175" s="123"/>
      <c r="K175" s="123">
        <f t="shared" si="145"/>
        <v>1870</v>
      </c>
      <c r="L175" s="123"/>
      <c r="M175" s="123">
        <f t="shared" si="146"/>
        <v>1870</v>
      </c>
      <c r="N175" s="123"/>
      <c r="O175" s="123">
        <f t="shared" si="147"/>
        <v>1870</v>
      </c>
      <c r="P175" s="123"/>
      <c r="Q175" s="123">
        <f t="shared" si="148"/>
        <v>1870</v>
      </c>
      <c r="R175" s="123"/>
      <c r="S175" s="123">
        <f t="shared" si="149"/>
        <v>1870</v>
      </c>
      <c r="T175" s="123"/>
      <c r="U175" s="123">
        <f t="shared" si="150"/>
        <v>1870</v>
      </c>
      <c r="V175" s="123"/>
      <c r="W175" s="123">
        <f t="shared" si="151"/>
        <v>1870</v>
      </c>
      <c r="X175" s="123"/>
      <c r="Y175" s="123">
        <f t="shared" si="152"/>
        <v>1870</v>
      </c>
    </row>
    <row r="176" spans="1:25" s="15" customFormat="1" ht="21" customHeight="1">
      <c r="A176" s="121"/>
      <c r="B176" s="121"/>
      <c r="C176" s="121"/>
      <c r="D176" s="122" t="s">
        <v>334</v>
      </c>
      <c r="E176" s="123">
        <v>6500</v>
      </c>
      <c r="F176" s="123"/>
      <c r="G176" s="123">
        <f t="shared" si="143"/>
        <v>6500</v>
      </c>
      <c r="H176" s="123"/>
      <c r="I176" s="123">
        <f t="shared" si="144"/>
        <v>6500</v>
      </c>
      <c r="J176" s="123"/>
      <c r="K176" s="123">
        <f t="shared" si="145"/>
        <v>6500</v>
      </c>
      <c r="L176" s="123"/>
      <c r="M176" s="123">
        <f t="shared" si="146"/>
        <v>6500</v>
      </c>
      <c r="N176" s="123">
        <v>-3295</v>
      </c>
      <c r="O176" s="123">
        <f t="shared" si="147"/>
        <v>3205</v>
      </c>
      <c r="P176" s="123">
        <v>-500</v>
      </c>
      <c r="Q176" s="123">
        <f t="shared" si="148"/>
        <v>2705</v>
      </c>
      <c r="R176" s="123"/>
      <c r="S176" s="123">
        <f t="shared" si="149"/>
        <v>2705</v>
      </c>
      <c r="T176" s="123"/>
      <c r="U176" s="123">
        <f t="shared" si="150"/>
        <v>2705</v>
      </c>
      <c r="V176" s="123"/>
      <c r="W176" s="123">
        <f t="shared" si="151"/>
        <v>2705</v>
      </c>
      <c r="X176" s="123"/>
      <c r="Y176" s="123">
        <f t="shared" si="152"/>
        <v>2705</v>
      </c>
    </row>
    <row r="177" spans="1:25" s="15" customFormat="1" ht="21" customHeight="1">
      <c r="A177" s="121"/>
      <c r="B177" s="121"/>
      <c r="C177" s="121"/>
      <c r="D177" s="122" t="s">
        <v>335</v>
      </c>
      <c r="E177" s="123">
        <v>2200</v>
      </c>
      <c r="F177" s="123"/>
      <c r="G177" s="123">
        <f t="shared" si="143"/>
        <v>2200</v>
      </c>
      <c r="H177" s="123"/>
      <c r="I177" s="123">
        <f t="shared" si="144"/>
        <v>2200</v>
      </c>
      <c r="J177" s="123"/>
      <c r="K177" s="123">
        <f t="shared" si="145"/>
        <v>2200</v>
      </c>
      <c r="L177" s="123"/>
      <c r="M177" s="123">
        <f t="shared" si="146"/>
        <v>2200</v>
      </c>
      <c r="N177" s="123"/>
      <c r="O177" s="123">
        <f t="shared" si="147"/>
        <v>2200</v>
      </c>
      <c r="P177" s="123"/>
      <c r="Q177" s="123">
        <f t="shared" si="148"/>
        <v>2200</v>
      </c>
      <c r="R177" s="123"/>
      <c r="S177" s="123">
        <f t="shared" si="149"/>
        <v>2200</v>
      </c>
      <c r="T177" s="123">
        <v>-496</v>
      </c>
      <c r="U177" s="123">
        <f t="shared" si="150"/>
        <v>1704</v>
      </c>
      <c r="V177" s="123"/>
      <c r="W177" s="123">
        <f t="shared" si="151"/>
        <v>1704</v>
      </c>
      <c r="X177" s="123"/>
      <c r="Y177" s="123">
        <f t="shared" si="152"/>
        <v>1704</v>
      </c>
    </row>
    <row r="178" spans="1:25" s="15" customFormat="1" ht="21" customHeight="1">
      <c r="A178" s="121"/>
      <c r="B178" s="121"/>
      <c r="C178" s="121"/>
      <c r="D178" s="122" t="s">
        <v>336</v>
      </c>
      <c r="E178" s="123">
        <v>3600</v>
      </c>
      <c r="F178" s="123"/>
      <c r="G178" s="123">
        <f t="shared" si="143"/>
        <v>3600</v>
      </c>
      <c r="H178" s="123"/>
      <c r="I178" s="123">
        <f t="shared" si="144"/>
        <v>3600</v>
      </c>
      <c r="J178" s="123"/>
      <c r="K178" s="123">
        <f t="shared" si="145"/>
        <v>3600</v>
      </c>
      <c r="L178" s="123"/>
      <c r="M178" s="123">
        <f t="shared" si="146"/>
        <v>3600</v>
      </c>
      <c r="N178" s="123"/>
      <c r="O178" s="123">
        <f t="shared" si="147"/>
        <v>3600</v>
      </c>
      <c r="P178" s="123"/>
      <c r="Q178" s="123">
        <f t="shared" si="148"/>
        <v>3600</v>
      </c>
      <c r="R178" s="123"/>
      <c r="S178" s="123">
        <f t="shared" si="149"/>
        <v>3600</v>
      </c>
      <c r="T178" s="123"/>
      <c r="U178" s="123">
        <f t="shared" si="150"/>
        <v>3600</v>
      </c>
      <c r="V178" s="123"/>
      <c r="W178" s="123">
        <f t="shared" si="151"/>
        <v>3600</v>
      </c>
      <c r="X178" s="123"/>
      <c r="Y178" s="123">
        <f t="shared" si="152"/>
        <v>3600</v>
      </c>
    </row>
    <row r="179" spans="1:25" s="133" customFormat="1" ht="21" customHeight="1">
      <c r="A179" s="132"/>
      <c r="B179" s="132"/>
      <c r="C179" s="132"/>
      <c r="D179" s="122" t="s">
        <v>346</v>
      </c>
      <c r="E179" s="123">
        <v>3730</v>
      </c>
      <c r="F179" s="123"/>
      <c r="G179" s="123">
        <f t="shared" si="143"/>
        <v>3730</v>
      </c>
      <c r="H179" s="123"/>
      <c r="I179" s="123">
        <f t="shared" si="144"/>
        <v>3730</v>
      </c>
      <c r="J179" s="123"/>
      <c r="K179" s="123">
        <f t="shared" si="145"/>
        <v>3730</v>
      </c>
      <c r="L179" s="123"/>
      <c r="M179" s="123">
        <f t="shared" si="146"/>
        <v>3730</v>
      </c>
      <c r="N179" s="123"/>
      <c r="O179" s="123">
        <f t="shared" si="147"/>
        <v>3730</v>
      </c>
      <c r="P179" s="123">
        <v>500</v>
      </c>
      <c r="Q179" s="123">
        <f t="shared" si="148"/>
        <v>4230</v>
      </c>
      <c r="R179" s="123"/>
      <c r="S179" s="123">
        <f t="shared" si="149"/>
        <v>4230</v>
      </c>
      <c r="T179" s="123"/>
      <c r="U179" s="123">
        <f t="shared" si="150"/>
        <v>4230</v>
      </c>
      <c r="V179" s="123"/>
      <c r="W179" s="123">
        <f t="shared" si="151"/>
        <v>4230</v>
      </c>
      <c r="X179" s="123"/>
      <c r="Y179" s="123">
        <f t="shared" si="152"/>
        <v>4230</v>
      </c>
    </row>
    <row r="180" spans="1:25" s="15" customFormat="1" ht="21" customHeight="1">
      <c r="A180" s="121"/>
      <c r="B180" s="121"/>
      <c r="C180" s="121"/>
      <c r="D180" s="122" t="s">
        <v>337</v>
      </c>
      <c r="E180" s="123">
        <v>7920</v>
      </c>
      <c r="F180" s="123"/>
      <c r="G180" s="123">
        <f t="shared" si="143"/>
        <v>7920</v>
      </c>
      <c r="H180" s="123"/>
      <c r="I180" s="123">
        <f t="shared" si="144"/>
        <v>7920</v>
      </c>
      <c r="J180" s="123"/>
      <c r="K180" s="123">
        <f t="shared" si="145"/>
        <v>7920</v>
      </c>
      <c r="L180" s="123"/>
      <c r="M180" s="123">
        <f t="shared" si="146"/>
        <v>7920</v>
      </c>
      <c r="N180" s="123">
        <v>-6620</v>
      </c>
      <c r="O180" s="123">
        <f t="shared" si="147"/>
        <v>1300</v>
      </c>
      <c r="P180" s="123"/>
      <c r="Q180" s="123">
        <f t="shared" si="148"/>
        <v>1300</v>
      </c>
      <c r="R180" s="123"/>
      <c r="S180" s="123">
        <f t="shared" si="149"/>
        <v>1300</v>
      </c>
      <c r="T180" s="123"/>
      <c r="U180" s="123">
        <f t="shared" si="150"/>
        <v>1300</v>
      </c>
      <c r="V180" s="123"/>
      <c r="W180" s="123">
        <f t="shared" si="151"/>
        <v>1300</v>
      </c>
      <c r="X180" s="123"/>
      <c r="Y180" s="123">
        <f t="shared" si="152"/>
        <v>1300</v>
      </c>
    </row>
    <row r="181" spans="1:25" s="15" customFormat="1" ht="21" customHeight="1">
      <c r="A181" s="121"/>
      <c r="B181" s="121"/>
      <c r="C181" s="121"/>
      <c r="D181" s="122" t="s">
        <v>338</v>
      </c>
      <c r="E181" s="123">
        <v>200</v>
      </c>
      <c r="F181" s="123"/>
      <c r="G181" s="123">
        <f t="shared" si="143"/>
        <v>200</v>
      </c>
      <c r="H181" s="123"/>
      <c r="I181" s="123">
        <f t="shared" si="144"/>
        <v>200</v>
      </c>
      <c r="J181" s="123"/>
      <c r="K181" s="123">
        <f t="shared" si="145"/>
        <v>200</v>
      </c>
      <c r="L181" s="123"/>
      <c r="M181" s="123">
        <f t="shared" si="146"/>
        <v>200</v>
      </c>
      <c r="N181" s="123">
        <v>510</v>
      </c>
      <c r="O181" s="123">
        <f t="shared" si="147"/>
        <v>710</v>
      </c>
      <c r="P181" s="123"/>
      <c r="Q181" s="123">
        <f t="shared" si="148"/>
        <v>710</v>
      </c>
      <c r="R181" s="123"/>
      <c r="S181" s="123">
        <f t="shared" si="149"/>
        <v>710</v>
      </c>
      <c r="T181" s="123"/>
      <c r="U181" s="123">
        <f t="shared" si="150"/>
        <v>710</v>
      </c>
      <c r="V181" s="123"/>
      <c r="W181" s="123">
        <f t="shared" si="151"/>
        <v>710</v>
      </c>
      <c r="X181" s="123"/>
      <c r="Y181" s="123">
        <f t="shared" si="152"/>
        <v>710</v>
      </c>
    </row>
    <row r="182" spans="1:25" s="15" customFormat="1" ht="21" customHeight="1">
      <c r="A182" s="121"/>
      <c r="B182" s="121"/>
      <c r="C182" s="121"/>
      <c r="D182" s="122" t="s">
        <v>340</v>
      </c>
      <c r="E182" s="123">
        <v>4870</v>
      </c>
      <c r="F182" s="123"/>
      <c r="G182" s="123">
        <f t="shared" si="143"/>
        <v>4870</v>
      </c>
      <c r="H182" s="123"/>
      <c r="I182" s="123">
        <f t="shared" si="144"/>
        <v>4870</v>
      </c>
      <c r="J182" s="123"/>
      <c r="K182" s="123">
        <f t="shared" si="145"/>
        <v>4870</v>
      </c>
      <c r="L182" s="123"/>
      <c r="M182" s="123">
        <f t="shared" si="146"/>
        <v>4870</v>
      </c>
      <c r="N182" s="123">
        <f>400-250</f>
        <v>150</v>
      </c>
      <c r="O182" s="123">
        <f t="shared" si="147"/>
        <v>5020</v>
      </c>
      <c r="P182" s="123"/>
      <c r="Q182" s="123">
        <f t="shared" si="148"/>
        <v>5020</v>
      </c>
      <c r="R182" s="123"/>
      <c r="S182" s="123">
        <f t="shared" si="149"/>
        <v>5020</v>
      </c>
      <c r="T182" s="123"/>
      <c r="U182" s="123">
        <f t="shared" si="150"/>
        <v>5020</v>
      </c>
      <c r="V182" s="123"/>
      <c r="W182" s="123">
        <f t="shared" si="151"/>
        <v>5020</v>
      </c>
      <c r="X182" s="123"/>
      <c r="Y182" s="123">
        <f t="shared" si="152"/>
        <v>5020</v>
      </c>
    </row>
    <row r="183" spans="1:25" s="15" customFormat="1" ht="21" customHeight="1">
      <c r="A183" s="121"/>
      <c r="B183" s="121"/>
      <c r="C183" s="121"/>
      <c r="D183" s="122" t="s">
        <v>341</v>
      </c>
      <c r="E183" s="123">
        <v>700</v>
      </c>
      <c r="F183" s="123"/>
      <c r="G183" s="123">
        <f t="shared" si="143"/>
        <v>700</v>
      </c>
      <c r="H183" s="123"/>
      <c r="I183" s="123">
        <f t="shared" si="144"/>
        <v>700</v>
      </c>
      <c r="J183" s="123"/>
      <c r="K183" s="123">
        <f t="shared" si="145"/>
        <v>700</v>
      </c>
      <c r="L183" s="123"/>
      <c r="M183" s="123">
        <f t="shared" si="146"/>
        <v>700</v>
      </c>
      <c r="N183" s="123"/>
      <c r="O183" s="123">
        <f t="shared" si="147"/>
        <v>700</v>
      </c>
      <c r="P183" s="123">
        <v>300</v>
      </c>
      <c r="Q183" s="123">
        <f t="shared" si="148"/>
        <v>1000</v>
      </c>
      <c r="R183" s="123"/>
      <c r="S183" s="123">
        <f t="shared" si="149"/>
        <v>1000</v>
      </c>
      <c r="T183" s="123"/>
      <c r="U183" s="123">
        <f t="shared" si="150"/>
        <v>1000</v>
      </c>
      <c r="V183" s="123"/>
      <c r="W183" s="123">
        <f t="shared" si="151"/>
        <v>1000</v>
      </c>
      <c r="X183" s="123"/>
      <c r="Y183" s="123">
        <f t="shared" si="152"/>
        <v>1000</v>
      </c>
    </row>
    <row r="184" spans="1:25" s="15" customFormat="1" ht="21" customHeight="1">
      <c r="A184" s="121"/>
      <c r="B184" s="121"/>
      <c r="C184" s="121"/>
      <c r="D184" s="122" t="s">
        <v>347</v>
      </c>
      <c r="E184" s="123">
        <v>21520</v>
      </c>
      <c r="F184" s="123">
        <v>-2520</v>
      </c>
      <c r="G184" s="123">
        <f t="shared" si="143"/>
        <v>19000</v>
      </c>
      <c r="H184" s="123"/>
      <c r="I184" s="123">
        <f t="shared" si="144"/>
        <v>19000</v>
      </c>
      <c r="J184" s="123"/>
      <c r="K184" s="123">
        <f t="shared" si="145"/>
        <v>19000</v>
      </c>
      <c r="L184" s="123"/>
      <c r="M184" s="123">
        <f t="shared" si="146"/>
        <v>19000</v>
      </c>
      <c r="N184" s="123">
        <v>-14930</v>
      </c>
      <c r="O184" s="123">
        <f t="shared" si="147"/>
        <v>4070</v>
      </c>
      <c r="P184" s="123">
        <v>3180</v>
      </c>
      <c r="Q184" s="123">
        <f t="shared" si="148"/>
        <v>7250</v>
      </c>
      <c r="R184" s="123"/>
      <c r="S184" s="123">
        <f t="shared" si="149"/>
        <v>7250</v>
      </c>
      <c r="T184" s="123">
        <v>-105</v>
      </c>
      <c r="U184" s="123">
        <f t="shared" si="150"/>
        <v>7145</v>
      </c>
      <c r="V184" s="123"/>
      <c r="W184" s="123">
        <f t="shared" si="151"/>
        <v>7145</v>
      </c>
      <c r="X184" s="123"/>
      <c r="Y184" s="123">
        <f t="shared" si="152"/>
        <v>7145</v>
      </c>
    </row>
    <row r="185" spans="1:25" s="15" customFormat="1" ht="21" customHeight="1">
      <c r="A185" s="121"/>
      <c r="B185" s="121"/>
      <c r="C185" s="121"/>
      <c r="D185" s="122" t="s">
        <v>352</v>
      </c>
      <c r="E185" s="123">
        <v>1000</v>
      </c>
      <c r="F185" s="123"/>
      <c r="G185" s="123">
        <f t="shared" si="143"/>
        <v>1000</v>
      </c>
      <c r="H185" s="123"/>
      <c r="I185" s="123">
        <f t="shared" si="144"/>
        <v>1000</v>
      </c>
      <c r="J185" s="123"/>
      <c r="K185" s="123">
        <f t="shared" si="145"/>
        <v>1000</v>
      </c>
      <c r="L185" s="123"/>
      <c r="M185" s="123">
        <f t="shared" si="146"/>
        <v>1000</v>
      </c>
      <c r="N185" s="123"/>
      <c r="O185" s="123">
        <f t="shared" si="147"/>
        <v>1000</v>
      </c>
      <c r="P185" s="123"/>
      <c r="Q185" s="123">
        <f t="shared" si="148"/>
        <v>1000</v>
      </c>
      <c r="R185" s="123"/>
      <c r="S185" s="123">
        <f t="shared" si="149"/>
        <v>1000</v>
      </c>
      <c r="T185" s="123"/>
      <c r="U185" s="123">
        <f t="shared" si="150"/>
        <v>1000</v>
      </c>
      <c r="V185" s="123"/>
      <c r="W185" s="123">
        <f t="shared" si="151"/>
        <v>1000</v>
      </c>
      <c r="X185" s="123"/>
      <c r="Y185" s="123">
        <f t="shared" si="152"/>
        <v>1000</v>
      </c>
    </row>
    <row r="186" spans="1:25" s="15" customFormat="1" ht="21" customHeight="1">
      <c r="A186" s="126"/>
      <c r="B186" s="126"/>
      <c r="C186" s="126">
        <v>4260</v>
      </c>
      <c r="D186" s="119" t="s">
        <v>85</v>
      </c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>
        <f aca="true" t="shared" si="153" ref="O186:Y186">SUM(O187)</f>
        <v>0</v>
      </c>
      <c r="P186" s="120">
        <f t="shared" si="153"/>
        <v>165</v>
      </c>
      <c r="Q186" s="120">
        <f t="shared" si="153"/>
        <v>165</v>
      </c>
      <c r="R186" s="120">
        <f t="shared" si="153"/>
        <v>0</v>
      </c>
      <c r="S186" s="120">
        <f t="shared" si="153"/>
        <v>165</v>
      </c>
      <c r="T186" s="120">
        <f t="shared" si="153"/>
        <v>0</v>
      </c>
      <c r="U186" s="120">
        <f t="shared" si="153"/>
        <v>165</v>
      </c>
      <c r="V186" s="120">
        <f t="shared" si="153"/>
        <v>0</v>
      </c>
      <c r="W186" s="120">
        <f t="shared" si="153"/>
        <v>165</v>
      </c>
      <c r="X186" s="120">
        <f t="shared" si="153"/>
        <v>0</v>
      </c>
      <c r="Y186" s="120">
        <f t="shared" si="153"/>
        <v>165</v>
      </c>
    </row>
    <row r="187" spans="1:25" s="133" customFormat="1" ht="21" customHeight="1">
      <c r="A187" s="132"/>
      <c r="B187" s="132"/>
      <c r="C187" s="132"/>
      <c r="D187" s="122" t="s">
        <v>346</v>
      </c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>
        <v>0</v>
      </c>
      <c r="P187" s="123">
        <v>165</v>
      </c>
      <c r="Q187" s="123">
        <f>SUM(O187:P187)</f>
        <v>165</v>
      </c>
      <c r="R187" s="123"/>
      <c r="S187" s="123">
        <f>SUM(Q187:R187)</f>
        <v>165</v>
      </c>
      <c r="T187" s="123"/>
      <c r="U187" s="123">
        <f>SUM(S187:T187)</f>
        <v>165</v>
      </c>
      <c r="V187" s="123"/>
      <c r="W187" s="123">
        <f>SUM(U187:V187)</f>
        <v>165</v>
      </c>
      <c r="X187" s="123"/>
      <c r="Y187" s="123">
        <f>SUM(W187:X187)</f>
        <v>165</v>
      </c>
    </row>
    <row r="188" spans="1:25" s="15" customFormat="1" ht="21" customHeight="1">
      <c r="A188" s="117"/>
      <c r="B188" s="117"/>
      <c r="C188" s="117" t="s">
        <v>357</v>
      </c>
      <c r="D188" s="119" t="s">
        <v>69</v>
      </c>
      <c r="E188" s="120">
        <f aca="true" t="shared" si="154" ref="E188:Q188">SUM(E189:E195)</f>
        <v>10170</v>
      </c>
      <c r="F188" s="120">
        <f t="shared" si="154"/>
        <v>0</v>
      </c>
      <c r="G188" s="120">
        <f t="shared" si="154"/>
        <v>10170</v>
      </c>
      <c r="H188" s="120">
        <f t="shared" si="154"/>
        <v>0</v>
      </c>
      <c r="I188" s="120">
        <f t="shared" si="154"/>
        <v>10170</v>
      </c>
      <c r="J188" s="120">
        <f t="shared" si="154"/>
        <v>0</v>
      </c>
      <c r="K188" s="120">
        <f t="shared" si="154"/>
        <v>10170</v>
      </c>
      <c r="L188" s="120">
        <f t="shared" si="154"/>
        <v>-1170</v>
      </c>
      <c r="M188" s="120">
        <f t="shared" si="154"/>
        <v>9000</v>
      </c>
      <c r="N188" s="120">
        <f t="shared" si="154"/>
        <v>0</v>
      </c>
      <c r="O188" s="120">
        <f t="shared" si="154"/>
        <v>9000</v>
      </c>
      <c r="P188" s="120">
        <f t="shared" si="154"/>
        <v>40</v>
      </c>
      <c r="Q188" s="120">
        <f t="shared" si="154"/>
        <v>9040</v>
      </c>
      <c r="R188" s="120">
        <f aca="true" t="shared" si="155" ref="R188:W188">SUM(R189:R195)</f>
        <v>0</v>
      </c>
      <c r="S188" s="120">
        <f t="shared" si="155"/>
        <v>9040</v>
      </c>
      <c r="T188" s="120">
        <f t="shared" si="155"/>
        <v>-1000</v>
      </c>
      <c r="U188" s="120">
        <f t="shared" si="155"/>
        <v>8040</v>
      </c>
      <c r="V188" s="120">
        <f t="shared" si="155"/>
        <v>0</v>
      </c>
      <c r="W188" s="120">
        <f t="shared" si="155"/>
        <v>8040</v>
      </c>
      <c r="X188" s="120">
        <f>SUM(X189:X195)</f>
        <v>0</v>
      </c>
      <c r="Y188" s="120">
        <f>SUM(Y189:Y195)</f>
        <v>8040</v>
      </c>
    </row>
    <row r="189" spans="1:25" s="15" customFormat="1" ht="21" customHeight="1">
      <c r="A189" s="117"/>
      <c r="B189" s="117"/>
      <c r="C189" s="117"/>
      <c r="D189" s="122" t="s">
        <v>332</v>
      </c>
      <c r="E189" s="123">
        <v>300</v>
      </c>
      <c r="F189" s="123"/>
      <c r="G189" s="123">
        <f aca="true" t="shared" si="156" ref="G189:G195">SUM(E189:F189)</f>
        <v>300</v>
      </c>
      <c r="H189" s="123"/>
      <c r="I189" s="123">
        <f aca="true" t="shared" si="157" ref="I189:I195">SUM(G189:H189)</f>
        <v>300</v>
      </c>
      <c r="J189" s="123"/>
      <c r="K189" s="123">
        <f aca="true" t="shared" si="158" ref="K189:K195">SUM(I189:J189)</f>
        <v>300</v>
      </c>
      <c r="L189" s="123"/>
      <c r="M189" s="123">
        <f aca="true" t="shared" si="159" ref="M189:M195">SUM(K189:L189)</f>
        <v>300</v>
      </c>
      <c r="N189" s="123"/>
      <c r="O189" s="123">
        <f aca="true" t="shared" si="160" ref="O189:O195">SUM(M189:N189)</f>
        <v>300</v>
      </c>
      <c r="P189" s="123"/>
      <c r="Q189" s="123">
        <f aca="true" t="shared" si="161" ref="Q189:Q195">SUM(O189:P189)</f>
        <v>300</v>
      </c>
      <c r="R189" s="123"/>
      <c r="S189" s="123">
        <f aca="true" t="shared" si="162" ref="S189:S195">SUM(Q189:R189)</f>
        <v>300</v>
      </c>
      <c r="T189" s="123"/>
      <c r="U189" s="123">
        <f aca="true" t="shared" si="163" ref="U189:U195">SUM(S189:T189)</f>
        <v>300</v>
      </c>
      <c r="V189" s="123"/>
      <c r="W189" s="123">
        <f aca="true" t="shared" si="164" ref="W189:W195">SUM(U189:V189)</f>
        <v>300</v>
      </c>
      <c r="X189" s="123"/>
      <c r="Y189" s="123">
        <f aca="true" t="shared" si="165" ref="Y189:Y195">SUM(W189:X189)</f>
        <v>300</v>
      </c>
    </row>
    <row r="190" spans="1:25" s="15" customFormat="1" ht="21" customHeight="1">
      <c r="A190" s="121"/>
      <c r="B190" s="121"/>
      <c r="C190" s="121"/>
      <c r="D190" s="122" t="s">
        <v>335</v>
      </c>
      <c r="E190" s="123">
        <v>1000</v>
      </c>
      <c r="F190" s="123"/>
      <c r="G190" s="123">
        <f t="shared" si="156"/>
        <v>1000</v>
      </c>
      <c r="H190" s="123"/>
      <c r="I190" s="123">
        <f t="shared" si="157"/>
        <v>1000</v>
      </c>
      <c r="J190" s="123"/>
      <c r="K190" s="123">
        <f t="shared" si="158"/>
        <v>1000</v>
      </c>
      <c r="L190" s="123"/>
      <c r="M190" s="123">
        <f t="shared" si="159"/>
        <v>1000</v>
      </c>
      <c r="N190" s="123"/>
      <c r="O190" s="123">
        <f t="shared" si="160"/>
        <v>1000</v>
      </c>
      <c r="P190" s="123"/>
      <c r="Q190" s="123">
        <f t="shared" si="161"/>
        <v>1000</v>
      </c>
      <c r="R190" s="123"/>
      <c r="S190" s="123">
        <f t="shared" si="162"/>
        <v>1000</v>
      </c>
      <c r="T190" s="123">
        <v>-1000</v>
      </c>
      <c r="U190" s="123">
        <f t="shared" si="163"/>
        <v>0</v>
      </c>
      <c r="V190" s="123"/>
      <c r="W190" s="123">
        <f t="shared" si="164"/>
        <v>0</v>
      </c>
      <c r="X190" s="123"/>
      <c r="Y190" s="123">
        <f t="shared" si="165"/>
        <v>0</v>
      </c>
    </row>
    <row r="191" spans="1:25" s="15" customFormat="1" ht="21" customHeight="1">
      <c r="A191" s="121"/>
      <c r="B191" s="121"/>
      <c r="C191" s="121"/>
      <c r="D191" s="122" t="s">
        <v>336</v>
      </c>
      <c r="E191" s="123">
        <v>700</v>
      </c>
      <c r="F191" s="123"/>
      <c r="G191" s="123">
        <f t="shared" si="156"/>
        <v>700</v>
      </c>
      <c r="H191" s="123"/>
      <c r="I191" s="123">
        <f t="shared" si="157"/>
        <v>700</v>
      </c>
      <c r="J191" s="123"/>
      <c r="K191" s="123">
        <f t="shared" si="158"/>
        <v>700</v>
      </c>
      <c r="L191" s="123"/>
      <c r="M191" s="123">
        <f t="shared" si="159"/>
        <v>700</v>
      </c>
      <c r="N191" s="123"/>
      <c r="O191" s="123">
        <f t="shared" si="160"/>
        <v>700</v>
      </c>
      <c r="P191" s="123"/>
      <c r="Q191" s="123">
        <f t="shared" si="161"/>
        <v>700</v>
      </c>
      <c r="R191" s="123"/>
      <c r="S191" s="123">
        <f t="shared" si="162"/>
        <v>700</v>
      </c>
      <c r="T191" s="123"/>
      <c r="U191" s="123">
        <f t="shared" si="163"/>
        <v>700</v>
      </c>
      <c r="V191" s="123"/>
      <c r="W191" s="123">
        <f t="shared" si="164"/>
        <v>700</v>
      </c>
      <c r="X191" s="123"/>
      <c r="Y191" s="123">
        <f t="shared" si="165"/>
        <v>700</v>
      </c>
    </row>
    <row r="192" spans="1:25" s="15" customFormat="1" ht="21" customHeight="1">
      <c r="A192" s="121"/>
      <c r="B192" s="121"/>
      <c r="C192" s="121"/>
      <c r="D192" s="122" t="s">
        <v>346</v>
      </c>
      <c r="E192" s="123">
        <v>3300</v>
      </c>
      <c r="F192" s="123"/>
      <c r="G192" s="123">
        <f t="shared" si="156"/>
        <v>3300</v>
      </c>
      <c r="H192" s="123"/>
      <c r="I192" s="123">
        <f t="shared" si="157"/>
        <v>3300</v>
      </c>
      <c r="J192" s="123"/>
      <c r="K192" s="123">
        <f t="shared" si="158"/>
        <v>3300</v>
      </c>
      <c r="L192" s="123">
        <v>-300</v>
      </c>
      <c r="M192" s="123">
        <f t="shared" si="159"/>
        <v>3000</v>
      </c>
      <c r="N192" s="123"/>
      <c r="O192" s="123">
        <f t="shared" si="160"/>
        <v>3000</v>
      </c>
      <c r="P192" s="123">
        <f>40</f>
        <v>40</v>
      </c>
      <c r="Q192" s="123">
        <f t="shared" si="161"/>
        <v>3040</v>
      </c>
      <c r="R192" s="123"/>
      <c r="S192" s="123">
        <f t="shared" si="162"/>
        <v>3040</v>
      </c>
      <c r="T192" s="123"/>
      <c r="U192" s="123">
        <f t="shared" si="163"/>
        <v>3040</v>
      </c>
      <c r="V192" s="123"/>
      <c r="W192" s="123">
        <f t="shared" si="164"/>
        <v>3040</v>
      </c>
      <c r="X192" s="123"/>
      <c r="Y192" s="123">
        <f t="shared" si="165"/>
        <v>3040</v>
      </c>
    </row>
    <row r="193" spans="1:25" s="15" customFormat="1" ht="21" customHeight="1">
      <c r="A193" s="121"/>
      <c r="B193" s="121"/>
      <c r="C193" s="121"/>
      <c r="D193" s="122" t="s">
        <v>337</v>
      </c>
      <c r="E193" s="123">
        <v>3000</v>
      </c>
      <c r="F193" s="123"/>
      <c r="G193" s="123">
        <f t="shared" si="156"/>
        <v>3000</v>
      </c>
      <c r="H193" s="123"/>
      <c r="I193" s="123">
        <f t="shared" si="157"/>
        <v>3000</v>
      </c>
      <c r="J193" s="123"/>
      <c r="K193" s="123">
        <f t="shared" si="158"/>
        <v>3000</v>
      </c>
      <c r="L193" s="123"/>
      <c r="M193" s="123">
        <f t="shared" si="159"/>
        <v>3000</v>
      </c>
      <c r="N193" s="123"/>
      <c r="O193" s="123">
        <f t="shared" si="160"/>
        <v>3000</v>
      </c>
      <c r="P193" s="123"/>
      <c r="Q193" s="123">
        <f t="shared" si="161"/>
        <v>3000</v>
      </c>
      <c r="R193" s="123"/>
      <c r="S193" s="123">
        <f t="shared" si="162"/>
        <v>3000</v>
      </c>
      <c r="T193" s="123"/>
      <c r="U193" s="123">
        <f t="shared" si="163"/>
        <v>3000</v>
      </c>
      <c r="V193" s="123"/>
      <c r="W193" s="123">
        <f t="shared" si="164"/>
        <v>3000</v>
      </c>
      <c r="X193" s="123"/>
      <c r="Y193" s="123">
        <f t="shared" si="165"/>
        <v>3000</v>
      </c>
    </row>
    <row r="194" spans="1:25" s="15" customFormat="1" ht="21" customHeight="1">
      <c r="A194" s="121"/>
      <c r="B194" s="121"/>
      <c r="C194" s="121"/>
      <c r="D194" s="122" t="s">
        <v>338</v>
      </c>
      <c r="E194" s="123">
        <v>250</v>
      </c>
      <c r="F194" s="123"/>
      <c r="G194" s="123">
        <f t="shared" si="156"/>
        <v>250</v>
      </c>
      <c r="H194" s="123"/>
      <c r="I194" s="123">
        <f t="shared" si="157"/>
        <v>250</v>
      </c>
      <c r="J194" s="123"/>
      <c r="K194" s="123">
        <f t="shared" si="158"/>
        <v>250</v>
      </c>
      <c r="L194" s="123">
        <v>-250</v>
      </c>
      <c r="M194" s="123">
        <f t="shared" si="159"/>
        <v>0</v>
      </c>
      <c r="N194" s="123"/>
      <c r="O194" s="123">
        <f t="shared" si="160"/>
        <v>0</v>
      </c>
      <c r="P194" s="123"/>
      <c r="Q194" s="123">
        <f t="shared" si="161"/>
        <v>0</v>
      </c>
      <c r="R194" s="123"/>
      <c r="S194" s="123">
        <f t="shared" si="162"/>
        <v>0</v>
      </c>
      <c r="T194" s="123"/>
      <c r="U194" s="123">
        <f t="shared" si="163"/>
        <v>0</v>
      </c>
      <c r="V194" s="123"/>
      <c r="W194" s="123">
        <f t="shared" si="164"/>
        <v>0</v>
      </c>
      <c r="X194" s="123"/>
      <c r="Y194" s="123">
        <f t="shared" si="165"/>
        <v>0</v>
      </c>
    </row>
    <row r="195" spans="1:25" s="15" customFormat="1" ht="21" customHeight="1">
      <c r="A195" s="121"/>
      <c r="B195" s="121"/>
      <c r="C195" s="121"/>
      <c r="D195" s="122" t="s">
        <v>340</v>
      </c>
      <c r="E195" s="123">
        <v>1620</v>
      </c>
      <c r="F195" s="123"/>
      <c r="G195" s="123">
        <f t="shared" si="156"/>
        <v>1620</v>
      </c>
      <c r="H195" s="123"/>
      <c r="I195" s="123">
        <f t="shared" si="157"/>
        <v>1620</v>
      </c>
      <c r="J195" s="123"/>
      <c r="K195" s="123">
        <f t="shared" si="158"/>
        <v>1620</v>
      </c>
      <c r="L195" s="123">
        <v>-620</v>
      </c>
      <c r="M195" s="123">
        <f t="shared" si="159"/>
        <v>1000</v>
      </c>
      <c r="N195" s="123"/>
      <c r="O195" s="123">
        <f t="shared" si="160"/>
        <v>1000</v>
      </c>
      <c r="P195" s="123"/>
      <c r="Q195" s="123">
        <f t="shared" si="161"/>
        <v>1000</v>
      </c>
      <c r="R195" s="123"/>
      <c r="S195" s="123">
        <f t="shared" si="162"/>
        <v>1000</v>
      </c>
      <c r="T195" s="123"/>
      <c r="U195" s="123">
        <f t="shared" si="163"/>
        <v>1000</v>
      </c>
      <c r="V195" s="123"/>
      <c r="W195" s="123">
        <f t="shared" si="164"/>
        <v>1000</v>
      </c>
      <c r="X195" s="123"/>
      <c r="Y195" s="123">
        <f t="shared" si="165"/>
        <v>1000</v>
      </c>
    </row>
    <row r="196" spans="1:25" s="15" customFormat="1" ht="21" customHeight="1">
      <c r="A196" s="126"/>
      <c r="B196" s="126"/>
      <c r="C196" s="126">
        <v>6060</v>
      </c>
      <c r="D196" s="130" t="s">
        <v>86</v>
      </c>
      <c r="E196" s="120"/>
      <c r="F196" s="120"/>
      <c r="G196" s="120"/>
      <c r="H196" s="120"/>
      <c r="I196" s="120"/>
      <c r="J196" s="120"/>
      <c r="K196" s="120"/>
      <c r="L196" s="120"/>
      <c r="M196" s="120">
        <f aca="true" t="shared" si="166" ref="M196:S196">SUM(M197:M198)</f>
        <v>0</v>
      </c>
      <c r="N196" s="120">
        <f t="shared" si="166"/>
        <v>21550</v>
      </c>
      <c r="O196" s="120">
        <f t="shared" si="166"/>
        <v>21550</v>
      </c>
      <c r="P196" s="120">
        <f t="shared" si="166"/>
        <v>-3180</v>
      </c>
      <c r="Q196" s="120">
        <f t="shared" si="166"/>
        <v>18370</v>
      </c>
      <c r="R196" s="120">
        <f t="shared" si="166"/>
        <v>0</v>
      </c>
      <c r="S196" s="120">
        <f t="shared" si="166"/>
        <v>18370</v>
      </c>
      <c r="T196" s="120">
        <f aca="true" t="shared" si="167" ref="T196:Y196">SUM(T197:T198)</f>
        <v>0</v>
      </c>
      <c r="U196" s="120">
        <f t="shared" si="167"/>
        <v>18370</v>
      </c>
      <c r="V196" s="120">
        <f t="shared" si="167"/>
        <v>0</v>
      </c>
      <c r="W196" s="120">
        <f t="shared" si="167"/>
        <v>18370</v>
      </c>
      <c r="X196" s="120">
        <f t="shared" si="167"/>
        <v>0</v>
      </c>
      <c r="Y196" s="120">
        <f t="shared" si="167"/>
        <v>18370</v>
      </c>
    </row>
    <row r="197" spans="1:25" s="15" customFormat="1" ht="21" customHeight="1">
      <c r="A197" s="121"/>
      <c r="B197" s="121"/>
      <c r="C197" s="121"/>
      <c r="D197" s="122" t="s">
        <v>337</v>
      </c>
      <c r="E197" s="123"/>
      <c r="F197" s="123"/>
      <c r="G197" s="123"/>
      <c r="H197" s="123"/>
      <c r="I197" s="123"/>
      <c r="J197" s="123"/>
      <c r="K197" s="123"/>
      <c r="L197" s="123"/>
      <c r="M197" s="123">
        <v>0</v>
      </c>
      <c r="N197" s="123">
        <v>6620</v>
      </c>
      <c r="O197" s="123">
        <f>SUM(M197:N197)</f>
        <v>6620</v>
      </c>
      <c r="P197" s="123"/>
      <c r="Q197" s="123">
        <f>SUM(O197:P197)</f>
        <v>6620</v>
      </c>
      <c r="R197" s="123"/>
      <c r="S197" s="123">
        <f>SUM(Q197:R197)</f>
        <v>6620</v>
      </c>
      <c r="T197" s="123"/>
      <c r="U197" s="123">
        <f>SUM(S197:T197)</f>
        <v>6620</v>
      </c>
      <c r="V197" s="123"/>
      <c r="W197" s="123">
        <f>SUM(U197:V197)</f>
        <v>6620</v>
      </c>
      <c r="X197" s="123"/>
      <c r="Y197" s="123">
        <f>SUM(W197:X197)</f>
        <v>6620</v>
      </c>
    </row>
    <row r="198" spans="1:25" s="15" customFormat="1" ht="21" customHeight="1">
      <c r="A198" s="121"/>
      <c r="B198" s="121"/>
      <c r="C198" s="121"/>
      <c r="D198" s="122" t="s">
        <v>347</v>
      </c>
      <c r="E198" s="123"/>
      <c r="F198" s="123"/>
      <c r="G198" s="123"/>
      <c r="H198" s="123"/>
      <c r="I198" s="123"/>
      <c r="J198" s="123"/>
      <c r="K198" s="123"/>
      <c r="L198" s="123"/>
      <c r="M198" s="123">
        <v>0</v>
      </c>
      <c r="N198" s="123">
        <v>14930</v>
      </c>
      <c r="O198" s="123">
        <f>SUM(M198:N198)</f>
        <v>14930</v>
      </c>
      <c r="P198" s="123">
        <v>-3180</v>
      </c>
      <c r="Q198" s="123">
        <f>SUM(O198:P198)</f>
        <v>11750</v>
      </c>
      <c r="R198" s="123"/>
      <c r="S198" s="123">
        <f>SUM(Q198:R198)</f>
        <v>11750</v>
      </c>
      <c r="T198" s="123"/>
      <c r="U198" s="123">
        <f>SUM(S198:T198)</f>
        <v>11750</v>
      </c>
      <c r="V198" s="123"/>
      <c r="W198" s="123">
        <f>SUM(U198:V198)</f>
        <v>11750</v>
      </c>
      <c r="X198" s="123"/>
      <c r="Y198" s="123">
        <f>SUM(W198:X198)</f>
        <v>11750</v>
      </c>
    </row>
    <row r="199" spans="1:25" s="15" customFormat="1" ht="20.25" customHeight="1">
      <c r="A199" s="117"/>
      <c r="B199" s="117" t="s">
        <v>130</v>
      </c>
      <c r="C199" s="118"/>
      <c r="D199" s="119" t="s">
        <v>131</v>
      </c>
      <c r="E199" s="120">
        <f aca="true" t="shared" si="168" ref="E199:Q199">SUM(E204,E200,E202)</f>
        <v>13600</v>
      </c>
      <c r="F199" s="120">
        <f t="shared" si="168"/>
        <v>0</v>
      </c>
      <c r="G199" s="120">
        <f t="shared" si="168"/>
        <v>13600</v>
      </c>
      <c r="H199" s="120">
        <f t="shared" si="168"/>
        <v>0</v>
      </c>
      <c r="I199" s="120">
        <f t="shared" si="168"/>
        <v>13600</v>
      </c>
      <c r="J199" s="120">
        <f t="shared" si="168"/>
        <v>2750</v>
      </c>
      <c r="K199" s="120">
        <f t="shared" si="168"/>
        <v>16350</v>
      </c>
      <c r="L199" s="120">
        <f t="shared" si="168"/>
        <v>0</v>
      </c>
      <c r="M199" s="120">
        <f t="shared" si="168"/>
        <v>16350</v>
      </c>
      <c r="N199" s="120">
        <f t="shared" si="168"/>
        <v>1200</v>
      </c>
      <c r="O199" s="120">
        <f t="shared" si="168"/>
        <v>17550</v>
      </c>
      <c r="P199" s="120">
        <f t="shared" si="168"/>
        <v>-10000</v>
      </c>
      <c r="Q199" s="120">
        <f t="shared" si="168"/>
        <v>7550</v>
      </c>
      <c r="R199" s="120">
        <f aca="true" t="shared" si="169" ref="R199:W199">SUM(R204,R200,R202)</f>
        <v>0</v>
      </c>
      <c r="S199" s="120">
        <f t="shared" si="169"/>
        <v>7550</v>
      </c>
      <c r="T199" s="120">
        <f t="shared" si="169"/>
        <v>-2000</v>
      </c>
      <c r="U199" s="120">
        <f t="shared" si="169"/>
        <v>5550</v>
      </c>
      <c r="V199" s="120">
        <f t="shared" si="169"/>
        <v>0</v>
      </c>
      <c r="W199" s="120">
        <f t="shared" si="169"/>
        <v>5550</v>
      </c>
      <c r="X199" s="120">
        <f>SUM(X204,X200,X202)</f>
        <v>0</v>
      </c>
      <c r="Y199" s="120">
        <f>SUM(Y204,Y200,Y202)</f>
        <v>5550</v>
      </c>
    </row>
    <row r="200" spans="1:25" s="15" customFormat="1" ht="21.75" customHeight="1">
      <c r="A200" s="117"/>
      <c r="B200" s="117"/>
      <c r="C200" s="118">
        <v>4210</v>
      </c>
      <c r="D200" s="131" t="s">
        <v>82</v>
      </c>
      <c r="E200" s="120">
        <f aca="true" t="shared" si="170" ref="E200:Y200">E201</f>
        <v>600</v>
      </c>
      <c r="F200" s="120">
        <f t="shared" si="170"/>
        <v>0</v>
      </c>
      <c r="G200" s="120">
        <f t="shared" si="170"/>
        <v>600</v>
      </c>
      <c r="H200" s="120">
        <f t="shared" si="170"/>
        <v>0</v>
      </c>
      <c r="I200" s="120">
        <f t="shared" si="170"/>
        <v>600</v>
      </c>
      <c r="J200" s="120">
        <f t="shared" si="170"/>
        <v>0</v>
      </c>
      <c r="K200" s="120">
        <f t="shared" si="170"/>
        <v>600</v>
      </c>
      <c r="L200" s="120">
        <f t="shared" si="170"/>
        <v>0</v>
      </c>
      <c r="M200" s="120">
        <f t="shared" si="170"/>
        <v>600</v>
      </c>
      <c r="N200" s="120">
        <f t="shared" si="170"/>
        <v>0</v>
      </c>
      <c r="O200" s="120">
        <f t="shared" si="170"/>
        <v>600</v>
      </c>
      <c r="P200" s="120">
        <f t="shared" si="170"/>
        <v>0</v>
      </c>
      <c r="Q200" s="120">
        <f t="shared" si="170"/>
        <v>600</v>
      </c>
      <c r="R200" s="120">
        <f t="shared" si="170"/>
        <v>0</v>
      </c>
      <c r="S200" s="120">
        <f t="shared" si="170"/>
        <v>600</v>
      </c>
      <c r="T200" s="120">
        <f t="shared" si="170"/>
        <v>0</v>
      </c>
      <c r="U200" s="120">
        <f t="shared" si="170"/>
        <v>600</v>
      </c>
      <c r="V200" s="120">
        <f t="shared" si="170"/>
        <v>0</v>
      </c>
      <c r="W200" s="120">
        <f t="shared" si="170"/>
        <v>600</v>
      </c>
      <c r="X200" s="120">
        <f t="shared" si="170"/>
        <v>0</v>
      </c>
      <c r="Y200" s="120">
        <f t="shared" si="170"/>
        <v>600</v>
      </c>
    </row>
    <row r="201" spans="1:25" s="17" customFormat="1" ht="17.25" customHeight="1">
      <c r="A201" s="128"/>
      <c r="B201" s="128"/>
      <c r="C201" s="127"/>
      <c r="D201" s="122" t="s">
        <v>332</v>
      </c>
      <c r="E201" s="123">
        <v>600</v>
      </c>
      <c r="F201" s="123"/>
      <c r="G201" s="123">
        <f>SUM(E201:F201)</f>
        <v>600</v>
      </c>
      <c r="H201" s="123"/>
      <c r="I201" s="123">
        <f>SUM(G201:H201)</f>
        <v>600</v>
      </c>
      <c r="J201" s="123"/>
      <c r="K201" s="123">
        <f>SUM(I201:J201)</f>
        <v>600</v>
      </c>
      <c r="L201" s="123"/>
      <c r="M201" s="123">
        <f>SUM(K201:L201)</f>
        <v>600</v>
      </c>
      <c r="N201" s="123"/>
      <c r="O201" s="123">
        <f>SUM(M201:N201)</f>
        <v>600</v>
      </c>
      <c r="P201" s="123"/>
      <c r="Q201" s="123">
        <f>SUM(O201:P201)</f>
        <v>600</v>
      </c>
      <c r="R201" s="123"/>
      <c r="S201" s="123">
        <f>SUM(Q201:R201)</f>
        <v>600</v>
      </c>
      <c r="T201" s="123"/>
      <c r="U201" s="123">
        <f>SUM(S201:T201)</f>
        <v>600</v>
      </c>
      <c r="V201" s="123"/>
      <c r="W201" s="123">
        <f>SUM(U201:V201)</f>
        <v>600</v>
      </c>
      <c r="X201" s="123"/>
      <c r="Y201" s="123">
        <f>SUM(W201:X201)</f>
        <v>600</v>
      </c>
    </row>
    <row r="202" spans="1:25" s="15" customFormat="1" ht="21.75" customHeight="1">
      <c r="A202" s="117"/>
      <c r="B202" s="117"/>
      <c r="C202" s="118">
        <v>4300</v>
      </c>
      <c r="D202" s="134" t="s">
        <v>69</v>
      </c>
      <c r="E202" s="120">
        <f aca="true" t="shared" si="171" ref="E202:Y202">SUM(E203)</f>
        <v>1000</v>
      </c>
      <c r="F202" s="120">
        <f t="shared" si="171"/>
        <v>0</v>
      </c>
      <c r="G202" s="120">
        <f t="shared" si="171"/>
        <v>1000</v>
      </c>
      <c r="H202" s="120">
        <f t="shared" si="171"/>
        <v>0</v>
      </c>
      <c r="I202" s="120">
        <f t="shared" si="171"/>
        <v>1000</v>
      </c>
      <c r="J202" s="120">
        <f t="shared" si="171"/>
        <v>-1000</v>
      </c>
      <c r="K202" s="120">
        <f t="shared" si="171"/>
        <v>0</v>
      </c>
      <c r="L202" s="120">
        <f t="shared" si="171"/>
        <v>0</v>
      </c>
      <c r="M202" s="120">
        <f t="shared" si="171"/>
        <v>0</v>
      </c>
      <c r="N202" s="120">
        <f t="shared" si="171"/>
        <v>0</v>
      </c>
      <c r="O202" s="120">
        <f t="shared" si="171"/>
        <v>0</v>
      </c>
      <c r="P202" s="120">
        <f t="shared" si="171"/>
        <v>0</v>
      </c>
      <c r="Q202" s="120">
        <f t="shared" si="171"/>
        <v>0</v>
      </c>
      <c r="R202" s="120">
        <f t="shared" si="171"/>
        <v>0</v>
      </c>
      <c r="S202" s="120">
        <f t="shared" si="171"/>
        <v>0</v>
      </c>
      <c r="T202" s="120">
        <f t="shared" si="171"/>
        <v>0</v>
      </c>
      <c r="U202" s="120">
        <f t="shared" si="171"/>
        <v>0</v>
      </c>
      <c r="V202" s="120">
        <f t="shared" si="171"/>
        <v>0</v>
      </c>
      <c r="W202" s="120">
        <f t="shared" si="171"/>
        <v>0</v>
      </c>
      <c r="X202" s="120">
        <f t="shared" si="171"/>
        <v>0</v>
      </c>
      <c r="Y202" s="120">
        <f t="shared" si="171"/>
        <v>0</v>
      </c>
    </row>
    <row r="203" spans="1:25" s="17" customFormat="1" ht="16.5" customHeight="1">
      <c r="A203" s="128"/>
      <c r="B203" s="128"/>
      <c r="C203" s="127"/>
      <c r="D203" s="122" t="s">
        <v>339</v>
      </c>
      <c r="E203" s="123">
        <v>1000</v>
      </c>
      <c r="F203" s="123"/>
      <c r="G203" s="123">
        <f>SUM(E203:F203)</f>
        <v>1000</v>
      </c>
      <c r="H203" s="123"/>
      <c r="I203" s="123">
        <f>SUM(G203:H203)</f>
        <v>1000</v>
      </c>
      <c r="J203" s="123">
        <v>-1000</v>
      </c>
      <c r="K203" s="123">
        <f>SUM(I203:J203)</f>
        <v>0</v>
      </c>
      <c r="L203" s="123"/>
      <c r="M203" s="123">
        <f>SUM(K203:L203)</f>
        <v>0</v>
      </c>
      <c r="N203" s="123"/>
      <c r="O203" s="123">
        <f>SUM(M203:N203)</f>
        <v>0</v>
      </c>
      <c r="P203" s="123"/>
      <c r="Q203" s="123">
        <f>SUM(O203:P203)</f>
        <v>0</v>
      </c>
      <c r="R203" s="123"/>
      <c r="S203" s="123">
        <f>SUM(Q203:R203)</f>
        <v>0</v>
      </c>
      <c r="T203" s="123"/>
      <c r="U203" s="123">
        <f>SUM(S203:T203)</f>
        <v>0</v>
      </c>
      <c r="V203" s="123"/>
      <c r="W203" s="123">
        <f>SUM(U203:V203)</f>
        <v>0</v>
      </c>
      <c r="X203" s="123"/>
      <c r="Y203" s="123">
        <f>SUM(W203:X203)</f>
        <v>0</v>
      </c>
    </row>
    <row r="204" spans="1:25" s="15" customFormat="1" ht="22.5">
      <c r="A204" s="117"/>
      <c r="B204" s="118"/>
      <c r="C204" s="117">
        <v>6050</v>
      </c>
      <c r="D204" s="119" t="s">
        <v>63</v>
      </c>
      <c r="E204" s="120">
        <f aca="true" t="shared" si="172" ref="E204:Q204">SUM(E205:E207)</f>
        <v>12000</v>
      </c>
      <c r="F204" s="120">
        <f t="shared" si="172"/>
        <v>0</v>
      </c>
      <c r="G204" s="120">
        <f t="shared" si="172"/>
        <v>12000</v>
      </c>
      <c r="H204" s="120">
        <f t="shared" si="172"/>
        <v>0</v>
      </c>
      <c r="I204" s="120">
        <f t="shared" si="172"/>
        <v>12000</v>
      </c>
      <c r="J204" s="120">
        <f t="shared" si="172"/>
        <v>3750</v>
      </c>
      <c r="K204" s="120">
        <f t="shared" si="172"/>
        <v>15750</v>
      </c>
      <c r="L204" s="120">
        <f t="shared" si="172"/>
        <v>0</v>
      </c>
      <c r="M204" s="120">
        <f t="shared" si="172"/>
        <v>15750</v>
      </c>
      <c r="N204" s="120">
        <f t="shared" si="172"/>
        <v>1200</v>
      </c>
      <c r="O204" s="120">
        <f t="shared" si="172"/>
        <v>16950</v>
      </c>
      <c r="P204" s="120">
        <f t="shared" si="172"/>
        <v>-10000</v>
      </c>
      <c r="Q204" s="120">
        <f t="shared" si="172"/>
        <v>6950</v>
      </c>
      <c r="R204" s="120">
        <f aca="true" t="shared" si="173" ref="R204:W204">SUM(R205:R207)</f>
        <v>0</v>
      </c>
      <c r="S204" s="120">
        <f t="shared" si="173"/>
        <v>6950</v>
      </c>
      <c r="T204" s="120">
        <f t="shared" si="173"/>
        <v>-2000</v>
      </c>
      <c r="U204" s="120">
        <f t="shared" si="173"/>
        <v>4950</v>
      </c>
      <c r="V204" s="120">
        <f t="shared" si="173"/>
        <v>0</v>
      </c>
      <c r="W204" s="120">
        <f t="shared" si="173"/>
        <v>4950</v>
      </c>
      <c r="X204" s="120">
        <f>SUM(X205:X207)</f>
        <v>0</v>
      </c>
      <c r="Y204" s="120">
        <f>SUM(Y205:Y207)</f>
        <v>4950</v>
      </c>
    </row>
    <row r="205" spans="1:25" s="15" customFormat="1" ht="21.75" customHeight="1">
      <c r="A205" s="121"/>
      <c r="B205" s="121"/>
      <c r="C205" s="121"/>
      <c r="D205" s="122" t="s">
        <v>338</v>
      </c>
      <c r="E205" s="123">
        <v>10000</v>
      </c>
      <c r="F205" s="123"/>
      <c r="G205" s="123">
        <f>SUM(E205:F205)</f>
        <v>10000</v>
      </c>
      <c r="H205" s="123"/>
      <c r="I205" s="123">
        <f>SUM(G205:H205)</f>
        <v>10000</v>
      </c>
      <c r="J205" s="123"/>
      <c r="K205" s="123">
        <f>SUM(I205:J205)</f>
        <v>10000</v>
      </c>
      <c r="L205" s="123"/>
      <c r="M205" s="123">
        <f>SUM(K205:L205)</f>
        <v>10000</v>
      </c>
      <c r="N205" s="123"/>
      <c r="O205" s="123">
        <f>SUM(M205:N205)</f>
        <v>10000</v>
      </c>
      <c r="P205" s="123">
        <v>-10000</v>
      </c>
      <c r="Q205" s="123">
        <f>SUM(O205:P205)</f>
        <v>0</v>
      </c>
      <c r="R205" s="123"/>
      <c r="S205" s="123">
        <f>SUM(Q205:R205)</f>
        <v>0</v>
      </c>
      <c r="T205" s="123"/>
      <c r="U205" s="123">
        <f>SUM(S205:T205)</f>
        <v>0</v>
      </c>
      <c r="V205" s="123"/>
      <c r="W205" s="123">
        <f>SUM(U205:V205)</f>
        <v>0</v>
      </c>
      <c r="X205" s="123"/>
      <c r="Y205" s="123">
        <f>SUM(W205:X205)</f>
        <v>0</v>
      </c>
    </row>
    <row r="206" spans="1:25" s="15" customFormat="1" ht="21.75" customHeight="1">
      <c r="A206" s="121"/>
      <c r="B206" s="121"/>
      <c r="C206" s="121"/>
      <c r="D206" s="122" t="s">
        <v>339</v>
      </c>
      <c r="E206" s="123"/>
      <c r="F206" s="123"/>
      <c r="G206" s="123"/>
      <c r="H206" s="123"/>
      <c r="I206" s="123">
        <v>0</v>
      </c>
      <c r="J206" s="123">
        <f>1000+2750</f>
        <v>3750</v>
      </c>
      <c r="K206" s="123">
        <f>SUM(I206:J206)</f>
        <v>3750</v>
      </c>
      <c r="L206" s="123"/>
      <c r="M206" s="123">
        <f>SUM(K206:L206)</f>
        <v>3750</v>
      </c>
      <c r="N206" s="123">
        <v>1200</v>
      </c>
      <c r="O206" s="123">
        <f>SUM(M206:N206)</f>
        <v>4950</v>
      </c>
      <c r="P206" s="123"/>
      <c r="Q206" s="123">
        <f>SUM(O206:P206)</f>
        <v>4950</v>
      </c>
      <c r="R206" s="123"/>
      <c r="S206" s="123">
        <f>SUM(Q206:R206)</f>
        <v>4950</v>
      </c>
      <c r="T206" s="123"/>
      <c r="U206" s="123">
        <f>SUM(S206:T206)</f>
        <v>4950</v>
      </c>
      <c r="V206" s="123"/>
      <c r="W206" s="123">
        <f>SUM(U206:V206)</f>
        <v>4950</v>
      </c>
      <c r="X206" s="123"/>
      <c r="Y206" s="123">
        <f>SUM(W206:X206)</f>
        <v>4950</v>
      </c>
    </row>
    <row r="207" spans="1:25" s="72" customFormat="1" ht="21.75" customHeight="1">
      <c r="A207" s="124"/>
      <c r="B207" s="124"/>
      <c r="C207" s="124"/>
      <c r="D207" s="125" t="s">
        <v>348</v>
      </c>
      <c r="E207" s="123">
        <v>2000</v>
      </c>
      <c r="F207" s="123"/>
      <c r="G207" s="123">
        <f>SUM(E207:F207)</f>
        <v>2000</v>
      </c>
      <c r="H207" s="123"/>
      <c r="I207" s="123">
        <f>SUM(G207:H207)</f>
        <v>2000</v>
      </c>
      <c r="J207" s="123"/>
      <c r="K207" s="123">
        <f>SUM(I207:J207)</f>
        <v>2000</v>
      </c>
      <c r="L207" s="123"/>
      <c r="M207" s="123">
        <f>SUM(K207:L207)</f>
        <v>2000</v>
      </c>
      <c r="N207" s="123"/>
      <c r="O207" s="123">
        <f>SUM(M207:N207)</f>
        <v>2000</v>
      </c>
      <c r="P207" s="123"/>
      <c r="Q207" s="123">
        <f>SUM(O207:P207)</f>
        <v>2000</v>
      </c>
      <c r="R207" s="123"/>
      <c r="S207" s="123">
        <f>SUM(Q207:R207)</f>
        <v>2000</v>
      </c>
      <c r="T207" s="123">
        <v>-2000</v>
      </c>
      <c r="U207" s="123">
        <f>SUM(S207:T207)</f>
        <v>0</v>
      </c>
      <c r="V207" s="123"/>
      <c r="W207" s="123">
        <f>SUM(U207:V207)</f>
        <v>0</v>
      </c>
      <c r="X207" s="123"/>
      <c r="Y207" s="123">
        <f>SUM(W207:X207)</f>
        <v>0</v>
      </c>
    </row>
    <row r="208" spans="1:25" s="15" customFormat="1" ht="24" customHeight="1">
      <c r="A208" s="117"/>
      <c r="B208" s="117">
        <v>90095</v>
      </c>
      <c r="C208" s="118"/>
      <c r="D208" s="119" t="s">
        <v>16</v>
      </c>
      <c r="E208" s="120">
        <f aca="true" t="shared" si="174" ref="E208:Y208">SUM(E209,)</f>
        <v>1220</v>
      </c>
      <c r="F208" s="120">
        <f t="shared" si="174"/>
        <v>0</v>
      </c>
      <c r="G208" s="120">
        <f t="shared" si="174"/>
        <v>1220</v>
      </c>
      <c r="H208" s="120">
        <f t="shared" si="174"/>
        <v>0</v>
      </c>
      <c r="I208" s="120">
        <f t="shared" si="174"/>
        <v>1220</v>
      </c>
      <c r="J208" s="120">
        <f t="shared" si="174"/>
        <v>0</v>
      </c>
      <c r="K208" s="120">
        <f t="shared" si="174"/>
        <v>1220</v>
      </c>
      <c r="L208" s="120">
        <f t="shared" si="174"/>
        <v>0</v>
      </c>
      <c r="M208" s="120">
        <f t="shared" si="174"/>
        <v>1220</v>
      </c>
      <c r="N208" s="120">
        <f t="shared" si="174"/>
        <v>0</v>
      </c>
      <c r="O208" s="120">
        <f t="shared" si="174"/>
        <v>1220</v>
      </c>
      <c r="P208" s="120">
        <f t="shared" si="174"/>
        <v>0</v>
      </c>
      <c r="Q208" s="120">
        <f t="shared" si="174"/>
        <v>1220</v>
      </c>
      <c r="R208" s="120">
        <f t="shared" si="174"/>
        <v>0</v>
      </c>
      <c r="S208" s="120">
        <f t="shared" si="174"/>
        <v>1220</v>
      </c>
      <c r="T208" s="120">
        <f t="shared" si="174"/>
        <v>0</v>
      </c>
      <c r="U208" s="120">
        <f t="shared" si="174"/>
        <v>1220</v>
      </c>
      <c r="V208" s="120">
        <f t="shared" si="174"/>
        <v>0</v>
      </c>
      <c r="W208" s="120">
        <f t="shared" si="174"/>
        <v>1220</v>
      </c>
      <c r="X208" s="120">
        <f t="shared" si="174"/>
        <v>0</v>
      </c>
      <c r="Y208" s="120">
        <f t="shared" si="174"/>
        <v>1220</v>
      </c>
    </row>
    <row r="209" spans="1:25" s="15" customFormat="1" ht="17.25" customHeight="1">
      <c r="A209" s="117"/>
      <c r="B209" s="118"/>
      <c r="C209" s="118">
        <v>4210</v>
      </c>
      <c r="D209" s="131" t="s">
        <v>82</v>
      </c>
      <c r="E209" s="120">
        <f aca="true" t="shared" si="175" ref="E209:Y209">SUM(E210:E210)</f>
        <v>1220</v>
      </c>
      <c r="F209" s="120">
        <f t="shared" si="175"/>
        <v>0</v>
      </c>
      <c r="G209" s="120">
        <f t="shared" si="175"/>
        <v>1220</v>
      </c>
      <c r="H209" s="120">
        <f t="shared" si="175"/>
        <v>0</v>
      </c>
      <c r="I209" s="120">
        <f t="shared" si="175"/>
        <v>1220</v>
      </c>
      <c r="J209" s="120">
        <f t="shared" si="175"/>
        <v>0</v>
      </c>
      <c r="K209" s="120">
        <f t="shared" si="175"/>
        <v>1220</v>
      </c>
      <c r="L209" s="120">
        <f t="shared" si="175"/>
        <v>0</v>
      </c>
      <c r="M209" s="120">
        <f t="shared" si="175"/>
        <v>1220</v>
      </c>
      <c r="N209" s="120">
        <f t="shared" si="175"/>
        <v>0</v>
      </c>
      <c r="O209" s="120">
        <f t="shared" si="175"/>
        <v>1220</v>
      </c>
      <c r="P209" s="120">
        <f t="shared" si="175"/>
        <v>0</v>
      </c>
      <c r="Q209" s="120">
        <f t="shared" si="175"/>
        <v>1220</v>
      </c>
      <c r="R209" s="120">
        <f t="shared" si="175"/>
        <v>0</v>
      </c>
      <c r="S209" s="120">
        <f t="shared" si="175"/>
        <v>1220</v>
      </c>
      <c r="T209" s="120">
        <f t="shared" si="175"/>
        <v>0</v>
      </c>
      <c r="U209" s="120">
        <f t="shared" si="175"/>
        <v>1220</v>
      </c>
      <c r="V209" s="120">
        <f t="shared" si="175"/>
        <v>0</v>
      </c>
      <c r="W209" s="120">
        <f t="shared" si="175"/>
        <v>1220</v>
      </c>
      <c r="X209" s="120">
        <f t="shared" si="175"/>
        <v>0</v>
      </c>
      <c r="Y209" s="120">
        <f t="shared" si="175"/>
        <v>1220</v>
      </c>
    </row>
    <row r="210" spans="1:25" s="15" customFormat="1" ht="17.25" customHeight="1">
      <c r="A210" s="121"/>
      <c r="B210" s="121"/>
      <c r="C210" s="121"/>
      <c r="D210" s="122" t="s">
        <v>332</v>
      </c>
      <c r="E210" s="123">
        <v>1220</v>
      </c>
      <c r="F210" s="123"/>
      <c r="G210" s="123">
        <f>SUM(E210:F210)</f>
        <v>1220</v>
      </c>
      <c r="H210" s="123"/>
      <c r="I210" s="123">
        <f>SUM(G210:H210)</f>
        <v>1220</v>
      </c>
      <c r="J210" s="123"/>
      <c r="K210" s="123">
        <f>SUM(I210:J210)</f>
        <v>1220</v>
      </c>
      <c r="L210" s="123"/>
      <c r="M210" s="123">
        <f>SUM(K210:L210)</f>
        <v>1220</v>
      </c>
      <c r="N210" s="123"/>
      <c r="O210" s="123">
        <f>SUM(M210:N210)</f>
        <v>1220</v>
      </c>
      <c r="P210" s="123"/>
      <c r="Q210" s="123">
        <f>SUM(O210:P210)</f>
        <v>1220</v>
      </c>
      <c r="R210" s="123"/>
      <c r="S210" s="123">
        <f>SUM(Q210:R210)</f>
        <v>1220</v>
      </c>
      <c r="T210" s="123"/>
      <c r="U210" s="123">
        <f>SUM(S210:T210)</f>
        <v>1220</v>
      </c>
      <c r="V210" s="123"/>
      <c r="W210" s="123">
        <f>SUM(U210:V210)</f>
        <v>1220</v>
      </c>
      <c r="X210" s="123"/>
      <c r="Y210" s="123">
        <f>SUM(W210:X210)</f>
        <v>1220</v>
      </c>
    </row>
    <row r="211" spans="1:25" s="4" customFormat="1" ht="24" customHeight="1">
      <c r="A211" s="110" t="s">
        <v>53</v>
      </c>
      <c r="B211" s="111"/>
      <c r="C211" s="111"/>
      <c r="D211" s="112" t="s">
        <v>133</v>
      </c>
      <c r="E211" s="113">
        <f aca="true" t="shared" si="176" ref="E211:Y211">E212</f>
        <v>68040</v>
      </c>
      <c r="F211" s="113">
        <f t="shared" si="176"/>
        <v>0</v>
      </c>
      <c r="G211" s="113">
        <f t="shared" si="176"/>
        <v>68040</v>
      </c>
      <c r="H211" s="113">
        <f t="shared" si="176"/>
        <v>0</v>
      </c>
      <c r="I211" s="113">
        <f t="shared" si="176"/>
        <v>68040</v>
      </c>
      <c r="J211" s="113">
        <f t="shared" si="176"/>
        <v>3258</v>
      </c>
      <c r="K211" s="113">
        <f t="shared" si="176"/>
        <v>71298</v>
      </c>
      <c r="L211" s="113">
        <f t="shared" si="176"/>
        <v>0</v>
      </c>
      <c r="M211" s="113">
        <f t="shared" si="176"/>
        <v>71298</v>
      </c>
      <c r="N211" s="113">
        <f t="shared" si="176"/>
        <v>-2622</v>
      </c>
      <c r="O211" s="113">
        <f t="shared" si="176"/>
        <v>68676</v>
      </c>
      <c r="P211" s="113">
        <f t="shared" si="176"/>
        <v>-6485</v>
      </c>
      <c r="Q211" s="113">
        <f t="shared" si="176"/>
        <v>62191</v>
      </c>
      <c r="R211" s="113">
        <f t="shared" si="176"/>
        <v>0</v>
      </c>
      <c r="S211" s="113">
        <f t="shared" si="176"/>
        <v>62191</v>
      </c>
      <c r="T211" s="113">
        <f t="shared" si="176"/>
        <v>8995</v>
      </c>
      <c r="U211" s="113">
        <f t="shared" si="176"/>
        <v>71186</v>
      </c>
      <c r="V211" s="113">
        <f t="shared" si="176"/>
        <v>0</v>
      </c>
      <c r="W211" s="113">
        <f t="shared" si="176"/>
        <v>71186</v>
      </c>
      <c r="X211" s="113">
        <f t="shared" si="176"/>
        <v>0</v>
      </c>
      <c r="Y211" s="113">
        <f t="shared" si="176"/>
        <v>71186</v>
      </c>
    </row>
    <row r="212" spans="1:25" s="15" customFormat="1" ht="24" customHeight="1">
      <c r="A212" s="117"/>
      <c r="B212" s="117" t="s">
        <v>134</v>
      </c>
      <c r="C212" s="118"/>
      <c r="D212" s="119" t="s">
        <v>146</v>
      </c>
      <c r="E212" s="120">
        <f>SUM(E213,E226,E242,E249,E256,)</f>
        <v>68040</v>
      </c>
      <c r="F212" s="120">
        <f>SUM(F213,F226,F242,F249,F256,)</f>
        <v>0</v>
      </c>
      <c r="G212" s="120">
        <f aca="true" t="shared" si="177" ref="G212:Q212">SUM(G213,G226,G242,G249,G256,G273)</f>
        <v>68040</v>
      </c>
      <c r="H212" s="120">
        <f t="shared" si="177"/>
        <v>0</v>
      </c>
      <c r="I212" s="120">
        <f t="shared" si="177"/>
        <v>68040</v>
      </c>
      <c r="J212" s="120">
        <f t="shared" si="177"/>
        <v>3258</v>
      </c>
      <c r="K212" s="120">
        <f t="shared" si="177"/>
        <v>71298</v>
      </c>
      <c r="L212" s="120">
        <f t="shared" si="177"/>
        <v>0</v>
      </c>
      <c r="M212" s="120">
        <f t="shared" si="177"/>
        <v>71298</v>
      </c>
      <c r="N212" s="120">
        <f t="shared" si="177"/>
        <v>-2622</v>
      </c>
      <c r="O212" s="120">
        <f t="shared" si="177"/>
        <v>68676</v>
      </c>
      <c r="P212" s="120">
        <f t="shared" si="177"/>
        <v>-6485</v>
      </c>
      <c r="Q212" s="120">
        <f t="shared" si="177"/>
        <v>62191</v>
      </c>
      <c r="R212" s="120">
        <f aca="true" t="shared" si="178" ref="R212:W212">SUM(R213,R226,R242,R249,R256,R273)</f>
        <v>0</v>
      </c>
      <c r="S212" s="120">
        <f t="shared" si="178"/>
        <v>62191</v>
      </c>
      <c r="T212" s="120">
        <f t="shared" si="178"/>
        <v>8995</v>
      </c>
      <c r="U212" s="120">
        <f t="shared" si="178"/>
        <v>71186</v>
      </c>
      <c r="V212" s="120">
        <f t="shared" si="178"/>
        <v>0</v>
      </c>
      <c r="W212" s="120">
        <f t="shared" si="178"/>
        <v>71186</v>
      </c>
      <c r="X212" s="120">
        <f>SUM(X213,X226,X242,X249,X256,X273)</f>
        <v>0</v>
      </c>
      <c r="Y212" s="120">
        <f>SUM(Y213,Y226,Y242,Y249,Y256,Y273)</f>
        <v>71186</v>
      </c>
    </row>
    <row r="213" spans="1:25" s="15" customFormat="1" ht="18" customHeight="1">
      <c r="A213" s="117"/>
      <c r="B213" s="117"/>
      <c r="C213" s="117" t="s">
        <v>350</v>
      </c>
      <c r="D213" s="119" t="s">
        <v>82</v>
      </c>
      <c r="E213" s="120">
        <f aca="true" t="shared" si="179" ref="E213:Q213">SUM(E214:E225)</f>
        <v>23830</v>
      </c>
      <c r="F213" s="120">
        <f t="shared" si="179"/>
        <v>0</v>
      </c>
      <c r="G213" s="120">
        <f t="shared" si="179"/>
        <v>23830</v>
      </c>
      <c r="H213" s="120">
        <f t="shared" si="179"/>
        <v>-170</v>
      </c>
      <c r="I213" s="120">
        <f t="shared" si="179"/>
        <v>23660</v>
      </c>
      <c r="J213" s="120">
        <f t="shared" si="179"/>
        <v>740</v>
      </c>
      <c r="K213" s="120">
        <f t="shared" si="179"/>
        <v>24400</v>
      </c>
      <c r="L213" s="120">
        <f t="shared" si="179"/>
        <v>0</v>
      </c>
      <c r="M213" s="120">
        <f t="shared" si="179"/>
        <v>24400</v>
      </c>
      <c r="N213" s="120">
        <f t="shared" si="179"/>
        <v>-1880</v>
      </c>
      <c r="O213" s="120">
        <f t="shared" si="179"/>
        <v>22520</v>
      </c>
      <c r="P213" s="120">
        <f t="shared" si="179"/>
        <v>-6040</v>
      </c>
      <c r="Q213" s="120">
        <f t="shared" si="179"/>
        <v>16480</v>
      </c>
      <c r="R213" s="120">
        <f aca="true" t="shared" si="180" ref="R213:W213">SUM(R214:R225)</f>
        <v>-250</v>
      </c>
      <c r="S213" s="120">
        <f t="shared" si="180"/>
        <v>16230</v>
      </c>
      <c r="T213" s="120">
        <f t="shared" si="180"/>
        <v>5774</v>
      </c>
      <c r="U213" s="120">
        <f t="shared" si="180"/>
        <v>22004</v>
      </c>
      <c r="V213" s="120">
        <f t="shared" si="180"/>
        <v>500</v>
      </c>
      <c r="W213" s="120">
        <f t="shared" si="180"/>
        <v>22504</v>
      </c>
      <c r="X213" s="120">
        <f>SUM(X214:X225)</f>
        <v>477</v>
      </c>
      <c r="Y213" s="120">
        <f>SUM(Y214:Y225)</f>
        <v>22981</v>
      </c>
    </row>
    <row r="214" spans="1:25" s="15" customFormat="1" ht="18.75" customHeight="1">
      <c r="A214" s="121"/>
      <c r="B214" s="121"/>
      <c r="C214" s="121"/>
      <c r="D214" s="122" t="s">
        <v>333</v>
      </c>
      <c r="E214" s="123">
        <v>1000</v>
      </c>
      <c r="F214" s="123"/>
      <c r="G214" s="123">
        <f aca="true" t="shared" si="181" ref="G214:G225">SUM(E214:F214)</f>
        <v>1000</v>
      </c>
      <c r="H214" s="123"/>
      <c r="I214" s="123">
        <f aca="true" t="shared" si="182" ref="I214:I225">SUM(G214:H214)</f>
        <v>1000</v>
      </c>
      <c r="J214" s="123">
        <f>1000-260</f>
        <v>740</v>
      </c>
      <c r="K214" s="123">
        <f aca="true" t="shared" si="183" ref="K214:K225">SUM(I214:J214)</f>
        <v>1740</v>
      </c>
      <c r="L214" s="123"/>
      <c r="M214" s="123">
        <f aca="true" t="shared" si="184" ref="M214:M225">SUM(K214:L214)</f>
        <v>1740</v>
      </c>
      <c r="N214" s="123"/>
      <c r="O214" s="123">
        <f aca="true" t="shared" si="185" ref="O214:O225">SUM(M214:N214)</f>
        <v>1740</v>
      </c>
      <c r="P214" s="123"/>
      <c r="Q214" s="123">
        <f aca="true" t="shared" si="186" ref="Q214:Q225">SUM(O214:P214)</f>
        <v>1740</v>
      </c>
      <c r="R214" s="123"/>
      <c r="S214" s="123">
        <f aca="true" t="shared" si="187" ref="S214:S225">SUM(Q214:R214)</f>
        <v>1740</v>
      </c>
      <c r="T214" s="123"/>
      <c r="U214" s="123">
        <f aca="true" t="shared" si="188" ref="U214:U225">SUM(S214:T214)</f>
        <v>1740</v>
      </c>
      <c r="V214" s="123"/>
      <c r="W214" s="123">
        <f aca="true" t="shared" si="189" ref="W214:W225">SUM(U214:V214)</f>
        <v>1740</v>
      </c>
      <c r="X214" s="123"/>
      <c r="Y214" s="123">
        <f aca="true" t="shared" si="190" ref="Y214:Y225">SUM(W214:X214)</f>
        <v>1740</v>
      </c>
    </row>
    <row r="215" spans="1:25" s="15" customFormat="1" ht="17.25" customHeight="1">
      <c r="A215" s="121"/>
      <c r="B215" s="121"/>
      <c r="C215" s="121"/>
      <c r="D215" s="122" t="s">
        <v>345</v>
      </c>
      <c r="E215" s="123">
        <v>5300</v>
      </c>
      <c r="F215" s="123"/>
      <c r="G215" s="123">
        <f t="shared" si="181"/>
        <v>5300</v>
      </c>
      <c r="H215" s="123"/>
      <c r="I215" s="123">
        <f t="shared" si="182"/>
        <v>5300</v>
      </c>
      <c r="J215" s="123"/>
      <c r="K215" s="123">
        <f t="shared" si="183"/>
        <v>5300</v>
      </c>
      <c r="L215" s="123"/>
      <c r="M215" s="123">
        <f t="shared" si="184"/>
        <v>5300</v>
      </c>
      <c r="N215" s="123"/>
      <c r="O215" s="123">
        <f t="shared" si="185"/>
        <v>5300</v>
      </c>
      <c r="P215" s="123"/>
      <c r="Q215" s="123">
        <f t="shared" si="186"/>
        <v>5300</v>
      </c>
      <c r="R215" s="123"/>
      <c r="S215" s="123">
        <f t="shared" si="187"/>
        <v>5300</v>
      </c>
      <c r="T215" s="123"/>
      <c r="U215" s="123">
        <f t="shared" si="188"/>
        <v>5300</v>
      </c>
      <c r="V215" s="123"/>
      <c r="W215" s="123">
        <f t="shared" si="189"/>
        <v>5300</v>
      </c>
      <c r="X215" s="123"/>
      <c r="Y215" s="123">
        <f t="shared" si="190"/>
        <v>5300</v>
      </c>
    </row>
    <row r="216" spans="1:25" s="15" customFormat="1" ht="18.75" customHeight="1">
      <c r="A216" s="121"/>
      <c r="B216" s="121"/>
      <c r="C216" s="121"/>
      <c r="D216" s="122" t="s">
        <v>334</v>
      </c>
      <c r="E216" s="123">
        <v>2900</v>
      </c>
      <c r="F216" s="123"/>
      <c r="G216" s="123">
        <f t="shared" si="181"/>
        <v>2900</v>
      </c>
      <c r="H216" s="123">
        <v>-170</v>
      </c>
      <c r="I216" s="123">
        <f t="shared" si="182"/>
        <v>2730</v>
      </c>
      <c r="J216" s="123"/>
      <c r="K216" s="123">
        <f t="shared" si="183"/>
        <v>2730</v>
      </c>
      <c r="L216" s="123"/>
      <c r="M216" s="123">
        <f t="shared" si="184"/>
        <v>2730</v>
      </c>
      <c r="N216" s="123">
        <v>-2200</v>
      </c>
      <c r="O216" s="123">
        <f t="shared" si="185"/>
        <v>530</v>
      </c>
      <c r="P216" s="123"/>
      <c r="Q216" s="123">
        <f t="shared" si="186"/>
        <v>530</v>
      </c>
      <c r="R216" s="123"/>
      <c r="S216" s="123">
        <f t="shared" si="187"/>
        <v>530</v>
      </c>
      <c r="T216" s="123">
        <v>-330</v>
      </c>
      <c r="U216" s="123">
        <f t="shared" si="188"/>
        <v>200</v>
      </c>
      <c r="V216" s="123"/>
      <c r="W216" s="123">
        <f t="shared" si="189"/>
        <v>200</v>
      </c>
      <c r="X216" s="123"/>
      <c r="Y216" s="123">
        <f t="shared" si="190"/>
        <v>200</v>
      </c>
    </row>
    <row r="217" spans="1:25" s="15" customFormat="1" ht="18" customHeight="1">
      <c r="A217" s="121"/>
      <c r="B217" s="121"/>
      <c r="C217" s="121"/>
      <c r="D217" s="122" t="s">
        <v>335</v>
      </c>
      <c r="E217" s="123">
        <v>2310</v>
      </c>
      <c r="F217" s="123"/>
      <c r="G217" s="123">
        <f t="shared" si="181"/>
        <v>2310</v>
      </c>
      <c r="H217" s="123"/>
      <c r="I217" s="123">
        <f t="shared" si="182"/>
        <v>2310</v>
      </c>
      <c r="J217" s="123"/>
      <c r="K217" s="123">
        <f t="shared" si="183"/>
        <v>2310</v>
      </c>
      <c r="L217" s="123"/>
      <c r="M217" s="123">
        <f t="shared" si="184"/>
        <v>2310</v>
      </c>
      <c r="N217" s="123"/>
      <c r="O217" s="123">
        <f t="shared" si="185"/>
        <v>2310</v>
      </c>
      <c r="P217" s="123"/>
      <c r="Q217" s="123">
        <f t="shared" si="186"/>
        <v>2310</v>
      </c>
      <c r="R217" s="123"/>
      <c r="S217" s="123">
        <f t="shared" si="187"/>
        <v>2310</v>
      </c>
      <c r="T217" s="123">
        <v>3624</v>
      </c>
      <c r="U217" s="123">
        <f t="shared" si="188"/>
        <v>5934</v>
      </c>
      <c r="V217" s="123"/>
      <c r="W217" s="123">
        <f t="shared" si="189"/>
        <v>5934</v>
      </c>
      <c r="X217" s="123"/>
      <c r="Y217" s="123">
        <f t="shared" si="190"/>
        <v>5934</v>
      </c>
    </row>
    <row r="218" spans="1:25" s="15" customFormat="1" ht="18.75" customHeight="1">
      <c r="A218" s="121"/>
      <c r="B218" s="121"/>
      <c r="C218" s="121"/>
      <c r="D218" s="122" t="s">
        <v>336</v>
      </c>
      <c r="E218" s="123">
        <v>6040</v>
      </c>
      <c r="F218" s="123"/>
      <c r="G218" s="123">
        <f t="shared" si="181"/>
        <v>6040</v>
      </c>
      <c r="H218" s="123"/>
      <c r="I218" s="123">
        <f t="shared" si="182"/>
        <v>6040</v>
      </c>
      <c r="J218" s="123"/>
      <c r="K218" s="123">
        <f t="shared" si="183"/>
        <v>6040</v>
      </c>
      <c r="L218" s="123"/>
      <c r="M218" s="123">
        <f t="shared" si="184"/>
        <v>6040</v>
      </c>
      <c r="N218" s="123"/>
      <c r="O218" s="123">
        <f t="shared" si="185"/>
        <v>6040</v>
      </c>
      <c r="P218" s="123">
        <v>-6040</v>
      </c>
      <c r="Q218" s="123">
        <f t="shared" si="186"/>
        <v>0</v>
      </c>
      <c r="R218" s="123"/>
      <c r="S218" s="123">
        <f t="shared" si="187"/>
        <v>0</v>
      </c>
      <c r="T218" s="123"/>
      <c r="U218" s="123">
        <f t="shared" si="188"/>
        <v>0</v>
      </c>
      <c r="V218" s="123"/>
      <c r="W218" s="123">
        <f t="shared" si="189"/>
        <v>0</v>
      </c>
      <c r="X218" s="123"/>
      <c r="Y218" s="123">
        <f t="shared" si="190"/>
        <v>0</v>
      </c>
    </row>
    <row r="219" spans="1:25" s="133" customFormat="1" ht="18" customHeight="1">
      <c r="A219" s="132"/>
      <c r="B219" s="132"/>
      <c r="C219" s="132"/>
      <c r="D219" s="122" t="s">
        <v>346</v>
      </c>
      <c r="E219" s="123">
        <v>1000</v>
      </c>
      <c r="F219" s="123"/>
      <c r="G219" s="123">
        <f t="shared" si="181"/>
        <v>1000</v>
      </c>
      <c r="H219" s="123"/>
      <c r="I219" s="123">
        <f t="shared" si="182"/>
        <v>1000</v>
      </c>
      <c r="J219" s="123"/>
      <c r="K219" s="123">
        <f t="shared" si="183"/>
        <v>1000</v>
      </c>
      <c r="L219" s="123"/>
      <c r="M219" s="123">
        <f t="shared" si="184"/>
        <v>1000</v>
      </c>
      <c r="N219" s="123"/>
      <c r="O219" s="123">
        <f t="shared" si="185"/>
        <v>1000</v>
      </c>
      <c r="P219" s="123">
        <f>-1000+1900</f>
        <v>900</v>
      </c>
      <c r="Q219" s="123">
        <f t="shared" si="186"/>
        <v>1900</v>
      </c>
      <c r="R219" s="123"/>
      <c r="S219" s="123">
        <f t="shared" si="187"/>
        <v>1900</v>
      </c>
      <c r="T219" s="123"/>
      <c r="U219" s="123">
        <f t="shared" si="188"/>
        <v>1900</v>
      </c>
      <c r="V219" s="123"/>
      <c r="W219" s="123">
        <f t="shared" si="189"/>
        <v>1900</v>
      </c>
      <c r="X219" s="123"/>
      <c r="Y219" s="123">
        <f t="shared" si="190"/>
        <v>1900</v>
      </c>
    </row>
    <row r="220" spans="1:25" s="133" customFormat="1" ht="18" customHeight="1">
      <c r="A220" s="132"/>
      <c r="B220" s="132"/>
      <c r="C220" s="132"/>
      <c r="D220" s="122" t="s">
        <v>337</v>
      </c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>
        <v>0</v>
      </c>
      <c r="R220" s="123"/>
      <c r="S220" s="123">
        <f t="shared" si="187"/>
        <v>0</v>
      </c>
      <c r="T220" s="123">
        <v>700</v>
      </c>
      <c r="U220" s="123">
        <f t="shared" si="188"/>
        <v>700</v>
      </c>
      <c r="V220" s="123"/>
      <c r="W220" s="123">
        <f t="shared" si="189"/>
        <v>700</v>
      </c>
      <c r="X220" s="123"/>
      <c r="Y220" s="123">
        <f t="shared" si="190"/>
        <v>700</v>
      </c>
    </row>
    <row r="221" spans="1:25" s="15" customFormat="1" ht="18.75" customHeight="1">
      <c r="A221" s="121"/>
      <c r="B221" s="121"/>
      <c r="C221" s="121"/>
      <c r="D221" s="122" t="s">
        <v>347</v>
      </c>
      <c r="E221" s="123">
        <v>2750</v>
      </c>
      <c r="F221" s="123"/>
      <c r="G221" s="123">
        <f t="shared" si="181"/>
        <v>2750</v>
      </c>
      <c r="H221" s="123"/>
      <c r="I221" s="123">
        <f t="shared" si="182"/>
        <v>2750</v>
      </c>
      <c r="J221" s="123"/>
      <c r="K221" s="123">
        <f t="shared" si="183"/>
        <v>2750</v>
      </c>
      <c r="L221" s="123"/>
      <c r="M221" s="123">
        <f t="shared" si="184"/>
        <v>2750</v>
      </c>
      <c r="N221" s="123">
        <v>320</v>
      </c>
      <c r="O221" s="123">
        <f t="shared" si="185"/>
        <v>3070</v>
      </c>
      <c r="P221" s="123"/>
      <c r="Q221" s="123">
        <f t="shared" si="186"/>
        <v>3070</v>
      </c>
      <c r="R221" s="123"/>
      <c r="S221" s="123">
        <f t="shared" si="187"/>
        <v>3070</v>
      </c>
      <c r="T221" s="123">
        <v>-20</v>
      </c>
      <c r="U221" s="123">
        <f t="shared" si="188"/>
        <v>3050</v>
      </c>
      <c r="V221" s="123"/>
      <c r="W221" s="123">
        <f t="shared" si="189"/>
        <v>3050</v>
      </c>
      <c r="X221" s="123"/>
      <c r="Y221" s="123">
        <f t="shared" si="190"/>
        <v>3050</v>
      </c>
    </row>
    <row r="222" spans="1:25" s="15" customFormat="1" ht="21.75" customHeight="1">
      <c r="A222" s="121"/>
      <c r="B222" s="121"/>
      <c r="C222" s="121"/>
      <c r="D222" s="122" t="s">
        <v>348</v>
      </c>
      <c r="E222" s="123">
        <v>810</v>
      </c>
      <c r="F222" s="123"/>
      <c r="G222" s="123">
        <f t="shared" si="181"/>
        <v>810</v>
      </c>
      <c r="H222" s="123"/>
      <c r="I222" s="123">
        <f t="shared" si="182"/>
        <v>810</v>
      </c>
      <c r="J222" s="123"/>
      <c r="K222" s="123">
        <f t="shared" si="183"/>
        <v>810</v>
      </c>
      <c r="L222" s="123"/>
      <c r="M222" s="123">
        <f t="shared" si="184"/>
        <v>810</v>
      </c>
      <c r="N222" s="123"/>
      <c r="O222" s="123">
        <f t="shared" si="185"/>
        <v>810</v>
      </c>
      <c r="P222" s="123"/>
      <c r="Q222" s="123">
        <f t="shared" si="186"/>
        <v>810</v>
      </c>
      <c r="R222" s="123">
        <v>-250</v>
      </c>
      <c r="S222" s="123">
        <f t="shared" si="187"/>
        <v>560</v>
      </c>
      <c r="T222" s="123">
        <v>1000</v>
      </c>
      <c r="U222" s="123">
        <f t="shared" si="188"/>
        <v>1560</v>
      </c>
      <c r="V222" s="123">
        <v>500</v>
      </c>
      <c r="W222" s="123">
        <f t="shared" si="189"/>
        <v>2060</v>
      </c>
      <c r="X222" s="123"/>
      <c r="Y222" s="123">
        <f t="shared" si="190"/>
        <v>2060</v>
      </c>
    </row>
    <row r="223" spans="1:25" s="15" customFormat="1" ht="21.75" customHeight="1">
      <c r="A223" s="121"/>
      <c r="B223" s="121"/>
      <c r="C223" s="121"/>
      <c r="D223" s="122" t="s">
        <v>340</v>
      </c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>
        <v>0</v>
      </c>
      <c r="X223" s="123">
        <v>477</v>
      </c>
      <c r="Y223" s="123">
        <f t="shared" si="190"/>
        <v>477</v>
      </c>
    </row>
    <row r="224" spans="1:25" s="15" customFormat="1" ht="21.75" customHeight="1">
      <c r="A224" s="121"/>
      <c r="B224" s="121"/>
      <c r="C224" s="121"/>
      <c r="D224" s="122" t="s">
        <v>358</v>
      </c>
      <c r="E224" s="123">
        <v>1000</v>
      </c>
      <c r="F224" s="123"/>
      <c r="G224" s="123">
        <f t="shared" si="181"/>
        <v>1000</v>
      </c>
      <c r="H224" s="123"/>
      <c r="I224" s="123">
        <f t="shared" si="182"/>
        <v>1000</v>
      </c>
      <c r="J224" s="123"/>
      <c r="K224" s="123">
        <f t="shared" si="183"/>
        <v>1000</v>
      </c>
      <c r="L224" s="123"/>
      <c r="M224" s="123">
        <f t="shared" si="184"/>
        <v>1000</v>
      </c>
      <c r="N224" s="123"/>
      <c r="O224" s="123">
        <f t="shared" si="185"/>
        <v>1000</v>
      </c>
      <c r="P224" s="123">
        <v>-900</v>
      </c>
      <c r="Q224" s="123">
        <f t="shared" si="186"/>
        <v>100</v>
      </c>
      <c r="R224" s="123"/>
      <c r="S224" s="123">
        <f t="shared" si="187"/>
        <v>100</v>
      </c>
      <c r="T224" s="123"/>
      <c r="U224" s="123">
        <f t="shared" si="188"/>
        <v>100</v>
      </c>
      <c r="V224" s="123"/>
      <c r="W224" s="123">
        <f t="shared" si="189"/>
        <v>100</v>
      </c>
      <c r="X224" s="123"/>
      <c r="Y224" s="123">
        <f t="shared" si="190"/>
        <v>100</v>
      </c>
    </row>
    <row r="225" spans="1:25" s="15" customFormat="1" ht="21.75" customHeight="1">
      <c r="A225" s="121"/>
      <c r="B225" s="121"/>
      <c r="C225" s="121"/>
      <c r="D225" s="122" t="s">
        <v>352</v>
      </c>
      <c r="E225" s="123">
        <v>720</v>
      </c>
      <c r="F225" s="123"/>
      <c r="G225" s="123">
        <f t="shared" si="181"/>
        <v>720</v>
      </c>
      <c r="H225" s="123"/>
      <c r="I225" s="123">
        <f t="shared" si="182"/>
        <v>720</v>
      </c>
      <c r="J225" s="123"/>
      <c r="K225" s="123">
        <f t="shared" si="183"/>
        <v>720</v>
      </c>
      <c r="L225" s="123"/>
      <c r="M225" s="123">
        <f t="shared" si="184"/>
        <v>720</v>
      </c>
      <c r="N225" s="123"/>
      <c r="O225" s="123">
        <f t="shared" si="185"/>
        <v>720</v>
      </c>
      <c r="P225" s="123"/>
      <c r="Q225" s="123">
        <f t="shared" si="186"/>
        <v>720</v>
      </c>
      <c r="R225" s="123"/>
      <c r="S225" s="123">
        <f t="shared" si="187"/>
        <v>720</v>
      </c>
      <c r="T225" s="123">
        <v>800</v>
      </c>
      <c r="U225" s="123">
        <f t="shared" si="188"/>
        <v>1520</v>
      </c>
      <c r="V225" s="123"/>
      <c r="W225" s="123">
        <f t="shared" si="189"/>
        <v>1520</v>
      </c>
      <c r="X225" s="123"/>
      <c r="Y225" s="123">
        <f t="shared" si="190"/>
        <v>1520</v>
      </c>
    </row>
    <row r="226" spans="1:25" s="15" customFormat="1" ht="18" customHeight="1">
      <c r="A226" s="117"/>
      <c r="B226" s="117"/>
      <c r="C226" s="117" t="s">
        <v>359</v>
      </c>
      <c r="D226" s="119" t="s">
        <v>85</v>
      </c>
      <c r="E226" s="120">
        <f aca="true" t="shared" si="191" ref="E226:Q226">SUM(E227:E241)</f>
        <v>12000</v>
      </c>
      <c r="F226" s="120">
        <f t="shared" si="191"/>
        <v>0</v>
      </c>
      <c r="G226" s="120">
        <f t="shared" si="191"/>
        <v>12000</v>
      </c>
      <c r="H226" s="120">
        <f t="shared" si="191"/>
        <v>0</v>
      </c>
      <c r="I226" s="120">
        <f t="shared" si="191"/>
        <v>12000</v>
      </c>
      <c r="J226" s="120">
        <f t="shared" si="191"/>
        <v>0</v>
      </c>
      <c r="K226" s="120">
        <f t="shared" si="191"/>
        <v>12000</v>
      </c>
      <c r="L226" s="120">
        <f t="shared" si="191"/>
        <v>0</v>
      </c>
      <c r="M226" s="120">
        <f t="shared" si="191"/>
        <v>12000</v>
      </c>
      <c r="N226" s="120">
        <f t="shared" si="191"/>
        <v>-232</v>
      </c>
      <c r="O226" s="120">
        <f t="shared" si="191"/>
        <v>11768</v>
      </c>
      <c r="P226" s="120">
        <f t="shared" si="191"/>
        <v>690</v>
      </c>
      <c r="Q226" s="120">
        <f t="shared" si="191"/>
        <v>12458</v>
      </c>
      <c r="R226" s="120">
        <f aca="true" t="shared" si="192" ref="R226:W226">SUM(R227:R241)</f>
        <v>250</v>
      </c>
      <c r="S226" s="120">
        <f t="shared" si="192"/>
        <v>12708</v>
      </c>
      <c r="T226" s="120">
        <f t="shared" si="192"/>
        <v>1290</v>
      </c>
      <c r="U226" s="120">
        <f t="shared" si="192"/>
        <v>13998</v>
      </c>
      <c r="V226" s="120">
        <f t="shared" si="192"/>
        <v>0</v>
      </c>
      <c r="W226" s="120">
        <f t="shared" si="192"/>
        <v>13998</v>
      </c>
      <c r="X226" s="120">
        <f>SUM(X227:X241)</f>
        <v>-477</v>
      </c>
      <c r="Y226" s="120">
        <f>SUM(Y227:Y241)</f>
        <v>13521</v>
      </c>
    </row>
    <row r="227" spans="1:25" s="15" customFormat="1" ht="18" customHeight="1">
      <c r="A227" s="121"/>
      <c r="B227" s="121"/>
      <c r="C227" s="121"/>
      <c r="D227" s="122" t="s">
        <v>343</v>
      </c>
      <c r="E227" s="123">
        <v>1300</v>
      </c>
      <c r="F227" s="123"/>
      <c r="G227" s="123">
        <f aca="true" t="shared" si="193" ref="G227:G241">SUM(E227:F227)</f>
        <v>1300</v>
      </c>
      <c r="H227" s="123"/>
      <c r="I227" s="123">
        <f aca="true" t="shared" si="194" ref="I227:I241">SUM(G227:H227)</f>
        <v>1300</v>
      </c>
      <c r="J227" s="123"/>
      <c r="K227" s="123">
        <f aca="true" t="shared" si="195" ref="K227:K241">SUM(I227:J227)</f>
        <v>1300</v>
      </c>
      <c r="L227" s="123"/>
      <c r="M227" s="123">
        <f aca="true" t="shared" si="196" ref="M227:M241">SUM(K227:L227)</f>
        <v>1300</v>
      </c>
      <c r="N227" s="123"/>
      <c r="O227" s="123">
        <f aca="true" t="shared" si="197" ref="O227:O241">SUM(M227:N227)</f>
        <v>1300</v>
      </c>
      <c r="P227" s="123"/>
      <c r="Q227" s="123">
        <f aca="true" t="shared" si="198" ref="Q227:Q241">SUM(O227:P227)</f>
        <v>1300</v>
      </c>
      <c r="R227" s="123"/>
      <c r="S227" s="123">
        <f aca="true" t="shared" si="199" ref="S227:S241">SUM(Q227:R227)</f>
        <v>1300</v>
      </c>
      <c r="T227" s="123">
        <v>236</v>
      </c>
      <c r="U227" s="123">
        <f aca="true" t="shared" si="200" ref="U227:U241">SUM(S227:T227)</f>
        <v>1536</v>
      </c>
      <c r="V227" s="123"/>
      <c r="W227" s="123">
        <f aca="true" t="shared" si="201" ref="W227:W241">SUM(U227:V227)</f>
        <v>1536</v>
      </c>
      <c r="X227" s="123"/>
      <c r="Y227" s="123">
        <f aca="true" t="shared" si="202" ref="Y227:Y241">SUM(W227:X227)</f>
        <v>1536</v>
      </c>
    </row>
    <row r="228" spans="1:25" s="15" customFormat="1" ht="17.25" customHeight="1">
      <c r="A228" s="121"/>
      <c r="B228" s="121"/>
      <c r="C228" s="121"/>
      <c r="D228" s="122" t="s">
        <v>344</v>
      </c>
      <c r="E228" s="123">
        <v>450</v>
      </c>
      <c r="F228" s="123"/>
      <c r="G228" s="123">
        <f t="shared" si="193"/>
        <v>450</v>
      </c>
      <c r="H228" s="123"/>
      <c r="I228" s="123">
        <f t="shared" si="194"/>
        <v>450</v>
      </c>
      <c r="J228" s="123"/>
      <c r="K228" s="123">
        <f t="shared" si="195"/>
        <v>450</v>
      </c>
      <c r="L228" s="123"/>
      <c r="M228" s="123">
        <f t="shared" si="196"/>
        <v>450</v>
      </c>
      <c r="N228" s="123"/>
      <c r="O228" s="123">
        <f t="shared" si="197"/>
        <v>450</v>
      </c>
      <c r="P228" s="123"/>
      <c r="Q228" s="123">
        <f t="shared" si="198"/>
        <v>450</v>
      </c>
      <c r="R228" s="123"/>
      <c r="S228" s="123">
        <f t="shared" si="199"/>
        <v>450</v>
      </c>
      <c r="T228" s="123">
        <v>150</v>
      </c>
      <c r="U228" s="123">
        <f t="shared" si="200"/>
        <v>600</v>
      </c>
      <c r="V228" s="123"/>
      <c r="W228" s="123">
        <f t="shared" si="201"/>
        <v>600</v>
      </c>
      <c r="X228" s="123"/>
      <c r="Y228" s="123">
        <f t="shared" si="202"/>
        <v>600</v>
      </c>
    </row>
    <row r="229" spans="1:25" s="15" customFormat="1" ht="21.75" customHeight="1">
      <c r="A229" s="121"/>
      <c r="B229" s="121"/>
      <c r="C229" s="121"/>
      <c r="D229" s="122" t="s">
        <v>333</v>
      </c>
      <c r="E229" s="123">
        <v>1500</v>
      </c>
      <c r="F229" s="123"/>
      <c r="G229" s="123">
        <f t="shared" si="193"/>
        <v>1500</v>
      </c>
      <c r="H229" s="123"/>
      <c r="I229" s="123">
        <f t="shared" si="194"/>
        <v>1500</v>
      </c>
      <c r="J229" s="123"/>
      <c r="K229" s="123">
        <f t="shared" si="195"/>
        <v>1500</v>
      </c>
      <c r="L229" s="123"/>
      <c r="M229" s="123">
        <f t="shared" si="196"/>
        <v>1500</v>
      </c>
      <c r="N229" s="123"/>
      <c r="O229" s="123">
        <f t="shared" si="197"/>
        <v>1500</v>
      </c>
      <c r="P229" s="123">
        <v>1000</v>
      </c>
      <c r="Q229" s="123">
        <f t="shared" si="198"/>
        <v>2500</v>
      </c>
      <c r="R229" s="123"/>
      <c r="S229" s="123">
        <f t="shared" si="199"/>
        <v>2500</v>
      </c>
      <c r="T229" s="123"/>
      <c r="U229" s="123">
        <f t="shared" si="200"/>
        <v>2500</v>
      </c>
      <c r="V229" s="123"/>
      <c r="W229" s="123">
        <f t="shared" si="201"/>
        <v>2500</v>
      </c>
      <c r="X229" s="123"/>
      <c r="Y229" s="123">
        <f t="shared" si="202"/>
        <v>2500</v>
      </c>
    </row>
    <row r="230" spans="1:25" s="15" customFormat="1" ht="21.75" customHeight="1">
      <c r="A230" s="121"/>
      <c r="B230" s="121"/>
      <c r="C230" s="121"/>
      <c r="D230" s="122" t="s">
        <v>345</v>
      </c>
      <c r="E230" s="123">
        <v>600</v>
      </c>
      <c r="F230" s="123"/>
      <c r="G230" s="123">
        <f t="shared" si="193"/>
        <v>600</v>
      </c>
      <c r="H230" s="123"/>
      <c r="I230" s="123">
        <f t="shared" si="194"/>
        <v>600</v>
      </c>
      <c r="J230" s="123"/>
      <c r="K230" s="123">
        <f t="shared" si="195"/>
        <v>600</v>
      </c>
      <c r="L230" s="123"/>
      <c r="M230" s="123">
        <f t="shared" si="196"/>
        <v>600</v>
      </c>
      <c r="N230" s="123"/>
      <c r="O230" s="123">
        <f t="shared" si="197"/>
        <v>600</v>
      </c>
      <c r="P230" s="123"/>
      <c r="Q230" s="123">
        <f t="shared" si="198"/>
        <v>600</v>
      </c>
      <c r="R230" s="123"/>
      <c r="S230" s="123">
        <f t="shared" si="199"/>
        <v>600</v>
      </c>
      <c r="T230" s="123"/>
      <c r="U230" s="123">
        <f t="shared" si="200"/>
        <v>600</v>
      </c>
      <c r="V230" s="123"/>
      <c r="W230" s="123">
        <f t="shared" si="201"/>
        <v>600</v>
      </c>
      <c r="X230" s="123"/>
      <c r="Y230" s="123">
        <f t="shared" si="202"/>
        <v>600</v>
      </c>
    </row>
    <row r="231" spans="1:25" s="15" customFormat="1" ht="21.75" customHeight="1">
      <c r="A231" s="121"/>
      <c r="B231" s="121"/>
      <c r="C231" s="121"/>
      <c r="D231" s="122" t="s">
        <v>334</v>
      </c>
      <c r="E231" s="123">
        <v>800</v>
      </c>
      <c r="F231" s="123"/>
      <c r="G231" s="123">
        <f t="shared" si="193"/>
        <v>800</v>
      </c>
      <c r="H231" s="123"/>
      <c r="I231" s="123">
        <f t="shared" si="194"/>
        <v>800</v>
      </c>
      <c r="J231" s="123"/>
      <c r="K231" s="123">
        <f t="shared" si="195"/>
        <v>800</v>
      </c>
      <c r="L231" s="123"/>
      <c r="M231" s="123">
        <f t="shared" si="196"/>
        <v>800</v>
      </c>
      <c r="N231" s="123"/>
      <c r="O231" s="123">
        <f t="shared" si="197"/>
        <v>800</v>
      </c>
      <c r="P231" s="123"/>
      <c r="Q231" s="123">
        <f t="shared" si="198"/>
        <v>800</v>
      </c>
      <c r="R231" s="123"/>
      <c r="S231" s="123">
        <f t="shared" si="199"/>
        <v>800</v>
      </c>
      <c r="T231" s="123">
        <v>330</v>
      </c>
      <c r="U231" s="123">
        <f t="shared" si="200"/>
        <v>1130</v>
      </c>
      <c r="V231" s="123"/>
      <c r="W231" s="123">
        <f t="shared" si="201"/>
        <v>1130</v>
      </c>
      <c r="X231" s="123"/>
      <c r="Y231" s="123">
        <f t="shared" si="202"/>
        <v>1130</v>
      </c>
    </row>
    <row r="232" spans="1:25" s="15" customFormat="1" ht="21.75" customHeight="1">
      <c r="A232" s="121"/>
      <c r="B232" s="121"/>
      <c r="C232" s="121"/>
      <c r="D232" s="122" t="s">
        <v>335</v>
      </c>
      <c r="E232" s="123">
        <v>900</v>
      </c>
      <c r="F232" s="123"/>
      <c r="G232" s="123">
        <f t="shared" si="193"/>
        <v>900</v>
      </c>
      <c r="H232" s="123"/>
      <c r="I232" s="123">
        <f t="shared" si="194"/>
        <v>900</v>
      </c>
      <c r="J232" s="123"/>
      <c r="K232" s="123">
        <f t="shared" si="195"/>
        <v>900</v>
      </c>
      <c r="L232" s="123"/>
      <c r="M232" s="123">
        <f t="shared" si="196"/>
        <v>900</v>
      </c>
      <c r="N232" s="123"/>
      <c r="O232" s="123">
        <f t="shared" si="197"/>
        <v>900</v>
      </c>
      <c r="P232" s="123"/>
      <c r="Q232" s="123">
        <f t="shared" si="198"/>
        <v>900</v>
      </c>
      <c r="R232" s="123"/>
      <c r="S232" s="123">
        <f t="shared" si="199"/>
        <v>900</v>
      </c>
      <c r="T232" s="123">
        <v>-400</v>
      </c>
      <c r="U232" s="123">
        <f t="shared" si="200"/>
        <v>500</v>
      </c>
      <c r="V232" s="123"/>
      <c r="W232" s="123">
        <f t="shared" si="201"/>
        <v>500</v>
      </c>
      <c r="X232" s="123"/>
      <c r="Y232" s="123">
        <f t="shared" si="202"/>
        <v>500</v>
      </c>
    </row>
    <row r="233" spans="1:25" s="15" customFormat="1" ht="21.75" customHeight="1">
      <c r="A233" s="121"/>
      <c r="B233" s="121"/>
      <c r="C233" s="121"/>
      <c r="D233" s="122" t="s">
        <v>336</v>
      </c>
      <c r="E233" s="123">
        <v>900</v>
      </c>
      <c r="F233" s="123"/>
      <c r="G233" s="123">
        <f t="shared" si="193"/>
        <v>900</v>
      </c>
      <c r="H233" s="123"/>
      <c r="I233" s="123">
        <f t="shared" si="194"/>
        <v>900</v>
      </c>
      <c r="J233" s="123"/>
      <c r="K233" s="123">
        <f t="shared" si="195"/>
        <v>900</v>
      </c>
      <c r="L233" s="123"/>
      <c r="M233" s="123">
        <f t="shared" si="196"/>
        <v>900</v>
      </c>
      <c r="N233" s="123"/>
      <c r="O233" s="123">
        <f t="shared" si="197"/>
        <v>900</v>
      </c>
      <c r="P233" s="123"/>
      <c r="Q233" s="123">
        <f t="shared" si="198"/>
        <v>900</v>
      </c>
      <c r="R233" s="123"/>
      <c r="S233" s="123">
        <f t="shared" si="199"/>
        <v>900</v>
      </c>
      <c r="T233" s="123"/>
      <c r="U233" s="123">
        <f t="shared" si="200"/>
        <v>900</v>
      </c>
      <c r="V233" s="123"/>
      <c r="W233" s="123">
        <f t="shared" si="201"/>
        <v>900</v>
      </c>
      <c r="X233" s="123"/>
      <c r="Y233" s="123">
        <f t="shared" si="202"/>
        <v>900</v>
      </c>
    </row>
    <row r="234" spans="1:25" s="133" customFormat="1" ht="21.75" customHeight="1">
      <c r="A234" s="132"/>
      <c r="B234" s="132"/>
      <c r="C234" s="132"/>
      <c r="D234" s="122" t="s">
        <v>346</v>
      </c>
      <c r="E234" s="123">
        <v>400</v>
      </c>
      <c r="F234" s="123"/>
      <c r="G234" s="123">
        <f t="shared" si="193"/>
        <v>400</v>
      </c>
      <c r="H234" s="123"/>
      <c r="I234" s="123">
        <f t="shared" si="194"/>
        <v>400</v>
      </c>
      <c r="J234" s="123"/>
      <c r="K234" s="123">
        <f t="shared" si="195"/>
        <v>400</v>
      </c>
      <c r="L234" s="123"/>
      <c r="M234" s="123">
        <f t="shared" si="196"/>
        <v>400</v>
      </c>
      <c r="N234" s="123"/>
      <c r="O234" s="123">
        <f t="shared" si="197"/>
        <v>400</v>
      </c>
      <c r="P234" s="123">
        <v>-400</v>
      </c>
      <c r="Q234" s="123">
        <f t="shared" si="198"/>
        <v>0</v>
      </c>
      <c r="R234" s="123"/>
      <c r="S234" s="123">
        <f t="shared" si="199"/>
        <v>0</v>
      </c>
      <c r="T234" s="123"/>
      <c r="U234" s="123">
        <f t="shared" si="200"/>
        <v>0</v>
      </c>
      <c r="V234" s="123"/>
      <c r="W234" s="123">
        <f t="shared" si="201"/>
        <v>0</v>
      </c>
      <c r="X234" s="123"/>
      <c r="Y234" s="123">
        <f t="shared" si="202"/>
        <v>0</v>
      </c>
    </row>
    <row r="235" spans="1:25" s="15" customFormat="1" ht="21.75" customHeight="1">
      <c r="A235" s="121"/>
      <c r="B235" s="121"/>
      <c r="C235" s="121"/>
      <c r="D235" s="122" t="s">
        <v>337</v>
      </c>
      <c r="E235" s="123">
        <v>600</v>
      </c>
      <c r="F235" s="123"/>
      <c r="G235" s="123">
        <f t="shared" si="193"/>
        <v>600</v>
      </c>
      <c r="H235" s="123"/>
      <c r="I235" s="123">
        <f t="shared" si="194"/>
        <v>600</v>
      </c>
      <c r="J235" s="123"/>
      <c r="K235" s="123">
        <f t="shared" si="195"/>
        <v>600</v>
      </c>
      <c r="L235" s="123"/>
      <c r="M235" s="123">
        <f t="shared" si="196"/>
        <v>600</v>
      </c>
      <c r="N235" s="123"/>
      <c r="O235" s="123">
        <f t="shared" si="197"/>
        <v>600</v>
      </c>
      <c r="P235" s="123"/>
      <c r="Q235" s="123">
        <f t="shared" si="198"/>
        <v>600</v>
      </c>
      <c r="R235" s="123"/>
      <c r="S235" s="123">
        <f t="shared" si="199"/>
        <v>600</v>
      </c>
      <c r="T235" s="123"/>
      <c r="U235" s="123">
        <f t="shared" si="200"/>
        <v>600</v>
      </c>
      <c r="V235" s="123"/>
      <c r="W235" s="123">
        <f t="shared" si="201"/>
        <v>600</v>
      </c>
      <c r="X235" s="123"/>
      <c r="Y235" s="123">
        <f t="shared" si="202"/>
        <v>600</v>
      </c>
    </row>
    <row r="236" spans="1:25" s="15" customFormat="1" ht="21.75" customHeight="1">
      <c r="A236" s="121"/>
      <c r="B236" s="121"/>
      <c r="C236" s="121"/>
      <c r="D236" s="122" t="s">
        <v>340</v>
      </c>
      <c r="E236" s="123">
        <v>1100</v>
      </c>
      <c r="F236" s="123"/>
      <c r="G236" s="123">
        <f t="shared" si="193"/>
        <v>1100</v>
      </c>
      <c r="H236" s="123"/>
      <c r="I236" s="123">
        <f t="shared" si="194"/>
        <v>1100</v>
      </c>
      <c r="J236" s="123"/>
      <c r="K236" s="123">
        <f t="shared" si="195"/>
        <v>1100</v>
      </c>
      <c r="L236" s="123"/>
      <c r="M236" s="123">
        <f t="shared" si="196"/>
        <v>1100</v>
      </c>
      <c r="N236" s="123">
        <v>-232</v>
      </c>
      <c r="O236" s="123">
        <f t="shared" si="197"/>
        <v>868</v>
      </c>
      <c r="P236" s="123">
        <v>90</v>
      </c>
      <c r="Q236" s="123">
        <f t="shared" si="198"/>
        <v>958</v>
      </c>
      <c r="R236" s="123"/>
      <c r="S236" s="123">
        <f t="shared" si="199"/>
        <v>958</v>
      </c>
      <c r="T236" s="123">
        <v>700</v>
      </c>
      <c r="U236" s="123">
        <f t="shared" si="200"/>
        <v>1658</v>
      </c>
      <c r="V236" s="123"/>
      <c r="W236" s="123">
        <f t="shared" si="201"/>
        <v>1658</v>
      </c>
      <c r="X236" s="123">
        <v>-477</v>
      </c>
      <c r="Y236" s="123">
        <f t="shared" si="202"/>
        <v>1181</v>
      </c>
    </row>
    <row r="237" spans="1:25" s="15" customFormat="1" ht="21.75" customHeight="1">
      <c r="A237" s="121"/>
      <c r="B237" s="121"/>
      <c r="C237" s="121"/>
      <c r="D237" s="122" t="s">
        <v>347</v>
      </c>
      <c r="E237" s="123">
        <v>900</v>
      </c>
      <c r="F237" s="123"/>
      <c r="G237" s="123">
        <f t="shared" si="193"/>
        <v>900</v>
      </c>
      <c r="H237" s="123"/>
      <c r="I237" s="123">
        <f t="shared" si="194"/>
        <v>900</v>
      </c>
      <c r="J237" s="123"/>
      <c r="K237" s="123">
        <f t="shared" si="195"/>
        <v>900</v>
      </c>
      <c r="L237" s="123"/>
      <c r="M237" s="123">
        <f t="shared" si="196"/>
        <v>900</v>
      </c>
      <c r="N237" s="123"/>
      <c r="O237" s="123">
        <f t="shared" si="197"/>
        <v>900</v>
      </c>
      <c r="P237" s="123"/>
      <c r="Q237" s="123">
        <f t="shared" si="198"/>
        <v>900</v>
      </c>
      <c r="R237" s="123"/>
      <c r="S237" s="123">
        <f t="shared" si="199"/>
        <v>900</v>
      </c>
      <c r="T237" s="123">
        <v>154</v>
      </c>
      <c r="U237" s="123">
        <f t="shared" si="200"/>
        <v>1054</v>
      </c>
      <c r="V237" s="123"/>
      <c r="W237" s="123">
        <f t="shared" si="201"/>
        <v>1054</v>
      </c>
      <c r="X237" s="123"/>
      <c r="Y237" s="123">
        <f t="shared" si="202"/>
        <v>1054</v>
      </c>
    </row>
    <row r="238" spans="1:25" s="15" customFormat="1" ht="21.75" customHeight="1">
      <c r="A238" s="121"/>
      <c r="B238" s="121"/>
      <c r="C238" s="121"/>
      <c r="D238" s="122" t="s">
        <v>348</v>
      </c>
      <c r="E238" s="123">
        <v>1200</v>
      </c>
      <c r="F238" s="123"/>
      <c r="G238" s="123">
        <f t="shared" si="193"/>
        <v>1200</v>
      </c>
      <c r="H238" s="123"/>
      <c r="I238" s="123">
        <f t="shared" si="194"/>
        <v>1200</v>
      </c>
      <c r="J238" s="123"/>
      <c r="K238" s="123">
        <f t="shared" si="195"/>
        <v>1200</v>
      </c>
      <c r="L238" s="123"/>
      <c r="M238" s="123">
        <f t="shared" si="196"/>
        <v>1200</v>
      </c>
      <c r="N238" s="123"/>
      <c r="O238" s="123">
        <f t="shared" si="197"/>
        <v>1200</v>
      </c>
      <c r="P238" s="123"/>
      <c r="Q238" s="123">
        <f t="shared" si="198"/>
        <v>1200</v>
      </c>
      <c r="R238" s="123">
        <v>250</v>
      </c>
      <c r="S238" s="123">
        <f t="shared" si="199"/>
        <v>1450</v>
      </c>
      <c r="T238" s="123">
        <v>120</v>
      </c>
      <c r="U238" s="123">
        <f t="shared" si="200"/>
        <v>1570</v>
      </c>
      <c r="V238" s="123"/>
      <c r="W238" s="123">
        <f t="shared" si="201"/>
        <v>1570</v>
      </c>
      <c r="X238" s="123"/>
      <c r="Y238" s="123">
        <f t="shared" si="202"/>
        <v>1570</v>
      </c>
    </row>
    <row r="239" spans="1:25" s="15" customFormat="1" ht="21.75" customHeight="1">
      <c r="A239" s="121"/>
      <c r="B239" s="121"/>
      <c r="C239" s="121"/>
      <c r="D239" s="122" t="s">
        <v>351</v>
      </c>
      <c r="E239" s="123">
        <v>300</v>
      </c>
      <c r="F239" s="123"/>
      <c r="G239" s="123">
        <f t="shared" si="193"/>
        <v>300</v>
      </c>
      <c r="H239" s="123"/>
      <c r="I239" s="123">
        <f t="shared" si="194"/>
        <v>300</v>
      </c>
      <c r="J239" s="123"/>
      <c r="K239" s="123">
        <f t="shared" si="195"/>
        <v>300</v>
      </c>
      <c r="L239" s="123"/>
      <c r="M239" s="123">
        <f t="shared" si="196"/>
        <v>300</v>
      </c>
      <c r="N239" s="123"/>
      <c r="O239" s="123">
        <f t="shared" si="197"/>
        <v>300</v>
      </c>
      <c r="P239" s="123"/>
      <c r="Q239" s="123">
        <f t="shared" si="198"/>
        <v>300</v>
      </c>
      <c r="R239" s="123"/>
      <c r="S239" s="123">
        <f t="shared" si="199"/>
        <v>300</v>
      </c>
      <c r="T239" s="123"/>
      <c r="U239" s="123">
        <f t="shared" si="200"/>
        <v>300</v>
      </c>
      <c r="V239" s="123"/>
      <c r="W239" s="123">
        <f t="shared" si="201"/>
        <v>300</v>
      </c>
      <c r="X239" s="123"/>
      <c r="Y239" s="123">
        <f t="shared" si="202"/>
        <v>300</v>
      </c>
    </row>
    <row r="240" spans="1:25" s="15" customFormat="1" ht="21.75" customHeight="1">
      <c r="A240" s="121"/>
      <c r="B240" s="121"/>
      <c r="C240" s="121"/>
      <c r="D240" s="122" t="s">
        <v>342</v>
      </c>
      <c r="E240" s="123">
        <v>300</v>
      </c>
      <c r="F240" s="123"/>
      <c r="G240" s="123">
        <f t="shared" si="193"/>
        <v>300</v>
      </c>
      <c r="H240" s="123"/>
      <c r="I240" s="123">
        <f t="shared" si="194"/>
        <v>300</v>
      </c>
      <c r="J240" s="123"/>
      <c r="K240" s="123">
        <f t="shared" si="195"/>
        <v>300</v>
      </c>
      <c r="L240" s="123"/>
      <c r="M240" s="123">
        <f t="shared" si="196"/>
        <v>300</v>
      </c>
      <c r="N240" s="123"/>
      <c r="O240" s="123">
        <f t="shared" si="197"/>
        <v>300</v>
      </c>
      <c r="P240" s="123"/>
      <c r="Q240" s="123">
        <f t="shared" si="198"/>
        <v>300</v>
      </c>
      <c r="R240" s="123"/>
      <c r="S240" s="123">
        <f t="shared" si="199"/>
        <v>300</v>
      </c>
      <c r="T240" s="123"/>
      <c r="U240" s="123">
        <f t="shared" si="200"/>
        <v>300</v>
      </c>
      <c r="V240" s="123"/>
      <c r="W240" s="123">
        <f t="shared" si="201"/>
        <v>300</v>
      </c>
      <c r="X240" s="123"/>
      <c r="Y240" s="123">
        <f t="shared" si="202"/>
        <v>300</v>
      </c>
    </row>
    <row r="241" spans="1:25" s="15" customFormat="1" ht="21.75" customHeight="1">
      <c r="A241" s="121"/>
      <c r="B241" s="121"/>
      <c r="C241" s="121"/>
      <c r="D241" s="122" t="s">
        <v>352</v>
      </c>
      <c r="E241" s="123">
        <v>750</v>
      </c>
      <c r="F241" s="123"/>
      <c r="G241" s="123">
        <f t="shared" si="193"/>
        <v>750</v>
      </c>
      <c r="H241" s="123"/>
      <c r="I241" s="123">
        <f t="shared" si="194"/>
        <v>750</v>
      </c>
      <c r="J241" s="123"/>
      <c r="K241" s="123">
        <f t="shared" si="195"/>
        <v>750</v>
      </c>
      <c r="L241" s="123"/>
      <c r="M241" s="123">
        <f t="shared" si="196"/>
        <v>750</v>
      </c>
      <c r="N241" s="123"/>
      <c r="O241" s="123">
        <f t="shared" si="197"/>
        <v>750</v>
      </c>
      <c r="P241" s="123"/>
      <c r="Q241" s="123">
        <f t="shared" si="198"/>
        <v>750</v>
      </c>
      <c r="R241" s="123"/>
      <c r="S241" s="123">
        <f t="shared" si="199"/>
        <v>750</v>
      </c>
      <c r="T241" s="123"/>
      <c r="U241" s="123">
        <f t="shared" si="200"/>
        <v>750</v>
      </c>
      <c r="V241" s="123"/>
      <c r="W241" s="123">
        <f t="shared" si="201"/>
        <v>750</v>
      </c>
      <c r="X241" s="123"/>
      <c r="Y241" s="123">
        <f t="shared" si="202"/>
        <v>750</v>
      </c>
    </row>
    <row r="242" spans="1:25" s="15" customFormat="1" ht="21.75" customHeight="1">
      <c r="A242" s="117"/>
      <c r="B242" s="117"/>
      <c r="C242" s="118">
        <v>4270</v>
      </c>
      <c r="D242" s="131" t="s">
        <v>68</v>
      </c>
      <c r="E242" s="120">
        <f aca="true" t="shared" si="203" ref="E242:Q242">SUM(E243:E248)</f>
        <v>20880</v>
      </c>
      <c r="F242" s="120">
        <f t="shared" si="203"/>
        <v>0</v>
      </c>
      <c r="G242" s="120">
        <f t="shared" si="203"/>
        <v>20880</v>
      </c>
      <c r="H242" s="120">
        <f t="shared" si="203"/>
        <v>-2000</v>
      </c>
      <c r="I242" s="120">
        <f t="shared" si="203"/>
        <v>18880</v>
      </c>
      <c r="J242" s="120">
        <f t="shared" si="203"/>
        <v>2000</v>
      </c>
      <c r="K242" s="120">
        <f t="shared" si="203"/>
        <v>20880</v>
      </c>
      <c r="L242" s="120">
        <f t="shared" si="203"/>
        <v>0</v>
      </c>
      <c r="M242" s="120">
        <f t="shared" si="203"/>
        <v>20880</v>
      </c>
      <c r="N242" s="120">
        <f t="shared" si="203"/>
        <v>-1500</v>
      </c>
      <c r="O242" s="120">
        <f t="shared" si="203"/>
        <v>19380</v>
      </c>
      <c r="P242" s="120">
        <f t="shared" si="203"/>
        <v>7940</v>
      </c>
      <c r="Q242" s="120">
        <f t="shared" si="203"/>
        <v>27320</v>
      </c>
      <c r="R242" s="120">
        <f aca="true" t="shared" si="204" ref="R242:W242">SUM(R243:R248)</f>
        <v>0</v>
      </c>
      <c r="S242" s="120">
        <f t="shared" si="204"/>
        <v>27320</v>
      </c>
      <c r="T242" s="120">
        <f t="shared" si="204"/>
        <v>-1650</v>
      </c>
      <c r="U242" s="120">
        <f t="shared" si="204"/>
        <v>25670</v>
      </c>
      <c r="V242" s="120">
        <f t="shared" si="204"/>
        <v>0</v>
      </c>
      <c r="W242" s="120">
        <f t="shared" si="204"/>
        <v>25670</v>
      </c>
      <c r="X242" s="120">
        <f>SUM(X243:X248)</f>
        <v>0</v>
      </c>
      <c r="Y242" s="120">
        <f>SUM(Y243:Y248)</f>
        <v>25670</v>
      </c>
    </row>
    <row r="243" spans="1:25" s="17" customFormat="1" ht="21.75" customHeight="1">
      <c r="A243" s="128"/>
      <c r="B243" s="128"/>
      <c r="C243" s="127"/>
      <c r="D243" s="122" t="s">
        <v>333</v>
      </c>
      <c r="E243" s="123">
        <v>4930</v>
      </c>
      <c r="F243" s="123"/>
      <c r="G243" s="123">
        <f>SUM(E243:F243)</f>
        <v>4930</v>
      </c>
      <c r="H243" s="123"/>
      <c r="I243" s="123">
        <f>SUM(G243:H243)</f>
        <v>4930</v>
      </c>
      <c r="J243" s="123">
        <v>2000</v>
      </c>
      <c r="K243" s="123">
        <f>SUM(I243:J243)</f>
        <v>6930</v>
      </c>
      <c r="L243" s="123"/>
      <c r="M243" s="123">
        <f>SUM(K243:L243)</f>
        <v>6930</v>
      </c>
      <c r="N243" s="123"/>
      <c r="O243" s="123">
        <f>SUM(M243:N243)</f>
        <v>6930</v>
      </c>
      <c r="P243" s="123">
        <v>1000</v>
      </c>
      <c r="Q243" s="123">
        <f aca="true" t="shared" si="205" ref="Q243:Q248">SUM(O243:P243)</f>
        <v>7930</v>
      </c>
      <c r="R243" s="123"/>
      <c r="S243" s="123">
        <f aca="true" t="shared" si="206" ref="S243:S248">SUM(Q243:R243)</f>
        <v>7930</v>
      </c>
      <c r="T243" s="123"/>
      <c r="U243" s="123">
        <f aca="true" t="shared" si="207" ref="U243:U248">SUM(S243:T243)</f>
        <v>7930</v>
      </c>
      <c r="V243" s="123"/>
      <c r="W243" s="123">
        <f aca="true" t="shared" si="208" ref="W243:W248">SUM(U243:V243)</f>
        <v>7930</v>
      </c>
      <c r="X243" s="123"/>
      <c r="Y243" s="123">
        <f aca="true" t="shared" si="209" ref="Y243:Y248">SUM(W243:X243)</f>
        <v>7930</v>
      </c>
    </row>
    <row r="244" spans="1:25" s="17" customFormat="1" ht="21.75" customHeight="1">
      <c r="A244" s="121"/>
      <c r="B244" s="121"/>
      <c r="C244" s="121"/>
      <c r="D244" s="122" t="s">
        <v>348</v>
      </c>
      <c r="E244" s="123">
        <v>5150</v>
      </c>
      <c r="F244" s="123"/>
      <c r="G244" s="123">
        <f>SUM(E244:F244)</f>
        <v>5150</v>
      </c>
      <c r="H244" s="123">
        <v>-2000</v>
      </c>
      <c r="I244" s="123">
        <f>SUM(G244:H244)</f>
        <v>3150</v>
      </c>
      <c r="J244" s="123"/>
      <c r="K244" s="123">
        <f>SUM(I244:J244)</f>
        <v>3150</v>
      </c>
      <c r="L244" s="123"/>
      <c r="M244" s="123">
        <f>SUM(K244:L244)</f>
        <v>3150</v>
      </c>
      <c r="N244" s="123">
        <v>-1500</v>
      </c>
      <c r="O244" s="123">
        <f>SUM(M244:N244)</f>
        <v>1650</v>
      </c>
      <c r="P244" s="123"/>
      <c r="Q244" s="123">
        <f t="shared" si="205"/>
        <v>1650</v>
      </c>
      <c r="R244" s="123"/>
      <c r="S244" s="123">
        <f t="shared" si="206"/>
        <v>1650</v>
      </c>
      <c r="T244" s="123">
        <v>-1650</v>
      </c>
      <c r="U244" s="123">
        <f t="shared" si="207"/>
        <v>0</v>
      </c>
      <c r="V244" s="123"/>
      <c r="W244" s="123">
        <f t="shared" si="208"/>
        <v>0</v>
      </c>
      <c r="X244" s="123"/>
      <c r="Y244" s="123">
        <f t="shared" si="209"/>
        <v>0</v>
      </c>
    </row>
    <row r="245" spans="1:25" s="17" customFormat="1" ht="21.75" customHeight="1">
      <c r="A245" s="121"/>
      <c r="B245" s="121"/>
      <c r="C245" s="121"/>
      <c r="D245" s="122" t="s">
        <v>336</v>
      </c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>
        <v>0</v>
      </c>
      <c r="P245" s="123">
        <v>6040</v>
      </c>
      <c r="Q245" s="123">
        <f t="shared" si="205"/>
        <v>6040</v>
      </c>
      <c r="R245" s="123"/>
      <c r="S245" s="123">
        <f t="shared" si="206"/>
        <v>6040</v>
      </c>
      <c r="T245" s="123"/>
      <c r="U245" s="123">
        <f t="shared" si="207"/>
        <v>6040</v>
      </c>
      <c r="V245" s="123"/>
      <c r="W245" s="123">
        <f t="shared" si="208"/>
        <v>6040</v>
      </c>
      <c r="X245" s="123"/>
      <c r="Y245" s="123">
        <f t="shared" si="209"/>
        <v>6040</v>
      </c>
    </row>
    <row r="246" spans="1:25" s="17" customFormat="1" ht="21.75" customHeight="1">
      <c r="A246" s="121"/>
      <c r="B246" s="121"/>
      <c r="C246" s="121"/>
      <c r="D246" s="122" t="s">
        <v>337</v>
      </c>
      <c r="E246" s="123">
        <v>5000</v>
      </c>
      <c r="F246" s="123"/>
      <c r="G246" s="123">
        <f>SUM(E246:F246)</f>
        <v>5000</v>
      </c>
      <c r="H246" s="123"/>
      <c r="I246" s="123">
        <f>SUM(G246:H246)</f>
        <v>5000</v>
      </c>
      <c r="J246" s="123"/>
      <c r="K246" s="123">
        <f>SUM(I246:J246)</f>
        <v>5000</v>
      </c>
      <c r="L246" s="123"/>
      <c r="M246" s="123">
        <f>SUM(K246:L246)</f>
        <v>5000</v>
      </c>
      <c r="N246" s="123"/>
      <c r="O246" s="123">
        <f>SUM(M246:N246)</f>
        <v>5000</v>
      </c>
      <c r="P246" s="123"/>
      <c r="Q246" s="123">
        <f t="shared" si="205"/>
        <v>5000</v>
      </c>
      <c r="R246" s="123"/>
      <c r="S246" s="123">
        <f t="shared" si="206"/>
        <v>5000</v>
      </c>
      <c r="T246" s="123"/>
      <c r="U246" s="123">
        <f t="shared" si="207"/>
        <v>5000</v>
      </c>
      <c r="V246" s="123"/>
      <c r="W246" s="123">
        <f t="shared" si="208"/>
        <v>5000</v>
      </c>
      <c r="X246" s="123"/>
      <c r="Y246" s="123">
        <f t="shared" si="209"/>
        <v>5000</v>
      </c>
    </row>
    <row r="247" spans="1:25" s="17" customFormat="1" ht="21.75" customHeight="1">
      <c r="A247" s="121"/>
      <c r="B247" s="121"/>
      <c r="C247" s="121"/>
      <c r="D247" s="122" t="s">
        <v>351</v>
      </c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>
        <v>0</v>
      </c>
      <c r="P247" s="123">
        <v>900</v>
      </c>
      <c r="Q247" s="123">
        <f t="shared" si="205"/>
        <v>900</v>
      </c>
      <c r="R247" s="123"/>
      <c r="S247" s="123">
        <f t="shared" si="206"/>
        <v>900</v>
      </c>
      <c r="T247" s="123"/>
      <c r="U247" s="123">
        <f t="shared" si="207"/>
        <v>900</v>
      </c>
      <c r="V247" s="123"/>
      <c r="W247" s="123">
        <f t="shared" si="208"/>
        <v>900</v>
      </c>
      <c r="X247" s="123"/>
      <c r="Y247" s="123">
        <f t="shared" si="209"/>
        <v>900</v>
      </c>
    </row>
    <row r="248" spans="1:25" s="17" customFormat="1" ht="21.75" customHeight="1">
      <c r="A248" s="121"/>
      <c r="B248" s="121"/>
      <c r="C248" s="121"/>
      <c r="D248" s="122" t="s">
        <v>352</v>
      </c>
      <c r="E248" s="123">
        <v>5800</v>
      </c>
      <c r="F248" s="123"/>
      <c r="G248" s="123">
        <f>SUM(E248:F248)</f>
        <v>5800</v>
      </c>
      <c r="H248" s="123"/>
      <c r="I248" s="123">
        <f>SUM(G248:H248)</f>
        <v>5800</v>
      </c>
      <c r="J248" s="123"/>
      <c r="K248" s="123">
        <f>SUM(I248:J248)</f>
        <v>5800</v>
      </c>
      <c r="L248" s="123"/>
      <c r="M248" s="123">
        <f>SUM(K248:L248)</f>
        <v>5800</v>
      </c>
      <c r="N248" s="123"/>
      <c r="O248" s="123">
        <f>SUM(M248:N248)</f>
        <v>5800</v>
      </c>
      <c r="P248" s="123"/>
      <c r="Q248" s="123">
        <f t="shared" si="205"/>
        <v>5800</v>
      </c>
      <c r="R248" s="123"/>
      <c r="S248" s="123">
        <f t="shared" si="206"/>
        <v>5800</v>
      </c>
      <c r="T248" s="123"/>
      <c r="U248" s="123">
        <f t="shared" si="207"/>
        <v>5800</v>
      </c>
      <c r="V248" s="123"/>
      <c r="W248" s="123">
        <f t="shared" si="208"/>
        <v>5800</v>
      </c>
      <c r="X248" s="123"/>
      <c r="Y248" s="123">
        <f t="shared" si="209"/>
        <v>5800</v>
      </c>
    </row>
    <row r="249" spans="1:25" s="15" customFormat="1" ht="17.25" customHeight="1">
      <c r="A249" s="117"/>
      <c r="B249" s="117"/>
      <c r="C249" s="118">
        <v>4300</v>
      </c>
      <c r="D249" s="131" t="s">
        <v>69</v>
      </c>
      <c r="E249" s="120">
        <f aca="true" t="shared" si="210" ref="E249:Q249">SUM(E250:E255)</f>
        <v>9845</v>
      </c>
      <c r="F249" s="120">
        <f t="shared" si="210"/>
        <v>0</v>
      </c>
      <c r="G249" s="120">
        <f t="shared" si="210"/>
        <v>9845</v>
      </c>
      <c r="H249" s="120">
        <f t="shared" si="210"/>
        <v>170</v>
      </c>
      <c r="I249" s="120">
        <f t="shared" si="210"/>
        <v>10015</v>
      </c>
      <c r="J249" s="120">
        <f t="shared" si="210"/>
        <v>518</v>
      </c>
      <c r="K249" s="120">
        <f t="shared" si="210"/>
        <v>10533</v>
      </c>
      <c r="L249" s="120">
        <f t="shared" si="210"/>
        <v>0</v>
      </c>
      <c r="M249" s="120">
        <f t="shared" si="210"/>
        <v>10533</v>
      </c>
      <c r="N249" s="120">
        <f t="shared" si="210"/>
        <v>-510</v>
      </c>
      <c r="O249" s="120">
        <f t="shared" si="210"/>
        <v>10023</v>
      </c>
      <c r="P249" s="120">
        <f t="shared" si="210"/>
        <v>-9075</v>
      </c>
      <c r="Q249" s="120">
        <f t="shared" si="210"/>
        <v>948</v>
      </c>
      <c r="R249" s="120">
        <f aca="true" t="shared" si="211" ref="R249:W249">SUM(R250:R255)</f>
        <v>0</v>
      </c>
      <c r="S249" s="120">
        <f t="shared" si="211"/>
        <v>948</v>
      </c>
      <c r="T249" s="120">
        <f t="shared" si="211"/>
        <v>0</v>
      </c>
      <c r="U249" s="120">
        <f t="shared" si="211"/>
        <v>948</v>
      </c>
      <c r="V249" s="120">
        <f t="shared" si="211"/>
        <v>0</v>
      </c>
      <c r="W249" s="120">
        <f t="shared" si="211"/>
        <v>948</v>
      </c>
      <c r="X249" s="120">
        <f>SUM(X250:X255)</f>
        <v>0</v>
      </c>
      <c r="Y249" s="120">
        <f>SUM(Y250:Y255)</f>
        <v>948</v>
      </c>
    </row>
    <row r="250" spans="1:25" s="15" customFormat="1" ht="21.75" customHeight="1">
      <c r="A250" s="121"/>
      <c r="B250" s="121"/>
      <c r="C250" s="121"/>
      <c r="D250" s="122" t="s">
        <v>336</v>
      </c>
      <c r="E250" s="123">
        <v>350</v>
      </c>
      <c r="F250" s="123"/>
      <c r="G250" s="123">
        <f>SUM(E250:F250)</f>
        <v>350</v>
      </c>
      <c r="H250" s="123"/>
      <c r="I250" s="123">
        <f>SUM(G250:H250)</f>
        <v>350</v>
      </c>
      <c r="J250" s="123"/>
      <c r="K250" s="123">
        <f aca="true" t="shared" si="212" ref="K250:K255">SUM(I250:J250)</f>
        <v>350</v>
      </c>
      <c r="L250" s="123"/>
      <c r="M250" s="123">
        <f aca="true" t="shared" si="213" ref="M250:M255">SUM(K250:L250)</f>
        <v>350</v>
      </c>
      <c r="N250" s="123"/>
      <c r="O250" s="123">
        <f aca="true" t="shared" si="214" ref="O250:O255">SUM(M250:N250)</f>
        <v>350</v>
      </c>
      <c r="P250" s="123"/>
      <c r="Q250" s="123">
        <f aca="true" t="shared" si="215" ref="Q250:Q255">SUM(O250:P250)</f>
        <v>350</v>
      </c>
      <c r="R250" s="123"/>
      <c r="S250" s="123">
        <f aca="true" t="shared" si="216" ref="S250:S255">SUM(Q250:R250)</f>
        <v>350</v>
      </c>
      <c r="T250" s="123"/>
      <c r="U250" s="123">
        <f aca="true" t="shared" si="217" ref="U250:U255">SUM(S250:T250)</f>
        <v>350</v>
      </c>
      <c r="V250" s="123"/>
      <c r="W250" s="123">
        <f aca="true" t="shared" si="218" ref="W250:W255">SUM(U250:V250)</f>
        <v>350</v>
      </c>
      <c r="X250" s="123"/>
      <c r="Y250" s="123">
        <f aca="true" t="shared" si="219" ref="Y250:Y255">SUM(W250:X250)</f>
        <v>350</v>
      </c>
    </row>
    <row r="251" spans="1:25" s="15" customFormat="1" ht="21.75" customHeight="1">
      <c r="A251" s="121"/>
      <c r="B251" s="121"/>
      <c r="C251" s="121"/>
      <c r="D251" s="122" t="s">
        <v>334</v>
      </c>
      <c r="E251" s="123"/>
      <c r="F251" s="123"/>
      <c r="G251" s="123">
        <v>0</v>
      </c>
      <c r="H251" s="123">
        <v>170</v>
      </c>
      <c r="I251" s="123">
        <f>SUM(G251:H251)</f>
        <v>170</v>
      </c>
      <c r="J251" s="123"/>
      <c r="K251" s="123">
        <f t="shared" si="212"/>
        <v>170</v>
      </c>
      <c r="L251" s="123"/>
      <c r="M251" s="123">
        <f t="shared" si="213"/>
        <v>170</v>
      </c>
      <c r="N251" s="123"/>
      <c r="O251" s="123">
        <f t="shared" si="214"/>
        <v>170</v>
      </c>
      <c r="P251" s="123"/>
      <c r="Q251" s="123">
        <f t="shared" si="215"/>
        <v>170</v>
      </c>
      <c r="R251" s="123"/>
      <c r="S251" s="123">
        <f t="shared" si="216"/>
        <v>170</v>
      </c>
      <c r="T251" s="123"/>
      <c r="U251" s="123">
        <f t="shared" si="217"/>
        <v>170</v>
      </c>
      <c r="V251" s="123"/>
      <c r="W251" s="123">
        <f t="shared" si="218"/>
        <v>170</v>
      </c>
      <c r="X251" s="123"/>
      <c r="Y251" s="123">
        <f t="shared" si="219"/>
        <v>170</v>
      </c>
    </row>
    <row r="252" spans="1:25" s="72" customFormat="1" ht="21.75" customHeight="1">
      <c r="A252" s="124"/>
      <c r="B252" s="124"/>
      <c r="C252" s="124"/>
      <c r="D252" s="125" t="s">
        <v>346</v>
      </c>
      <c r="E252" s="123">
        <v>4000</v>
      </c>
      <c r="F252" s="123"/>
      <c r="G252" s="123">
        <f>SUM(E252:F252)</f>
        <v>4000</v>
      </c>
      <c r="H252" s="123"/>
      <c r="I252" s="123">
        <f>SUM(G252:H252)</f>
        <v>4000</v>
      </c>
      <c r="J252" s="123"/>
      <c r="K252" s="123">
        <f t="shared" si="212"/>
        <v>4000</v>
      </c>
      <c r="L252" s="123"/>
      <c r="M252" s="123">
        <f t="shared" si="213"/>
        <v>4000</v>
      </c>
      <c r="N252" s="123"/>
      <c r="O252" s="123">
        <f t="shared" si="214"/>
        <v>4000</v>
      </c>
      <c r="P252" s="123">
        <v>-4000</v>
      </c>
      <c r="Q252" s="123">
        <f t="shared" si="215"/>
        <v>0</v>
      </c>
      <c r="R252" s="123"/>
      <c r="S252" s="123">
        <f t="shared" si="216"/>
        <v>0</v>
      </c>
      <c r="T252" s="123"/>
      <c r="U252" s="123">
        <f t="shared" si="217"/>
        <v>0</v>
      </c>
      <c r="V252" s="123"/>
      <c r="W252" s="123">
        <f t="shared" si="218"/>
        <v>0</v>
      </c>
      <c r="X252" s="123"/>
      <c r="Y252" s="123">
        <f t="shared" si="219"/>
        <v>0</v>
      </c>
    </row>
    <row r="253" spans="1:25" s="72" customFormat="1" ht="21.75" customHeight="1">
      <c r="A253" s="124"/>
      <c r="B253" s="124"/>
      <c r="C253" s="124"/>
      <c r="D253" s="125" t="s">
        <v>340</v>
      </c>
      <c r="E253" s="123"/>
      <c r="F253" s="123"/>
      <c r="G253" s="123"/>
      <c r="H253" s="123"/>
      <c r="I253" s="123">
        <v>0</v>
      </c>
      <c r="J253" s="123">
        <v>258</v>
      </c>
      <c r="K253" s="123">
        <f t="shared" si="212"/>
        <v>258</v>
      </c>
      <c r="L253" s="123"/>
      <c r="M253" s="123">
        <f t="shared" si="213"/>
        <v>258</v>
      </c>
      <c r="N253" s="123"/>
      <c r="O253" s="123">
        <f t="shared" si="214"/>
        <v>258</v>
      </c>
      <c r="P253" s="123">
        <v>-90</v>
      </c>
      <c r="Q253" s="123">
        <f t="shared" si="215"/>
        <v>168</v>
      </c>
      <c r="R253" s="123"/>
      <c r="S253" s="123">
        <f t="shared" si="216"/>
        <v>168</v>
      </c>
      <c r="T253" s="123"/>
      <c r="U253" s="123">
        <f t="shared" si="217"/>
        <v>168</v>
      </c>
      <c r="V253" s="123"/>
      <c r="W253" s="123">
        <f t="shared" si="218"/>
        <v>168</v>
      </c>
      <c r="X253" s="123"/>
      <c r="Y253" s="123">
        <f t="shared" si="219"/>
        <v>168</v>
      </c>
    </row>
    <row r="254" spans="1:25" s="72" customFormat="1" ht="21.75" customHeight="1">
      <c r="A254" s="124"/>
      <c r="B254" s="124"/>
      <c r="C254" s="124"/>
      <c r="D254" s="125" t="s">
        <v>333</v>
      </c>
      <c r="E254" s="123"/>
      <c r="F254" s="123"/>
      <c r="G254" s="123"/>
      <c r="H254" s="123"/>
      <c r="I254" s="123">
        <v>0</v>
      </c>
      <c r="J254" s="123">
        <v>260</v>
      </c>
      <c r="K254" s="123">
        <f t="shared" si="212"/>
        <v>260</v>
      </c>
      <c r="L254" s="123"/>
      <c r="M254" s="123">
        <f t="shared" si="213"/>
        <v>260</v>
      </c>
      <c r="N254" s="123"/>
      <c r="O254" s="123">
        <f t="shared" si="214"/>
        <v>260</v>
      </c>
      <c r="P254" s="123"/>
      <c r="Q254" s="123">
        <f t="shared" si="215"/>
        <v>260</v>
      </c>
      <c r="R254" s="123"/>
      <c r="S254" s="123">
        <f t="shared" si="216"/>
        <v>260</v>
      </c>
      <c r="T254" s="123"/>
      <c r="U254" s="123">
        <f t="shared" si="217"/>
        <v>260</v>
      </c>
      <c r="V254" s="123"/>
      <c r="W254" s="123">
        <f t="shared" si="218"/>
        <v>260</v>
      </c>
      <c r="X254" s="123"/>
      <c r="Y254" s="123">
        <f t="shared" si="219"/>
        <v>260</v>
      </c>
    </row>
    <row r="255" spans="1:25" s="72" customFormat="1" ht="21.75" customHeight="1">
      <c r="A255" s="124"/>
      <c r="B255" s="124"/>
      <c r="C255" s="124"/>
      <c r="D255" s="125" t="s">
        <v>338</v>
      </c>
      <c r="E255" s="123">
        <v>5495</v>
      </c>
      <c r="F255" s="123"/>
      <c r="G255" s="123">
        <f>SUM(E255:F255)</f>
        <v>5495</v>
      </c>
      <c r="H255" s="123"/>
      <c r="I255" s="123">
        <f>SUM(G255:H255)</f>
        <v>5495</v>
      </c>
      <c r="J255" s="123"/>
      <c r="K255" s="123">
        <f t="shared" si="212"/>
        <v>5495</v>
      </c>
      <c r="L255" s="123"/>
      <c r="M255" s="123">
        <f t="shared" si="213"/>
        <v>5495</v>
      </c>
      <c r="N255" s="123">
        <v>-510</v>
      </c>
      <c r="O255" s="123">
        <f t="shared" si="214"/>
        <v>4985</v>
      </c>
      <c r="P255" s="123">
        <v>-4985</v>
      </c>
      <c r="Q255" s="123">
        <f t="shared" si="215"/>
        <v>0</v>
      </c>
      <c r="R255" s="123"/>
      <c r="S255" s="123">
        <f t="shared" si="216"/>
        <v>0</v>
      </c>
      <c r="T255" s="123"/>
      <c r="U255" s="123">
        <f t="shared" si="217"/>
        <v>0</v>
      </c>
      <c r="V255" s="123"/>
      <c r="W255" s="123">
        <f t="shared" si="218"/>
        <v>0</v>
      </c>
      <c r="X255" s="123"/>
      <c r="Y255" s="123">
        <f t="shared" si="219"/>
        <v>0</v>
      </c>
    </row>
    <row r="256" spans="1:25" s="15" customFormat="1" ht="18" customHeight="1">
      <c r="A256" s="117"/>
      <c r="B256" s="117"/>
      <c r="C256" s="118">
        <v>4430</v>
      </c>
      <c r="D256" s="131" t="s">
        <v>84</v>
      </c>
      <c r="E256" s="120">
        <f aca="true" t="shared" si="220" ref="E256:Q256">SUM(E257:E272)</f>
        <v>1485</v>
      </c>
      <c r="F256" s="120">
        <f t="shared" si="220"/>
        <v>0</v>
      </c>
      <c r="G256" s="120">
        <f t="shared" si="220"/>
        <v>1485</v>
      </c>
      <c r="H256" s="120">
        <f t="shared" si="220"/>
        <v>0</v>
      </c>
      <c r="I256" s="120">
        <f t="shared" si="220"/>
        <v>1485</v>
      </c>
      <c r="J256" s="120">
        <f t="shared" si="220"/>
        <v>0</v>
      </c>
      <c r="K256" s="120">
        <f t="shared" si="220"/>
        <v>1485</v>
      </c>
      <c r="L256" s="120">
        <f t="shared" si="220"/>
        <v>0</v>
      </c>
      <c r="M256" s="120">
        <f t="shared" si="220"/>
        <v>1485</v>
      </c>
      <c r="N256" s="120">
        <f t="shared" si="220"/>
        <v>0</v>
      </c>
      <c r="O256" s="120">
        <f t="shared" si="220"/>
        <v>1485</v>
      </c>
      <c r="P256" s="120">
        <f t="shared" si="220"/>
        <v>0</v>
      </c>
      <c r="Q256" s="120">
        <f t="shared" si="220"/>
        <v>1485</v>
      </c>
      <c r="R256" s="120">
        <f aca="true" t="shared" si="221" ref="R256:W256">SUM(R257:R272)</f>
        <v>0</v>
      </c>
      <c r="S256" s="120">
        <f t="shared" si="221"/>
        <v>1485</v>
      </c>
      <c r="T256" s="120">
        <f t="shared" si="221"/>
        <v>-69</v>
      </c>
      <c r="U256" s="120">
        <f t="shared" si="221"/>
        <v>1416</v>
      </c>
      <c r="V256" s="120">
        <f t="shared" si="221"/>
        <v>0</v>
      </c>
      <c r="W256" s="120">
        <f t="shared" si="221"/>
        <v>1416</v>
      </c>
      <c r="X256" s="120">
        <f>SUM(X257:X272)</f>
        <v>0</v>
      </c>
      <c r="Y256" s="120">
        <f>SUM(Y257:Y272)</f>
        <v>1416</v>
      </c>
    </row>
    <row r="257" spans="1:25" s="15" customFormat="1" ht="21.75" customHeight="1">
      <c r="A257" s="121"/>
      <c r="B257" s="121"/>
      <c r="C257" s="121"/>
      <c r="D257" s="122" t="s">
        <v>343</v>
      </c>
      <c r="E257" s="123">
        <v>220</v>
      </c>
      <c r="F257" s="123"/>
      <c r="G257" s="123">
        <f aca="true" t="shared" si="222" ref="G257:G272">SUM(E257:F257)</f>
        <v>220</v>
      </c>
      <c r="H257" s="123"/>
      <c r="I257" s="123">
        <f aca="true" t="shared" si="223" ref="I257:I272">SUM(G257:H257)</f>
        <v>220</v>
      </c>
      <c r="J257" s="123"/>
      <c r="K257" s="123">
        <f aca="true" t="shared" si="224" ref="K257:K272">SUM(I257:J257)</f>
        <v>220</v>
      </c>
      <c r="L257" s="123"/>
      <c r="M257" s="123">
        <f aca="true" t="shared" si="225" ref="M257:M272">SUM(K257:L257)</f>
        <v>220</v>
      </c>
      <c r="N257" s="123"/>
      <c r="O257" s="123">
        <f aca="true" t="shared" si="226" ref="O257:O272">SUM(M257:N257)</f>
        <v>220</v>
      </c>
      <c r="P257" s="123"/>
      <c r="Q257" s="123">
        <f aca="true" t="shared" si="227" ref="Q257:Q272">SUM(O257:P257)</f>
        <v>220</v>
      </c>
      <c r="R257" s="123"/>
      <c r="S257" s="123">
        <f aca="true" t="shared" si="228" ref="S257:S272">SUM(Q257:R257)</f>
        <v>220</v>
      </c>
      <c r="T257" s="123">
        <v>-40</v>
      </c>
      <c r="U257" s="123">
        <f aca="true" t="shared" si="229" ref="U257:U272">SUM(S257:T257)</f>
        <v>180</v>
      </c>
      <c r="V257" s="123"/>
      <c r="W257" s="123">
        <f aca="true" t="shared" si="230" ref="W257:W272">SUM(U257:V257)</f>
        <v>180</v>
      </c>
      <c r="X257" s="123"/>
      <c r="Y257" s="123">
        <f aca="true" t="shared" si="231" ref="Y257:Y272">SUM(W257:X257)</f>
        <v>180</v>
      </c>
    </row>
    <row r="258" spans="1:25" s="15" customFormat="1" ht="21.75" customHeight="1">
      <c r="A258" s="121"/>
      <c r="B258" s="121"/>
      <c r="C258" s="121"/>
      <c r="D258" s="122" t="s">
        <v>344</v>
      </c>
      <c r="E258" s="123">
        <v>120</v>
      </c>
      <c r="F258" s="123"/>
      <c r="G258" s="123">
        <f t="shared" si="222"/>
        <v>120</v>
      </c>
      <c r="H258" s="123"/>
      <c r="I258" s="123">
        <f t="shared" si="223"/>
        <v>120</v>
      </c>
      <c r="J258" s="123"/>
      <c r="K258" s="123">
        <f t="shared" si="224"/>
        <v>120</v>
      </c>
      <c r="L258" s="123"/>
      <c r="M258" s="123">
        <f t="shared" si="225"/>
        <v>120</v>
      </c>
      <c r="N258" s="123"/>
      <c r="O258" s="123">
        <f t="shared" si="226"/>
        <v>120</v>
      </c>
      <c r="P258" s="123"/>
      <c r="Q258" s="123">
        <f t="shared" si="227"/>
        <v>120</v>
      </c>
      <c r="R258" s="123"/>
      <c r="S258" s="123">
        <f t="shared" si="228"/>
        <v>120</v>
      </c>
      <c r="T258" s="123"/>
      <c r="U258" s="123">
        <f t="shared" si="229"/>
        <v>120</v>
      </c>
      <c r="V258" s="123"/>
      <c r="W258" s="123">
        <f t="shared" si="230"/>
        <v>120</v>
      </c>
      <c r="X258" s="123"/>
      <c r="Y258" s="123">
        <f t="shared" si="231"/>
        <v>120</v>
      </c>
    </row>
    <row r="259" spans="1:25" s="15" customFormat="1" ht="21.75" customHeight="1">
      <c r="A259" s="121"/>
      <c r="B259" s="121"/>
      <c r="C259" s="121"/>
      <c r="D259" s="122" t="s">
        <v>333</v>
      </c>
      <c r="E259" s="123">
        <v>100</v>
      </c>
      <c r="F259" s="123"/>
      <c r="G259" s="123">
        <f t="shared" si="222"/>
        <v>100</v>
      </c>
      <c r="H259" s="123"/>
      <c r="I259" s="123">
        <f t="shared" si="223"/>
        <v>100</v>
      </c>
      <c r="J259" s="123"/>
      <c r="K259" s="123">
        <f t="shared" si="224"/>
        <v>100</v>
      </c>
      <c r="L259" s="123"/>
      <c r="M259" s="123">
        <f t="shared" si="225"/>
        <v>100</v>
      </c>
      <c r="N259" s="123"/>
      <c r="O259" s="123">
        <f t="shared" si="226"/>
        <v>100</v>
      </c>
      <c r="P259" s="123"/>
      <c r="Q259" s="123">
        <f t="shared" si="227"/>
        <v>100</v>
      </c>
      <c r="R259" s="123"/>
      <c r="S259" s="123">
        <f t="shared" si="228"/>
        <v>100</v>
      </c>
      <c r="T259" s="123"/>
      <c r="U259" s="123">
        <f t="shared" si="229"/>
        <v>100</v>
      </c>
      <c r="V259" s="123"/>
      <c r="W259" s="123">
        <f t="shared" si="230"/>
        <v>100</v>
      </c>
      <c r="X259" s="123"/>
      <c r="Y259" s="123">
        <f t="shared" si="231"/>
        <v>100</v>
      </c>
    </row>
    <row r="260" spans="1:25" s="15" customFormat="1" ht="21.75" customHeight="1">
      <c r="A260" s="121"/>
      <c r="B260" s="121"/>
      <c r="C260" s="121"/>
      <c r="D260" s="122" t="s">
        <v>345</v>
      </c>
      <c r="E260" s="123">
        <v>100</v>
      </c>
      <c r="F260" s="123"/>
      <c r="G260" s="123">
        <f t="shared" si="222"/>
        <v>100</v>
      </c>
      <c r="H260" s="123"/>
      <c r="I260" s="123">
        <f t="shared" si="223"/>
        <v>100</v>
      </c>
      <c r="J260" s="123"/>
      <c r="K260" s="123">
        <f t="shared" si="224"/>
        <v>100</v>
      </c>
      <c r="L260" s="123"/>
      <c r="M260" s="123">
        <f t="shared" si="225"/>
        <v>100</v>
      </c>
      <c r="N260" s="123"/>
      <c r="O260" s="123">
        <f t="shared" si="226"/>
        <v>100</v>
      </c>
      <c r="P260" s="123"/>
      <c r="Q260" s="123">
        <f t="shared" si="227"/>
        <v>100</v>
      </c>
      <c r="R260" s="123"/>
      <c r="S260" s="123">
        <f t="shared" si="228"/>
        <v>100</v>
      </c>
      <c r="T260" s="123"/>
      <c r="U260" s="123">
        <f t="shared" si="229"/>
        <v>100</v>
      </c>
      <c r="V260" s="123"/>
      <c r="W260" s="123">
        <f t="shared" si="230"/>
        <v>100</v>
      </c>
      <c r="X260" s="123"/>
      <c r="Y260" s="123">
        <f t="shared" si="231"/>
        <v>100</v>
      </c>
    </row>
    <row r="261" spans="1:25" s="15" customFormat="1" ht="21.75" customHeight="1">
      <c r="A261" s="121"/>
      <c r="B261" s="121"/>
      <c r="C261" s="121"/>
      <c r="D261" s="122" t="s">
        <v>334</v>
      </c>
      <c r="E261" s="123">
        <v>80</v>
      </c>
      <c r="F261" s="123"/>
      <c r="G261" s="123">
        <f t="shared" si="222"/>
        <v>80</v>
      </c>
      <c r="H261" s="123"/>
      <c r="I261" s="123">
        <f t="shared" si="223"/>
        <v>80</v>
      </c>
      <c r="J261" s="123"/>
      <c r="K261" s="123">
        <f t="shared" si="224"/>
        <v>80</v>
      </c>
      <c r="L261" s="123"/>
      <c r="M261" s="123">
        <f t="shared" si="225"/>
        <v>80</v>
      </c>
      <c r="N261" s="123"/>
      <c r="O261" s="123">
        <f t="shared" si="226"/>
        <v>80</v>
      </c>
      <c r="P261" s="123"/>
      <c r="Q261" s="123">
        <f t="shared" si="227"/>
        <v>80</v>
      </c>
      <c r="R261" s="123"/>
      <c r="S261" s="123">
        <f t="shared" si="228"/>
        <v>80</v>
      </c>
      <c r="T261" s="123"/>
      <c r="U261" s="123">
        <f t="shared" si="229"/>
        <v>80</v>
      </c>
      <c r="V261" s="123"/>
      <c r="W261" s="123">
        <f t="shared" si="230"/>
        <v>80</v>
      </c>
      <c r="X261" s="123"/>
      <c r="Y261" s="123">
        <f t="shared" si="231"/>
        <v>80</v>
      </c>
    </row>
    <row r="262" spans="1:25" s="15" customFormat="1" ht="21.75" customHeight="1">
      <c r="A262" s="121"/>
      <c r="B262" s="121"/>
      <c r="C262" s="121"/>
      <c r="D262" s="122" t="s">
        <v>335</v>
      </c>
      <c r="E262" s="123">
        <v>100</v>
      </c>
      <c r="F262" s="123"/>
      <c r="G262" s="123">
        <f t="shared" si="222"/>
        <v>100</v>
      </c>
      <c r="H262" s="123"/>
      <c r="I262" s="123">
        <f t="shared" si="223"/>
        <v>100</v>
      </c>
      <c r="J262" s="123"/>
      <c r="K262" s="123">
        <f t="shared" si="224"/>
        <v>100</v>
      </c>
      <c r="L262" s="123"/>
      <c r="M262" s="123">
        <f t="shared" si="225"/>
        <v>100</v>
      </c>
      <c r="N262" s="123"/>
      <c r="O262" s="123">
        <f t="shared" si="226"/>
        <v>100</v>
      </c>
      <c r="P262" s="123"/>
      <c r="Q262" s="123">
        <f t="shared" si="227"/>
        <v>100</v>
      </c>
      <c r="R262" s="123"/>
      <c r="S262" s="123">
        <f t="shared" si="228"/>
        <v>100</v>
      </c>
      <c r="T262" s="123"/>
      <c r="U262" s="123">
        <f t="shared" si="229"/>
        <v>100</v>
      </c>
      <c r="V262" s="123"/>
      <c r="W262" s="123">
        <f t="shared" si="230"/>
        <v>100</v>
      </c>
      <c r="X262" s="123"/>
      <c r="Y262" s="123">
        <f t="shared" si="231"/>
        <v>100</v>
      </c>
    </row>
    <row r="263" spans="1:25" s="15" customFormat="1" ht="21.75" customHeight="1">
      <c r="A263" s="121"/>
      <c r="B263" s="121"/>
      <c r="C263" s="121"/>
      <c r="D263" s="122" t="s">
        <v>336</v>
      </c>
      <c r="E263" s="123">
        <v>60</v>
      </c>
      <c r="F263" s="123"/>
      <c r="G263" s="123">
        <f t="shared" si="222"/>
        <v>60</v>
      </c>
      <c r="H263" s="123"/>
      <c r="I263" s="123">
        <f t="shared" si="223"/>
        <v>60</v>
      </c>
      <c r="J263" s="123"/>
      <c r="K263" s="123">
        <f t="shared" si="224"/>
        <v>60</v>
      </c>
      <c r="L263" s="123"/>
      <c r="M263" s="123">
        <f t="shared" si="225"/>
        <v>60</v>
      </c>
      <c r="N263" s="123"/>
      <c r="O263" s="123">
        <f t="shared" si="226"/>
        <v>60</v>
      </c>
      <c r="P263" s="123"/>
      <c r="Q263" s="123">
        <f t="shared" si="227"/>
        <v>60</v>
      </c>
      <c r="R263" s="123"/>
      <c r="S263" s="123">
        <f t="shared" si="228"/>
        <v>60</v>
      </c>
      <c r="T263" s="123"/>
      <c r="U263" s="123">
        <f t="shared" si="229"/>
        <v>60</v>
      </c>
      <c r="V263" s="123"/>
      <c r="W263" s="123">
        <f t="shared" si="230"/>
        <v>60</v>
      </c>
      <c r="X263" s="123"/>
      <c r="Y263" s="123">
        <f t="shared" si="231"/>
        <v>60</v>
      </c>
    </row>
    <row r="264" spans="1:25" s="15" customFormat="1" ht="21.75" customHeight="1">
      <c r="A264" s="121"/>
      <c r="B264" s="121"/>
      <c r="C264" s="121"/>
      <c r="D264" s="122" t="s">
        <v>346</v>
      </c>
      <c r="E264" s="123">
        <v>50</v>
      </c>
      <c r="F264" s="123"/>
      <c r="G264" s="123">
        <f t="shared" si="222"/>
        <v>50</v>
      </c>
      <c r="H264" s="123"/>
      <c r="I264" s="123">
        <f t="shared" si="223"/>
        <v>50</v>
      </c>
      <c r="J264" s="123"/>
      <c r="K264" s="123">
        <f t="shared" si="224"/>
        <v>50</v>
      </c>
      <c r="L264" s="123"/>
      <c r="M264" s="123">
        <f t="shared" si="225"/>
        <v>50</v>
      </c>
      <c r="N264" s="123"/>
      <c r="O264" s="123">
        <f t="shared" si="226"/>
        <v>50</v>
      </c>
      <c r="P264" s="123"/>
      <c r="Q264" s="123">
        <f t="shared" si="227"/>
        <v>50</v>
      </c>
      <c r="R264" s="123"/>
      <c r="S264" s="123">
        <f t="shared" si="228"/>
        <v>50</v>
      </c>
      <c r="T264" s="123"/>
      <c r="U264" s="123">
        <f t="shared" si="229"/>
        <v>50</v>
      </c>
      <c r="V264" s="123"/>
      <c r="W264" s="123">
        <f t="shared" si="230"/>
        <v>50</v>
      </c>
      <c r="X264" s="123"/>
      <c r="Y264" s="123">
        <f t="shared" si="231"/>
        <v>50</v>
      </c>
    </row>
    <row r="265" spans="1:25" s="15" customFormat="1" ht="21.75" customHeight="1">
      <c r="A265" s="121"/>
      <c r="B265" s="121"/>
      <c r="C265" s="121"/>
      <c r="D265" s="122" t="s">
        <v>337</v>
      </c>
      <c r="E265" s="123">
        <v>80</v>
      </c>
      <c r="F265" s="123"/>
      <c r="G265" s="123">
        <f t="shared" si="222"/>
        <v>80</v>
      </c>
      <c r="H265" s="123"/>
      <c r="I265" s="123">
        <f t="shared" si="223"/>
        <v>80</v>
      </c>
      <c r="J265" s="123"/>
      <c r="K265" s="123">
        <f t="shared" si="224"/>
        <v>80</v>
      </c>
      <c r="L265" s="123"/>
      <c r="M265" s="123">
        <f t="shared" si="225"/>
        <v>80</v>
      </c>
      <c r="N265" s="123"/>
      <c r="O265" s="123">
        <f t="shared" si="226"/>
        <v>80</v>
      </c>
      <c r="P265" s="123"/>
      <c r="Q265" s="123">
        <f t="shared" si="227"/>
        <v>80</v>
      </c>
      <c r="R265" s="123"/>
      <c r="S265" s="123">
        <f t="shared" si="228"/>
        <v>80</v>
      </c>
      <c r="T265" s="123"/>
      <c r="U265" s="123">
        <f t="shared" si="229"/>
        <v>80</v>
      </c>
      <c r="V265" s="123"/>
      <c r="W265" s="123">
        <f t="shared" si="230"/>
        <v>80</v>
      </c>
      <c r="X265" s="123"/>
      <c r="Y265" s="123">
        <f t="shared" si="231"/>
        <v>80</v>
      </c>
    </row>
    <row r="266" spans="1:25" s="15" customFormat="1" ht="21.75" customHeight="1">
      <c r="A266" s="121"/>
      <c r="B266" s="121"/>
      <c r="C266" s="121"/>
      <c r="D266" s="122" t="s">
        <v>338</v>
      </c>
      <c r="E266" s="123">
        <v>15</v>
      </c>
      <c r="F266" s="123"/>
      <c r="G266" s="123">
        <f t="shared" si="222"/>
        <v>15</v>
      </c>
      <c r="H266" s="123"/>
      <c r="I266" s="123">
        <f t="shared" si="223"/>
        <v>15</v>
      </c>
      <c r="J266" s="123"/>
      <c r="K266" s="123">
        <f t="shared" si="224"/>
        <v>15</v>
      </c>
      <c r="L266" s="123"/>
      <c r="M266" s="123">
        <f t="shared" si="225"/>
        <v>15</v>
      </c>
      <c r="N266" s="123"/>
      <c r="O266" s="123">
        <f t="shared" si="226"/>
        <v>15</v>
      </c>
      <c r="P266" s="123"/>
      <c r="Q266" s="123">
        <f t="shared" si="227"/>
        <v>15</v>
      </c>
      <c r="R266" s="123"/>
      <c r="S266" s="123">
        <f t="shared" si="228"/>
        <v>15</v>
      </c>
      <c r="T266" s="123"/>
      <c r="U266" s="123">
        <f t="shared" si="229"/>
        <v>15</v>
      </c>
      <c r="V266" s="123"/>
      <c r="W266" s="123">
        <f t="shared" si="230"/>
        <v>15</v>
      </c>
      <c r="X266" s="123"/>
      <c r="Y266" s="123">
        <f t="shared" si="231"/>
        <v>15</v>
      </c>
    </row>
    <row r="267" spans="1:25" s="15" customFormat="1" ht="21.75" customHeight="1">
      <c r="A267" s="121"/>
      <c r="B267" s="121"/>
      <c r="C267" s="121"/>
      <c r="D267" s="122" t="s">
        <v>340</v>
      </c>
      <c r="E267" s="123">
        <v>130</v>
      </c>
      <c r="F267" s="123"/>
      <c r="G267" s="123">
        <f t="shared" si="222"/>
        <v>130</v>
      </c>
      <c r="H267" s="123"/>
      <c r="I267" s="123">
        <f t="shared" si="223"/>
        <v>130</v>
      </c>
      <c r="J267" s="123"/>
      <c r="K267" s="123">
        <f t="shared" si="224"/>
        <v>130</v>
      </c>
      <c r="L267" s="123"/>
      <c r="M267" s="123">
        <f t="shared" si="225"/>
        <v>130</v>
      </c>
      <c r="N267" s="123"/>
      <c r="O267" s="123">
        <f t="shared" si="226"/>
        <v>130</v>
      </c>
      <c r="P267" s="123"/>
      <c r="Q267" s="123">
        <f t="shared" si="227"/>
        <v>130</v>
      </c>
      <c r="R267" s="123"/>
      <c r="S267" s="123">
        <f t="shared" si="228"/>
        <v>130</v>
      </c>
      <c r="T267" s="123"/>
      <c r="U267" s="123">
        <f t="shared" si="229"/>
        <v>130</v>
      </c>
      <c r="V267" s="123"/>
      <c r="W267" s="123">
        <f t="shared" si="230"/>
        <v>130</v>
      </c>
      <c r="X267" s="123"/>
      <c r="Y267" s="123">
        <f t="shared" si="231"/>
        <v>130</v>
      </c>
    </row>
    <row r="268" spans="1:25" s="15" customFormat="1" ht="21.75" customHeight="1">
      <c r="A268" s="121"/>
      <c r="B268" s="121"/>
      <c r="C268" s="121"/>
      <c r="D268" s="122" t="s">
        <v>347</v>
      </c>
      <c r="E268" s="123">
        <v>100</v>
      </c>
      <c r="F268" s="123"/>
      <c r="G268" s="123">
        <f t="shared" si="222"/>
        <v>100</v>
      </c>
      <c r="H268" s="123"/>
      <c r="I268" s="123">
        <f t="shared" si="223"/>
        <v>100</v>
      </c>
      <c r="J268" s="123"/>
      <c r="K268" s="123">
        <f t="shared" si="224"/>
        <v>100</v>
      </c>
      <c r="L268" s="123"/>
      <c r="M268" s="123">
        <f t="shared" si="225"/>
        <v>100</v>
      </c>
      <c r="N268" s="123"/>
      <c r="O268" s="123">
        <f t="shared" si="226"/>
        <v>100</v>
      </c>
      <c r="P268" s="123"/>
      <c r="Q268" s="123">
        <f t="shared" si="227"/>
        <v>100</v>
      </c>
      <c r="R268" s="123"/>
      <c r="S268" s="123">
        <f t="shared" si="228"/>
        <v>100</v>
      </c>
      <c r="T268" s="123">
        <v>-29</v>
      </c>
      <c r="U268" s="123">
        <f t="shared" si="229"/>
        <v>71</v>
      </c>
      <c r="V268" s="123"/>
      <c r="W268" s="123">
        <f t="shared" si="230"/>
        <v>71</v>
      </c>
      <c r="X268" s="123"/>
      <c r="Y268" s="123">
        <f t="shared" si="231"/>
        <v>71</v>
      </c>
    </row>
    <row r="269" spans="1:25" s="15" customFormat="1" ht="21.75" customHeight="1">
      <c r="A269" s="121"/>
      <c r="B269" s="121"/>
      <c r="C269" s="121"/>
      <c r="D269" s="122" t="s">
        <v>348</v>
      </c>
      <c r="E269" s="123">
        <v>80</v>
      </c>
      <c r="F269" s="123"/>
      <c r="G269" s="123">
        <f t="shared" si="222"/>
        <v>80</v>
      </c>
      <c r="H269" s="123"/>
      <c r="I269" s="123">
        <f t="shared" si="223"/>
        <v>80</v>
      </c>
      <c r="J269" s="123"/>
      <c r="K269" s="123">
        <f t="shared" si="224"/>
        <v>80</v>
      </c>
      <c r="L269" s="123"/>
      <c r="M269" s="123">
        <f t="shared" si="225"/>
        <v>80</v>
      </c>
      <c r="N269" s="123"/>
      <c r="O269" s="123">
        <f t="shared" si="226"/>
        <v>80</v>
      </c>
      <c r="P269" s="123"/>
      <c r="Q269" s="123">
        <f t="shared" si="227"/>
        <v>80</v>
      </c>
      <c r="R269" s="123"/>
      <c r="S269" s="123">
        <f t="shared" si="228"/>
        <v>80</v>
      </c>
      <c r="T269" s="123"/>
      <c r="U269" s="123">
        <f t="shared" si="229"/>
        <v>80</v>
      </c>
      <c r="V269" s="123"/>
      <c r="W269" s="123">
        <f t="shared" si="230"/>
        <v>80</v>
      </c>
      <c r="X269" s="123"/>
      <c r="Y269" s="123">
        <f t="shared" si="231"/>
        <v>80</v>
      </c>
    </row>
    <row r="270" spans="1:25" s="15" customFormat="1" ht="21.75" customHeight="1">
      <c r="A270" s="121"/>
      <c r="B270" s="121"/>
      <c r="C270" s="121"/>
      <c r="D270" s="122" t="s">
        <v>351</v>
      </c>
      <c r="E270" s="123">
        <v>100</v>
      </c>
      <c r="F270" s="123"/>
      <c r="G270" s="123">
        <f t="shared" si="222"/>
        <v>100</v>
      </c>
      <c r="H270" s="123"/>
      <c r="I270" s="123">
        <f t="shared" si="223"/>
        <v>100</v>
      </c>
      <c r="J270" s="123"/>
      <c r="K270" s="123">
        <f t="shared" si="224"/>
        <v>100</v>
      </c>
      <c r="L270" s="123"/>
      <c r="M270" s="123">
        <f t="shared" si="225"/>
        <v>100</v>
      </c>
      <c r="N270" s="123"/>
      <c r="O270" s="123">
        <f t="shared" si="226"/>
        <v>100</v>
      </c>
      <c r="P270" s="123"/>
      <c r="Q270" s="123">
        <f t="shared" si="227"/>
        <v>100</v>
      </c>
      <c r="R270" s="123"/>
      <c r="S270" s="123">
        <f t="shared" si="228"/>
        <v>100</v>
      </c>
      <c r="T270" s="123"/>
      <c r="U270" s="123">
        <f t="shared" si="229"/>
        <v>100</v>
      </c>
      <c r="V270" s="123"/>
      <c r="W270" s="123">
        <f t="shared" si="230"/>
        <v>100</v>
      </c>
      <c r="X270" s="123"/>
      <c r="Y270" s="123">
        <f t="shared" si="231"/>
        <v>100</v>
      </c>
    </row>
    <row r="271" spans="1:25" s="15" customFormat="1" ht="21.75" customHeight="1">
      <c r="A271" s="121"/>
      <c r="B271" s="121"/>
      <c r="C271" s="121"/>
      <c r="D271" s="122" t="s">
        <v>342</v>
      </c>
      <c r="E271" s="123">
        <v>50</v>
      </c>
      <c r="F271" s="123"/>
      <c r="G271" s="123">
        <f t="shared" si="222"/>
        <v>50</v>
      </c>
      <c r="H271" s="123"/>
      <c r="I271" s="123">
        <f t="shared" si="223"/>
        <v>50</v>
      </c>
      <c r="J271" s="123"/>
      <c r="K271" s="123">
        <f t="shared" si="224"/>
        <v>50</v>
      </c>
      <c r="L271" s="123"/>
      <c r="M271" s="123">
        <f t="shared" si="225"/>
        <v>50</v>
      </c>
      <c r="N271" s="123"/>
      <c r="O271" s="123">
        <f t="shared" si="226"/>
        <v>50</v>
      </c>
      <c r="P271" s="123"/>
      <c r="Q271" s="123">
        <f t="shared" si="227"/>
        <v>50</v>
      </c>
      <c r="R271" s="123"/>
      <c r="S271" s="123">
        <f t="shared" si="228"/>
        <v>50</v>
      </c>
      <c r="T271" s="123"/>
      <c r="U271" s="123">
        <f t="shared" si="229"/>
        <v>50</v>
      </c>
      <c r="V271" s="123"/>
      <c r="W271" s="123">
        <f t="shared" si="230"/>
        <v>50</v>
      </c>
      <c r="X271" s="123"/>
      <c r="Y271" s="123">
        <f t="shared" si="231"/>
        <v>50</v>
      </c>
    </row>
    <row r="272" spans="1:25" s="15" customFormat="1" ht="21.75" customHeight="1">
      <c r="A272" s="121"/>
      <c r="B272" s="121"/>
      <c r="C272" s="121"/>
      <c r="D272" s="122" t="s">
        <v>352</v>
      </c>
      <c r="E272" s="123">
        <v>100</v>
      </c>
      <c r="F272" s="123"/>
      <c r="G272" s="123">
        <f t="shared" si="222"/>
        <v>100</v>
      </c>
      <c r="H272" s="123"/>
      <c r="I272" s="123">
        <f t="shared" si="223"/>
        <v>100</v>
      </c>
      <c r="J272" s="123"/>
      <c r="K272" s="123">
        <f t="shared" si="224"/>
        <v>100</v>
      </c>
      <c r="L272" s="123"/>
      <c r="M272" s="123">
        <f t="shared" si="225"/>
        <v>100</v>
      </c>
      <c r="N272" s="123"/>
      <c r="O272" s="123">
        <f t="shared" si="226"/>
        <v>100</v>
      </c>
      <c r="P272" s="123"/>
      <c r="Q272" s="123">
        <f t="shared" si="227"/>
        <v>100</v>
      </c>
      <c r="R272" s="123"/>
      <c r="S272" s="123">
        <f t="shared" si="228"/>
        <v>100</v>
      </c>
      <c r="T272" s="123"/>
      <c r="U272" s="123">
        <f t="shared" si="229"/>
        <v>100</v>
      </c>
      <c r="V272" s="123"/>
      <c r="W272" s="123">
        <f t="shared" si="230"/>
        <v>100</v>
      </c>
      <c r="X272" s="123"/>
      <c r="Y272" s="123">
        <f t="shared" si="231"/>
        <v>100</v>
      </c>
    </row>
    <row r="273" spans="1:25" s="15" customFormat="1" ht="21.75" customHeight="1">
      <c r="A273" s="126"/>
      <c r="B273" s="126"/>
      <c r="C273" s="126">
        <v>6050</v>
      </c>
      <c r="D273" s="119" t="s">
        <v>63</v>
      </c>
      <c r="E273" s="120"/>
      <c r="F273" s="120"/>
      <c r="G273" s="120">
        <f aca="true" t="shared" si="232" ref="G273:Y273">SUM(G274)</f>
        <v>0</v>
      </c>
      <c r="H273" s="120">
        <f t="shared" si="232"/>
        <v>2000</v>
      </c>
      <c r="I273" s="120">
        <f t="shared" si="232"/>
        <v>2000</v>
      </c>
      <c r="J273" s="120">
        <f t="shared" si="232"/>
        <v>0</v>
      </c>
      <c r="K273" s="120">
        <f t="shared" si="232"/>
        <v>2000</v>
      </c>
      <c r="L273" s="120">
        <f t="shared" si="232"/>
        <v>0</v>
      </c>
      <c r="M273" s="120">
        <f t="shared" si="232"/>
        <v>2000</v>
      </c>
      <c r="N273" s="120">
        <f t="shared" si="232"/>
        <v>1500</v>
      </c>
      <c r="O273" s="120">
        <f t="shared" si="232"/>
        <v>3500</v>
      </c>
      <c r="P273" s="120">
        <f t="shared" si="232"/>
        <v>0</v>
      </c>
      <c r="Q273" s="120">
        <f t="shared" si="232"/>
        <v>3500</v>
      </c>
      <c r="R273" s="120">
        <f t="shared" si="232"/>
        <v>0</v>
      </c>
      <c r="S273" s="120">
        <f t="shared" si="232"/>
        <v>3500</v>
      </c>
      <c r="T273" s="120">
        <f t="shared" si="232"/>
        <v>3650</v>
      </c>
      <c r="U273" s="120">
        <f t="shared" si="232"/>
        <v>7150</v>
      </c>
      <c r="V273" s="120">
        <f t="shared" si="232"/>
        <v>-500</v>
      </c>
      <c r="W273" s="120">
        <f t="shared" si="232"/>
        <v>6650</v>
      </c>
      <c r="X273" s="120">
        <f t="shared" si="232"/>
        <v>0</v>
      </c>
      <c r="Y273" s="120">
        <f t="shared" si="232"/>
        <v>6650</v>
      </c>
    </row>
    <row r="274" spans="1:25" s="15" customFormat="1" ht="21.75" customHeight="1">
      <c r="A274" s="121"/>
      <c r="B274" s="121"/>
      <c r="C274" s="121"/>
      <c r="D274" s="122" t="s">
        <v>348</v>
      </c>
      <c r="E274" s="123"/>
      <c r="F274" s="123"/>
      <c r="G274" s="123">
        <v>0</v>
      </c>
      <c r="H274" s="123">
        <v>2000</v>
      </c>
      <c r="I274" s="123">
        <f>SUM(G274:H274)</f>
        <v>2000</v>
      </c>
      <c r="J274" s="123"/>
      <c r="K274" s="123">
        <f>SUM(I274:J274)</f>
        <v>2000</v>
      </c>
      <c r="L274" s="123"/>
      <c r="M274" s="123">
        <f>SUM(K274:L274)</f>
        <v>2000</v>
      </c>
      <c r="N274" s="123">
        <v>1500</v>
      </c>
      <c r="O274" s="123">
        <f>SUM(M274:N274)</f>
        <v>3500</v>
      </c>
      <c r="P274" s="123"/>
      <c r="Q274" s="123">
        <f>SUM(O274:P274)</f>
        <v>3500</v>
      </c>
      <c r="R274" s="123"/>
      <c r="S274" s="123">
        <f>SUM(Q274:R274)</f>
        <v>3500</v>
      </c>
      <c r="T274" s="123">
        <v>3650</v>
      </c>
      <c r="U274" s="123">
        <f>SUM(S274:T274)</f>
        <v>7150</v>
      </c>
      <c r="V274" s="123">
        <v>-500</v>
      </c>
      <c r="W274" s="123">
        <f>SUM(U274:V274)</f>
        <v>6650</v>
      </c>
      <c r="X274" s="123"/>
      <c r="Y274" s="123">
        <f>SUM(W274:X274)</f>
        <v>6650</v>
      </c>
    </row>
    <row r="275" spans="1:25" s="4" customFormat="1" ht="19.5" customHeight="1">
      <c r="A275" s="110" t="s">
        <v>137</v>
      </c>
      <c r="B275" s="111"/>
      <c r="C275" s="111"/>
      <c r="D275" s="112" t="s">
        <v>56</v>
      </c>
      <c r="E275" s="113">
        <f aca="true" t="shared" si="233" ref="E275:Y275">SUM(E276)</f>
        <v>29990</v>
      </c>
      <c r="F275" s="113">
        <f t="shared" si="233"/>
        <v>0</v>
      </c>
      <c r="G275" s="113">
        <f t="shared" si="233"/>
        <v>29990</v>
      </c>
      <c r="H275" s="113">
        <f t="shared" si="233"/>
        <v>0</v>
      </c>
      <c r="I275" s="113">
        <f t="shared" si="233"/>
        <v>29990</v>
      </c>
      <c r="J275" s="113">
        <f t="shared" si="233"/>
        <v>-2000</v>
      </c>
      <c r="K275" s="113">
        <f t="shared" si="233"/>
        <v>27990</v>
      </c>
      <c r="L275" s="113">
        <f t="shared" si="233"/>
        <v>0</v>
      </c>
      <c r="M275" s="113">
        <f t="shared" si="233"/>
        <v>27990</v>
      </c>
      <c r="N275" s="113">
        <f t="shared" si="233"/>
        <v>-1650</v>
      </c>
      <c r="O275" s="113">
        <f t="shared" si="233"/>
        <v>26340</v>
      </c>
      <c r="P275" s="113">
        <f t="shared" si="233"/>
        <v>4298</v>
      </c>
      <c r="Q275" s="113">
        <f t="shared" si="233"/>
        <v>30638</v>
      </c>
      <c r="R275" s="113">
        <f t="shared" si="233"/>
        <v>0</v>
      </c>
      <c r="S275" s="113">
        <f t="shared" si="233"/>
        <v>30638</v>
      </c>
      <c r="T275" s="113">
        <f t="shared" si="233"/>
        <v>-196</v>
      </c>
      <c r="U275" s="113">
        <f t="shared" si="233"/>
        <v>30442</v>
      </c>
      <c r="V275" s="113">
        <f t="shared" si="233"/>
        <v>0</v>
      </c>
      <c r="W275" s="113">
        <f t="shared" si="233"/>
        <v>30442</v>
      </c>
      <c r="X275" s="113">
        <f t="shared" si="233"/>
        <v>0</v>
      </c>
      <c r="Y275" s="113">
        <f t="shared" si="233"/>
        <v>30442</v>
      </c>
    </row>
    <row r="276" spans="1:25" s="15" customFormat="1" ht="22.5">
      <c r="A276" s="118"/>
      <c r="B276" s="126">
        <v>92605</v>
      </c>
      <c r="C276" s="118"/>
      <c r="D276" s="119" t="s">
        <v>57</v>
      </c>
      <c r="E276" s="120">
        <f>SUM(E277,E288,E290)</f>
        <v>29990</v>
      </c>
      <c r="F276" s="120">
        <f>SUM(F277,F288,F290)</f>
        <v>0</v>
      </c>
      <c r="G276" s="120">
        <f>SUM(G277,G288,G290)</f>
        <v>29990</v>
      </c>
      <c r="H276" s="120">
        <f>SUM(H277,H288,H290)</f>
        <v>0</v>
      </c>
      <c r="I276" s="120">
        <f aca="true" t="shared" si="234" ref="I276:Q276">SUM(I277,I288,I290,I297)</f>
        <v>29990</v>
      </c>
      <c r="J276" s="120">
        <f t="shared" si="234"/>
        <v>-2000</v>
      </c>
      <c r="K276" s="120">
        <f t="shared" si="234"/>
        <v>27990</v>
      </c>
      <c r="L276" s="120">
        <f t="shared" si="234"/>
        <v>0</v>
      </c>
      <c r="M276" s="120">
        <f t="shared" si="234"/>
        <v>27990</v>
      </c>
      <c r="N276" s="120">
        <f t="shared" si="234"/>
        <v>-1650</v>
      </c>
      <c r="O276" s="120">
        <f t="shared" si="234"/>
        <v>26340</v>
      </c>
      <c r="P276" s="120">
        <f t="shared" si="234"/>
        <v>4298</v>
      </c>
      <c r="Q276" s="120">
        <f t="shared" si="234"/>
        <v>30638</v>
      </c>
      <c r="R276" s="120">
        <f aca="true" t="shared" si="235" ref="R276:W276">SUM(R277,R288,R290,R297)</f>
        <v>0</v>
      </c>
      <c r="S276" s="120">
        <f t="shared" si="235"/>
        <v>30638</v>
      </c>
      <c r="T276" s="120">
        <f t="shared" si="235"/>
        <v>-196</v>
      </c>
      <c r="U276" s="120">
        <f t="shared" si="235"/>
        <v>30442</v>
      </c>
      <c r="V276" s="120">
        <f t="shared" si="235"/>
        <v>0</v>
      </c>
      <c r="W276" s="120">
        <f t="shared" si="235"/>
        <v>30442</v>
      </c>
      <c r="X276" s="120">
        <f>SUM(X277,X288,X290,X297)</f>
        <v>0</v>
      </c>
      <c r="Y276" s="120">
        <f>SUM(Y277,Y288,Y290,Y297)</f>
        <v>30442</v>
      </c>
    </row>
    <row r="277" spans="1:25" s="15" customFormat="1" ht="21.75" customHeight="1">
      <c r="A277" s="118"/>
      <c r="B277" s="117"/>
      <c r="C277" s="117" t="s">
        <v>350</v>
      </c>
      <c r="D277" s="119" t="s">
        <v>82</v>
      </c>
      <c r="E277" s="120">
        <f aca="true" t="shared" si="236" ref="E277:Q277">SUM(E278:E287)</f>
        <v>17350</v>
      </c>
      <c r="F277" s="120">
        <f t="shared" si="236"/>
        <v>-560</v>
      </c>
      <c r="G277" s="120">
        <f t="shared" si="236"/>
        <v>16790</v>
      </c>
      <c r="H277" s="120">
        <f t="shared" si="236"/>
        <v>0</v>
      </c>
      <c r="I277" s="120">
        <f t="shared" si="236"/>
        <v>16790</v>
      </c>
      <c r="J277" s="120">
        <f t="shared" si="236"/>
        <v>-3200</v>
      </c>
      <c r="K277" s="120">
        <f t="shared" si="236"/>
        <v>13590</v>
      </c>
      <c r="L277" s="120">
        <f t="shared" si="236"/>
        <v>2500</v>
      </c>
      <c r="M277" s="120">
        <f t="shared" si="236"/>
        <v>16090</v>
      </c>
      <c r="N277" s="120">
        <f t="shared" si="236"/>
        <v>-1500</v>
      </c>
      <c r="O277" s="120">
        <f t="shared" si="236"/>
        <v>14590</v>
      </c>
      <c r="P277" s="120">
        <f t="shared" si="236"/>
        <v>4896</v>
      </c>
      <c r="Q277" s="120">
        <f t="shared" si="236"/>
        <v>19486</v>
      </c>
      <c r="R277" s="120">
        <f aca="true" t="shared" si="237" ref="R277:W277">SUM(R278:R287)</f>
        <v>-1450</v>
      </c>
      <c r="S277" s="120">
        <f t="shared" si="237"/>
        <v>18036</v>
      </c>
      <c r="T277" s="120">
        <f t="shared" si="237"/>
        <v>-196</v>
      </c>
      <c r="U277" s="120">
        <f t="shared" si="237"/>
        <v>17840</v>
      </c>
      <c r="V277" s="120">
        <f t="shared" si="237"/>
        <v>0</v>
      </c>
      <c r="W277" s="120">
        <f t="shared" si="237"/>
        <v>17840</v>
      </c>
      <c r="X277" s="120">
        <f>SUM(X278:X287)</f>
        <v>0</v>
      </c>
      <c r="Y277" s="120">
        <f>SUM(Y278:Y287)</f>
        <v>17840</v>
      </c>
    </row>
    <row r="278" spans="1:25" s="72" customFormat="1" ht="21.75" customHeight="1">
      <c r="A278" s="135"/>
      <c r="B278" s="136"/>
      <c r="C278" s="136"/>
      <c r="D278" s="125" t="s">
        <v>343</v>
      </c>
      <c r="E278" s="120">
        <v>1300</v>
      </c>
      <c r="F278" s="120"/>
      <c r="G278" s="120">
        <f aca="true" t="shared" si="238" ref="G278:G283">SUM(E278:F278)</f>
        <v>1300</v>
      </c>
      <c r="H278" s="120"/>
      <c r="I278" s="120">
        <f aca="true" t="shared" si="239" ref="I278:I283">SUM(G278:H278)</f>
        <v>1300</v>
      </c>
      <c r="J278" s="120">
        <v>-1200</v>
      </c>
      <c r="K278" s="120">
        <f aca="true" t="shared" si="240" ref="K278:K283">SUM(I278:J278)</f>
        <v>100</v>
      </c>
      <c r="L278" s="120"/>
      <c r="M278" s="120">
        <f aca="true" t="shared" si="241" ref="M278:M287">SUM(K278:L278)</f>
        <v>100</v>
      </c>
      <c r="N278" s="120"/>
      <c r="O278" s="120">
        <f aca="true" t="shared" si="242" ref="O278:O287">SUM(M278:N278)</f>
        <v>100</v>
      </c>
      <c r="P278" s="120">
        <f>3000+1000+1200</f>
        <v>5200</v>
      </c>
      <c r="Q278" s="120">
        <f aca="true" t="shared" si="243" ref="Q278:Q287">SUM(O278:P278)</f>
        <v>5300</v>
      </c>
      <c r="R278" s="120"/>
      <c r="S278" s="120">
        <f aca="true" t="shared" si="244" ref="S278:S287">SUM(Q278:R278)</f>
        <v>5300</v>
      </c>
      <c r="T278" s="120">
        <v>-196</v>
      </c>
      <c r="U278" s="120">
        <f aca="true" t="shared" si="245" ref="U278:U287">SUM(S278:T278)</f>
        <v>5104</v>
      </c>
      <c r="V278" s="120"/>
      <c r="W278" s="120">
        <f aca="true" t="shared" si="246" ref="W278:W287">SUM(U278:V278)</f>
        <v>5104</v>
      </c>
      <c r="X278" s="120"/>
      <c r="Y278" s="120">
        <f aca="true" t="shared" si="247" ref="Y278:Y287">SUM(W278:X278)</f>
        <v>5104</v>
      </c>
    </row>
    <row r="279" spans="1:25" s="15" customFormat="1" ht="21.75" customHeight="1">
      <c r="A279" s="118"/>
      <c r="B279" s="117"/>
      <c r="C279" s="117"/>
      <c r="D279" s="122" t="s">
        <v>333</v>
      </c>
      <c r="E279" s="120">
        <v>2000</v>
      </c>
      <c r="F279" s="120"/>
      <c r="G279" s="120">
        <f t="shared" si="238"/>
        <v>2000</v>
      </c>
      <c r="H279" s="120"/>
      <c r="I279" s="120">
        <f t="shared" si="239"/>
        <v>2000</v>
      </c>
      <c r="J279" s="120">
        <v>-2000</v>
      </c>
      <c r="K279" s="120">
        <f t="shared" si="240"/>
        <v>0</v>
      </c>
      <c r="L279" s="120"/>
      <c r="M279" s="120">
        <f t="shared" si="241"/>
        <v>0</v>
      </c>
      <c r="N279" s="120"/>
      <c r="O279" s="120">
        <f t="shared" si="242"/>
        <v>0</v>
      </c>
      <c r="P279" s="120"/>
      <c r="Q279" s="120">
        <f t="shared" si="243"/>
        <v>0</v>
      </c>
      <c r="R279" s="120"/>
      <c r="S279" s="120">
        <f t="shared" si="244"/>
        <v>0</v>
      </c>
      <c r="T279" s="120"/>
      <c r="U279" s="120">
        <f t="shared" si="245"/>
        <v>0</v>
      </c>
      <c r="V279" s="120"/>
      <c r="W279" s="120">
        <f t="shared" si="246"/>
        <v>0</v>
      </c>
      <c r="X279" s="120"/>
      <c r="Y279" s="120">
        <f t="shared" si="247"/>
        <v>0</v>
      </c>
    </row>
    <row r="280" spans="1:25" s="15" customFormat="1" ht="21.75" customHeight="1">
      <c r="A280" s="121"/>
      <c r="B280" s="121"/>
      <c r="C280" s="121"/>
      <c r="D280" s="122" t="s">
        <v>345</v>
      </c>
      <c r="E280" s="123">
        <v>3150</v>
      </c>
      <c r="F280" s="123">
        <v>-560</v>
      </c>
      <c r="G280" s="120">
        <f t="shared" si="238"/>
        <v>2590</v>
      </c>
      <c r="H280" s="123"/>
      <c r="I280" s="120">
        <f t="shared" si="239"/>
        <v>2590</v>
      </c>
      <c r="J280" s="123"/>
      <c r="K280" s="120">
        <f t="shared" si="240"/>
        <v>2590</v>
      </c>
      <c r="L280" s="123"/>
      <c r="M280" s="120">
        <f t="shared" si="241"/>
        <v>2590</v>
      </c>
      <c r="N280" s="123"/>
      <c r="O280" s="120">
        <f t="shared" si="242"/>
        <v>2590</v>
      </c>
      <c r="P280" s="123"/>
      <c r="Q280" s="120">
        <f t="shared" si="243"/>
        <v>2590</v>
      </c>
      <c r="R280" s="123">
        <v>-850</v>
      </c>
      <c r="S280" s="120">
        <f t="shared" si="244"/>
        <v>1740</v>
      </c>
      <c r="T280" s="123"/>
      <c r="U280" s="120">
        <f t="shared" si="245"/>
        <v>1740</v>
      </c>
      <c r="V280" s="123"/>
      <c r="W280" s="120">
        <f t="shared" si="246"/>
        <v>1740</v>
      </c>
      <c r="X280" s="123"/>
      <c r="Y280" s="120">
        <f t="shared" si="247"/>
        <v>1740</v>
      </c>
    </row>
    <row r="281" spans="1:25" s="15" customFormat="1" ht="21.75" customHeight="1">
      <c r="A281" s="121"/>
      <c r="B281" s="121"/>
      <c r="C281" s="121"/>
      <c r="D281" s="122" t="s">
        <v>334</v>
      </c>
      <c r="E281" s="123">
        <v>500</v>
      </c>
      <c r="F281" s="123"/>
      <c r="G281" s="120">
        <f t="shared" si="238"/>
        <v>500</v>
      </c>
      <c r="H281" s="123"/>
      <c r="I281" s="120">
        <f t="shared" si="239"/>
        <v>500</v>
      </c>
      <c r="J281" s="123"/>
      <c r="K281" s="120">
        <f t="shared" si="240"/>
        <v>500</v>
      </c>
      <c r="L281" s="123"/>
      <c r="M281" s="120">
        <f t="shared" si="241"/>
        <v>500</v>
      </c>
      <c r="N281" s="123">
        <v>-500</v>
      </c>
      <c r="O281" s="120">
        <f t="shared" si="242"/>
        <v>0</v>
      </c>
      <c r="P281" s="123"/>
      <c r="Q281" s="120">
        <f t="shared" si="243"/>
        <v>0</v>
      </c>
      <c r="R281" s="123"/>
      <c r="S281" s="120">
        <f t="shared" si="244"/>
        <v>0</v>
      </c>
      <c r="T281" s="123"/>
      <c r="U281" s="120">
        <f t="shared" si="245"/>
        <v>0</v>
      </c>
      <c r="V281" s="123"/>
      <c r="W281" s="120">
        <f t="shared" si="246"/>
        <v>0</v>
      </c>
      <c r="X281" s="123"/>
      <c r="Y281" s="120">
        <f t="shared" si="247"/>
        <v>0</v>
      </c>
    </row>
    <row r="282" spans="1:25" s="15" customFormat="1" ht="21.75" customHeight="1">
      <c r="A282" s="121"/>
      <c r="B282" s="121"/>
      <c r="C282" s="121"/>
      <c r="D282" s="122" t="s">
        <v>335</v>
      </c>
      <c r="E282" s="123">
        <v>1000</v>
      </c>
      <c r="F282" s="123"/>
      <c r="G282" s="120">
        <f t="shared" si="238"/>
        <v>1000</v>
      </c>
      <c r="H282" s="123"/>
      <c r="I282" s="120">
        <f t="shared" si="239"/>
        <v>1000</v>
      </c>
      <c r="J282" s="123"/>
      <c r="K282" s="120">
        <f t="shared" si="240"/>
        <v>1000</v>
      </c>
      <c r="L282" s="123"/>
      <c r="M282" s="120">
        <f t="shared" si="241"/>
        <v>1000</v>
      </c>
      <c r="N282" s="123"/>
      <c r="O282" s="120">
        <f t="shared" si="242"/>
        <v>1000</v>
      </c>
      <c r="P282" s="123"/>
      <c r="Q282" s="120">
        <f t="shared" si="243"/>
        <v>1000</v>
      </c>
      <c r="R282" s="123">
        <v>-600</v>
      </c>
      <c r="S282" s="120">
        <f t="shared" si="244"/>
        <v>400</v>
      </c>
      <c r="T282" s="123"/>
      <c r="U282" s="120">
        <f t="shared" si="245"/>
        <v>400</v>
      </c>
      <c r="V282" s="123"/>
      <c r="W282" s="120">
        <f t="shared" si="246"/>
        <v>400</v>
      </c>
      <c r="X282" s="123"/>
      <c r="Y282" s="120">
        <f t="shared" si="247"/>
        <v>400</v>
      </c>
    </row>
    <row r="283" spans="1:25" s="15" customFormat="1" ht="21.75" customHeight="1">
      <c r="A283" s="121"/>
      <c r="B283" s="121"/>
      <c r="C283" s="121"/>
      <c r="D283" s="122" t="s">
        <v>346</v>
      </c>
      <c r="E283" s="123">
        <v>500</v>
      </c>
      <c r="F283" s="123"/>
      <c r="G283" s="120">
        <f t="shared" si="238"/>
        <v>500</v>
      </c>
      <c r="H283" s="123"/>
      <c r="I283" s="120">
        <f t="shared" si="239"/>
        <v>500</v>
      </c>
      <c r="J283" s="123"/>
      <c r="K283" s="120">
        <f t="shared" si="240"/>
        <v>500</v>
      </c>
      <c r="L283" s="123"/>
      <c r="M283" s="120">
        <f t="shared" si="241"/>
        <v>500</v>
      </c>
      <c r="N283" s="123"/>
      <c r="O283" s="120">
        <f t="shared" si="242"/>
        <v>500</v>
      </c>
      <c r="P283" s="123">
        <v>-302</v>
      </c>
      <c r="Q283" s="120">
        <f t="shared" si="243"/>
        <v>198</v>
      </c>
      <c r="R283" s="123"/>
      <c r="S283" s="120">
        <f t="shared" si="244"/>
        <v>198</v>
      </c>
      <c r="T283" s="123"/>
      <c r="U283" s="120">
        <f t="shared" si="245"/>
        <v>198</v>
      </c>
      <c r="V283" s="123"/>
      <c r="W283" s="120">
        <f t="shared" si="246"/>
        <v>198</v>
      </c>
      <c r="X283" s="123"/>
      <c r="Y283" s="120">
        <f t="shared" si="247"/>
        <v>198</v>
      </c>
    </row>
    <row r="284" spans="1:25" s="15" customFormat="1" ht="21.75" customHeight="1">
      <c r="A284" s="121"/>
      <c r="B284" s="121"/>
      <c r="C284" s="121"/>
      <c r="D284" s="122" t="s">
        <v>337</v>
      </c>
      <c r="E284" s="123"/>
      <c r="F284" s="123"/>
      <c r="G284" s="120"/>
      <c r="H284" s="123"/>
      <c r="I284" s="120"/>
      <c r="J284" s="123"/>
      <c r="K284" s="120">
        <v>0</v>
      </c>
      <c r="L284" s="123">
        <v>2500</v>
      </c>
      <c r="M284" s="120">
        <f t="shared" si="241"/>
        <v>2500</v>
      </c>
      <c r="N284" s="123"/>
      <c r="O284" s="120">
        <f t="shared" si="242"/>
        <v>2500</v>
      </c>
      <c r="P284" s="123"/>
      <c r="Q284" s="120">
        <f t="shared" si="243"/>
        <v>2500</v>
      </c>
      <c r="R284" s="123"/>
      <c r="S284" s="120">
        <f t="shared" si="244"/>
        <v>2500</v>
      </c>
      <c r="T284" s="123"/>
      <c r="U284" s="120">
        <f t="shared" si="245"/>
        <v>2500</v>
      </c>
      <c r="V284" s="123"/>
      <c r="W284" s="120">
        <f t="shared" si="246"/>
        <v>2500</v>
      </c>
      <c r="X284" s="123"/>
      <c r="Y284" s="120">
        <f t="shared" si="247"/>
        <v>2500</v>
      </c>
    </row>
    <row r="285" spans="1:25" s="15" customFormat="1" ht="21.75" customHeight="1">
      <c r="A285" s="121"/>
      <c r="B285" s="121"/>
      <c r="C285" s="121"/>
      <c r="D285" s="122" t="s">
        <v>338</v>
      </c>
      <c r="E285" s="123">
        <v>1000</v>
      </c>
      <c r="F285" s="123"/>
      <c r="G285" s="120">
        <f>SUM(E285:F285)</f>
        <v>1000</v>
      </c>
      <c r="H285" s="123"/>
      <c r="I285" s="120">
        <f>SUM(G285:H285)</f>
        <v>1000</v>
      </c>
      <c r="J285" s="123"/>
      <c r="K285" s="120">
        <f>SUM(I285:J285)</f>
        <v>1000</v>
      </c>
      <c r="L285" s="123"/>
      <c r="M285" s="120">
        <f t="shared" si="241"/>
        <v>1000</v>
      </c>
      <c r="N285" s="123"/>
      <c r="O285" s="120">
        <f t="shared" si="242"/>
        <v>1000</v>
      </c>
      <c r="P285" s="123"/>
      <c r="Q285" s="120">
        <f t="shared" si="243"/>
        <v>1000</v>
      </c>
      <c r="R285" s="123"/>
      <c r="S285" s="120">
        <f t="shared" si="244"/>
        <v>1000</v>
      </c>
      <c r="T285" s="123"/>
      <c r="U285" s="120">
        <f t="shared" si="245"/>
        <v>1000</v>
      </c>
      <c r="V285" s="123"/>
      <c r="W285" s="120">
        <f t="shared" si="246"/>
        <v>1000</v>
      </c>
      <c r="X285" s="123"/>
      <c r="Y285" s="120">
        <f t="shared" si="247"/>
        <v>1000</v>
      </c>
    </row>
    <row r="286" spans="1:25" s="15" customFormat="1" ht="21.75" customHeight="1">
      <c r="A286" s="121"/>
      <c r="B286" s="121"/>
      <c r="C286" s="121"/>
      <c r="D286" s="122" t="s">
        <v>340</v>
      </c>
      <c r="E286" s="123">
        <v>900</v>
      </c>
      <c r="F286" s="123"/>
      <c r="G286" s="120">
        <f>SUM(E286:F286)</f>
        <v>900</v>
      </c>
      <c r="H286" s="123"/>
      <c r="I286" s="120">
        <f>SUM(G286:H286)</f>
        <v>900</v>
      </c>
      <c r="J286" s="123"/>
      <c r="K286" s="120">
        <f>SUM(I286:J286)</f>
        <v>900</v>
      </c>
      <c r="L286" s="123"/>
      <c r="M286" s="120">
        <f t="shared" si="241"/>
        <v>900</v>
      </c>
      <c r="N286" s="123"/>
      <c r="O286" s="120">
        <f t="shared" si="242"/>
        <v>900</v>
      </c>
      <c r="P286" s="123"/>
      <c r="Q286" s="120">
        <f t="shared" si="243"/>
        <v>900</v>
      </c>
      <c r="R286" s="123"/>
      <c r="S286" s="120">
        <f t="shared" si="244"/>
        <v>900</v>
      </c>
      <c r="T286" s="123"/>
      <c r="U286" s="120">
        <f t="shared" si="245"/>
        <v>900</v>
      </c>
      <c r="V286" s="123"/>
      <c r="W286" s="120">
        <f t="shared" si="246"/>
        <v>900</v>
      </c>
      <c r="X286" s="123"/>
      <c r="Y286" s="120">
        <f t="shared" si="247"/>
        <v>900</v>
      </c>
    </row>
    <row r="287" spans="1:25" s="15" customFormat="1" ht="21.75" customHeight="1">
      <c r="A287" s="121"/>
      <c r="B287" s="121"/>
      <c r="C287" s="121"/>
      <c r="D287" s="122" t="s">
        <v>347</v>
      </c>
      <c r="E287" s="123">
        <v>7000</v>
      </c>
      <c r="F287" s="123"/>
      <c r="G287" s="120">
        <f>SUM(E287:F287)</f>
        <v>7000</v>
      </c>
      <c r="H287" s="123"/>
      <c r="I287" s="120">
        <f>SUM(G287:H287)</f>
        <v>7000</v>
      </c>
      <c r="J287" s="123"/>
      <c r="K287" s="120">
        <f>SUM(I287:J287)</f>
        <v>7000</v>
      </c>
      <c r="L287" s="123"/>
      <c r="M287" s="120">
        <f t="shared" si="241"/>
        <v>7000</v>
      </c>
      <c r="N287" s="123">
        <f>-240-760</f>
        <v>-1000</v>
      </c>
      <c r="O287" s="120">
        <f t="shared" si="242"/>
        <v>6000</v>
      </c>
      <c r="P287" s="123">
        <v>-2</v>
      </c>
      <c r="Q287" s="120">
        <f t="shared" si="243"/>
        <v>5998</v>
      </c>
      <c r="R287" s="123"/>
      <c r="S287" s="120">
        <f t="shared" si="244"/>
        <v>5998</v>
      </c>
      <c r="T287" s="123"/>
      <c r="U287" s="120">
        <f t="shared" si="245"/>
        <v>5998</v>
      </c>
      <c r="V287" s="123"/>
      <c r="W287" s="120">
        <f t="shared" si="246"/>
        <v>5998</v>
      </c>
      <c r="X287" s="123"/>
      <c r="Y287" s="120">
        <f t="shared" si="247"/>
        <v>5998</v>
      </c>
    </row>
    <row r="288" spans="1:25" s="15" customFormat="1" ht="21.75" customHeight="1">
      <c r="A288" s="117"/>
      <c r="B288" s="117"/>
      <c r="C288" s="117" t="s">
        <v>359</v>
      </c>
      <c r="D288" s="119" t="s">
        <v>85</v>
      </c>
      <c r="E288" s="120">
        <f aca="true" t="shared" si="248" ref="E288:Y288">SUM(E289:E289)</f>
        <v>500</v>
      </c>
      <c r="F288" s="120">
        <f t="shared" si="248"/>
        <v>0</v>
      </c>
      <c r="G288" s="120">
        <f t="shared" si="248"/>
        <v>500</v>
      </c>
      <c r="H288" s="120">
        <f t="shared" si="248"/>
        <v>0</v>
      </c>
      <c r="I288" s="120">
        <f t="shared" si="248"/>
        <v>500</v>
      </c>
      <c r="J288" s="120">
        <f t="shared" si="248"/>
        <v>0</v>
      </c>
      <c r="K288" s="120">
        <f t="shared" si="248"/>
        <v>500</v>
      </c>
      <c r="L288" s="120">
        <f t="shared" si="248"/>
        <v>0</v>
      </c>
      <c r="M288" s="120">
        <f t="shared" si="248"/>
        <v>500</v>
      </c>
      <c r="N288" s="120">
        <f t="shared" si="248"/>
        <v>-150</v>
      </c>
      <c r="O288" s="120">
        <f t="shared" si="248"/>
        <v>350</v>
      </c>
      <c r="P288" s="120">
        <f t="shared" si="248"/>
        <v>0</v>
      </c>
      <c r="Q288" s="120">
        <f t="shared" si="248"/>
        <v>350</v>
      </c>
      <c r="R288" s="120">
        <f t="shared" si="248"/>
        <v>0</v>
      </c>
      <c r="S288" s="120">
        <f t="shared" si="248"/>
        <v>350</v>
      </c>
      <c r="T288" s="120">
        <f t="shared" si="248"/>
        <v>0</v>
      </c>
      <c r="U288" s="120">
        <f t="shared" si="248"/>
        <v>350</v>
      </c>
      <c r="V288" s="120">
        <f t="shared" si="248"/>
        <v>0</v>
      </c>
      <c r="W288" s="120">
        <f t="shared" si="248"/>
        <v>350</v>
      </c>
      <c r="X288" s="120">
        <f t="shared" si="248"/>
        <v>0</v>
      </c>
      <c r="Y288" s="120">
        <f t="shared" si="248"/>
        <v>350</v>
      </c>
    </row>
    <row r="289" spans="1:25" s="15" customFormat="1" ht="21.75" customHeight="1">
      <c r="A289" s="121"/>
      <c r="B289" s="121"/>
      <c r="C289" s="121"/>
      <c r="D289" s="122" t="s">
        <v>340</v>
      </c>
      <c r="E289" s="123">
        <v>500</v>
      </c>
      <c r="F289" s="123"/>
      <c r="G289" s="123">
        <f>SUM(E289:F289)</f>
        <v>500</v>
      </c>
      <c r="H289" s="123"/>
      <c r="I289" s="123">
        <f>SUM(G289:H289)</f>
        <v>500</v>
      </c>
      <c r="J289" s="123"/>
      <c r="K289" s="123">
        <f>SUM(I289:J289)</f>
        <v>500</v>
      </c>
      <c r="L289" s="123"/>
      <c r="M289" s="123">
        <f>SUM(K289:L289)</f>
        <v>500</v>
      </c>
      <c r="N289" s="123">
        <v>-150</v>
      </c>
      <c r="O289" s="123">
        <f>SUM(M289:N289)</f>
        <v>350</v>
      </c>
      <c r="P289" s="123"/>
      <c r="Q289" s="123">
        <f>SUM(O289:P289)</f>
        <v>350</v>
      </c>
      <c r="R289" s="123"/>
      <c r="S289" s="123">
        <f>SUM(Q289:R289)</f>
        <v>350</v>
      </c>
      <c r="T289" s="123"/>
      <c r="U289" s="123">
        <f>SUM(S289:T289)</f>
        <v>350</v>
      </c>
      <c r="V289" s="123"/>
      <c r="W289" s="123">
        <f>SUM(U289:V289)</f>
        <v>350</v>
      </c>
      <c r="X289" s="123"/>
      <c r="Y289" s="123">
        <f>SUM(W289:X289)</f>
        <v>350</v>
      </c>
    </row>
    <row r="290" spans="1:25" s="15" customFormat="1" ht="21.75" customHeight="1">
      <c r="A290" s="118"/>
      <c r="B290" s="117"/>
      <c r="C290" s="118">
        <v>4300</v>
      </c>
      <c r="D290" s="131" t="s">
        <v>69</v>
      </c>
      <c r="E290" s="120">
        <f aca="true" t="shared" si="249" ref="E290:Q290">SUM(E291:E296)</f>
        <v>12140</v>
      </c>
      <c r="F290" s="120">
        <f t="shared" si="249"/>
        <v>560</v>
      </c>
      <c r="G290" s="120">
        <f t="shared" si="249"/>
        <v>12700</v>
      </c>
      <c r="H290" s="120">
        <f t="shared" si="249"/>
        <v>0</v>
      </c>
      <c r="I290" s="120">
        <f t="shared" si="249"/>
        <v>12700</v>
      </c>
      <c r="J290" s="120">
        <f t="shared" si="249"/>
        <v>-3200</v>
      </c>
      <c r="K290" s="120">
        <f t="shared" si="249"/>
        <v>9500</v>
      </c>
      <c r="L290" s="120">
        <f t="shared" si="249"/>
        <v>-2500</v>
      </c>
      <c r="M290" s="120">
        <f t="shared" si="249"/>
        <v>7000</v>
      </c>
      <c r="N290" s="120">
        <f t="shared" si="249"/>
        <v>0</v>
      </c>
      <c r="O290" s="120">
        <f t="shared" si="249"/>
        <v>7000</v>
      </c>
      <c r="P290" s="120">
        <f t="shared" si="249"/>
        <v>-598</v>
      </c>
      <c r="Q290" s="120">
        <f t="shared" si="249"/>
        <v>6402</v>
      </c>
      <c r="R290" s="120">
        <f aca="true" t="shared" si="250" ref="R290:W290">SUM(R291:R296)</f>
        <v>1450</v>
      </c>
      <c r="S290" s="120">
        <f t="shared" si="250"/>
        <v>7852</v>
      </c>
      <c r="T290" s="120">
        <f t="shared" si="250"/>
        <v>0</v>
      </c>
      <c r="U290" s="120">
        <f t="shared" si="250"/>
        <v>7852</v>
      </c>
      <c r="V290" s="120">
        <f t="shared" si="250"/>
        <v>0</v>
      </c>
      <c r="W290" s="120">
        <f t="shared" si="250"/>
        <v>7852</v>
      </c>
      <c r="X290" s="120">
        <f>SUM(X291:X296)</f>
        <v>0</v>
      </c>
      <c r="Y290" s="120">
        <f>SUM(Y291:Y296)</f>
        <v>7852</v>
      </c>
    </row>
    <row r="291" spans="1:25" s="15" customFormat="1" ht="21.75" customHeight="1">
      <c r="A291" s="121"/>
      <c r="B291" s="121"/>
      <c r="C291" s="121"/>
      <c r="D291" s="122" t="s">
        <v>343</v>
      </c>
      <c r="E291" s="123">
        <v>5000</v>
      </c>
      <c r="F291" s="123"/>
      <c r="G291" s="123">
        <f>SUM(E291:F291)</f>
        <v>5000</v>
      </c>
      <c r="H291" s="123"/>
      <c r="I291" s="123">
        <f>SUM(G291:H291)</f>
        <v>5000</v>
      </c>
      <c r="J291" s="123">
        <v>-3200</v>
      </c>
      <c r="K291" s="123">
        <f>SUM(I291:J291)</f>
        <v>1800</v>
      </c>
      <c r="L291" s="123"/>
      <c r="M291" s="123">
        <f>SUM(K291:L291)</f>
        <v>1800</v>
      </c>
      <c r="N291" s="123"/>
      <c r="O291" s="123">
        <f>SUM(M291:N291)</f>
        <v>1800</v>
      </c>
      <c r="P291" s="123">
        <v>-1200</v>
      </c>
      <c r="Q291" s="123">
        <f>SUM(O291:P291)</f>
        <v>600</v>
      </c>
      <c r="R291" s="123"/>
      <c r="S291" s="123">
        <f aca="true" t="shared" si="251" ref="S291:S296">SUM(Q291:R291)</f>
        <v>600</v>
      </c>
      <c r="T291" s="123"/>
      <c r="U291" s="123">
        <f aca="true" t="shared" si="252" ref="U291:U296">SUM(S291:T291)</f>
        <v>600</v>
      </c>
      <c r="V291" s="123"/>
      <c r="W291" s="123">
        <f aca="true" t="shared" si="253" ref="W291:W296">SUM(U291:V291)</f>
        <v>600</v>
      </c>
      <c r="X291" s="123"/>
      <c r="Y291" s="123">
        <f aca="true" t="shared" si="254" ref="Y291:Y296">SUM(W291:X291)</f>
        <v>600</v>
      </c>
    </row>
    <row r="292" spans="1:25" s="15" customFormat="1" ht="21.75" customHeight="1">
      <c r="A292" s="121"/>
      <c r="B292" s="121"/>
      <c r="C292" s="121"/>
      <c r="D292" s="122" t="s">
        <v>345</v>
      </c>
      <c r="E292" s="123">
        <v>0</v>
      </c>
      <c r="F292" s="123">
        <v>560</v>
      </c>
      <c r="G292" s="123">
        <f>SUM(E292:F292)</f>
        <v>560</v>
      </c>
      <c r="H292" s="123"/>
      <c r="I292" s="123">
        <f>SUM(G292:H292)</f>
        <v>560</v>
      </c>
      <c r="J292" s="123"/>
      <c r="K292" s="123">
        <f>SUM(I292:J292)</f>
        <v>560</v>
      </c>
      <c r="L292" s="123"/>
      <c r="M292" s="123">
        <f>SUM(K292:L292)</f>
        <v>560</v>
      </c>
      <c r="N292" s="123"/>
      <c r="O292" s="123">
        <f>SUM(M292:N292)</f>
        <v>560</v>
      </c>
      <c r="P292" s="123"/>
      <c r="Q292" s="123">
        <f>SUM(O292:P292)</f>
        <v>560</v>
      </c>
      <c r="R292" s="123">
        <v>850</v>
      </c>
      <c r="S292" s="123">
        <f t="shared" si="251"/>
        <v>1410</v>
      </c>
      <c r="T292" s="123"/>
      <c r="U292" s="123">
        <f t="shared" si="252"/>
        <v>1410</v>
      </c>
      <c r="V292" s="123"/>
      <c r="W292" s="123">
        <f t="shared" si="253"/>
        <v>1410</v>
      </c>
      <c r="X292" s="123"/>
      <c r="Y292" s="123">
        <f t="shared" si="254"/>
        <v>1410</v>
      </c>
    </row>
    <row r="293" spans="1:25" s="15" customFormat="1" ht="21.75" customHeight="1">
      <c r="A293" s="121"/>
      <c r="B293" s="121"/>
      <c r="C293" s="121"/>
      <c r="D293" s="122" t="s">
        <v>346</v>
      </c>
      <c r="E293" s="123">
        <v>500</v>
      </c>
      <c r="F293" s="123"/>
      <c r="G293" s="123">
        <f>SUM(E293:F293)</f>
        <v>500</v>
      </c>
      <c r="H293" s="123"/>
      <c r="I293" s="123">
        <f>SUM(G293:H293)</f>
        <v>500</v>
      </c>
      <c r="J293" s="123"/>
      <c r="K293" s="123">
        <f>SUM(I293:J293)</f>
        <v>500</v>
      </c>
      <c r="L293" s="123"/>
      <c r="M293" s="123">
        <f>SUM(K293:L293)</f>
        <v>500</v>
      </c>
      <c r="N293" s="123"/>
      <c r="O293" s="123">
        <f>SUM(M293:N293)</f>
        <v>500</v>
      </c>
      <c r="P293" s="123">
        <f>300+302</f>
        <v>602</v>
      </c>
      <c r="Q293" s="123">
        <f>SUM(O293:P293)</f>
        <v>1102</v>
      </c>
      <c r="R293" s="123"/>
      <c r="S293" s="123">
        <f t="shared" si="251"/>
        <v>1102</v>
      </c>
      <c r="T293" s="123"/>
      <c r="U293" s="123">
        <f t="shared" si="252"/>
        <v>1102</v>
      </c>
      <c r="V293" s="123"/>
      <c r="W293" s="123">
        <f t="shared" si="253"/>
        <v>1102</v>
      </c>
      <c r="X293" s="123"/>
      <c r="Y293" s="123">
        <f t="shared" si="254"/>
        <v>1102</v>
      </c>
    </row>
    <row r="294" spans="1:25" s="15" customFormat="1" ht="21.75" customHeight="1">
      <c r="A294" s="121"/>
      <c r="B294" s="121"/>
      <c r="C294" s="121"/>
      <c r="D294" s="122" t="s">
        <v>335</v>
      </c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>
        <v>0</v>
      </c>
      <c r="R294" s="123">
        <v>600</v>
      </c>
      <c r="S294" s="123">
        <f t="shared" si="251"/>
        <v>600</v>
      </c>
      <c r="T294" s="123"/>
      <c r="U294" s="123">
        <f t="shared" si="252"/>
        <v>600</v>
      </c>
      <c r="V294" s="123"/>
      <c r="W294" s="123">
        <f t="shared" si="253"/>
        <v>600</v>
      </c>
      <c r="X294" s="123"/>
      <c r="Y294" s="123">
        <f t="shared" si="254"/>
        <v>600</v>
      </c>
    </row>
    <row r="295" spans="1:25" s="15" customFormat="1" ht="21.75" customHeight="1">
      <c r="A295" s="121"/>
      <c r="B295" s="121"/>
      <c r="C295" s="121"/>
      <c r="D295" s="122" t="s">
        <v>337</v>
      </c>
      <c r="E295" s="123">
        <v>2500</v>
      </c>
      <c r="F295" s="123"/>
      <c r="G295" s="123">
        <f>SUM(E295:F295)</f>
        <v>2500</v>
      </c>
      <c r="H295" s="123"/>
      <c r="I295" s="123">
        <f>SUM(G295:H295)</f>
        <v>2500</v>
      </c>
      <c r="J295" s="123"/>
      <c r="K295" s="123">
        <f>SUM(I295:J295)</f>
        <v>2500</v>
      </c>
      <c r="L295" s="123">
        <v>-2500</v>
      </c>
      <c r="M295" s="123">
        <f>SUM(K295:L295)</f>
        <v>0</v>
      </c>
      <c r="N295" s="123"/>
      <c r="O295" s="123">
        <f>SUM(M295:N295)</f>
        <v>0</v>
      </c>
      <c r="P295" s="123"/>
      <c r="Q295" s="123">
        <f>SUM(O295:P295)</f>
        <v>0</v>
      </c>
      <c r="R295" s="123"/>
      <c r="S295" s="123">
        <f t="shared" si="251"/>
        <v>0</v>
      </c>
      <c r="T295" s="123"/>
      <c r="U295" s="123">
        <f t="shared" si="252"/>
        <v>0</v>
      </c>
      <c r="V295" s="123"/>
      <c r="W295" s="123">
        <f t="shared" si="253"/>
        <v>0</v>
      </c>
      <c r="X295" s="123"/>
      <c r="Y295" s="123">
        <f t="shared" si="254"/>
        <v>0</v>
      </c>
    </row>
    <row r="296" spans="1:25" s="15" customFormat="1" ht="21.75" customHeight="1">
      <c r="A296" s="121"/>
      <c r="B296" s="121"/>
      <c r="C296" s="121"/>
      <c r="D296" s="122" t="s">
        <v>351</v>
      </c>
      <c r="E296" s="123">
        <v>4140</v>
      </c>
      <c r="F296" s="123"/>
      <c r="G296" s="123">
        <f>SUM(E296:F296)</f>
        <v>4140</v>
      </c>
      <c r="H296" s="123"/>
      <c r="I296" s="123">
        <f>SUM(G296:H296)</f>
        <v>4140</v>
      </c>
      <c r="J296" s="123"/>
      <c r="K296" s="123">
        <f>SUM(I296:J296)</f>
        <v>4140</v>
      </c>
      <c r="L296" s="123"/>
      <c r="M296" s="123">
        <f>SUM(K296:L296)</f>
        <v>4140</v>
      </c>
      <c r="N296" s="123"/>
      <c r="O296" s="123">
        <f>SUM(M296:N296)</f>
        <v>4140</v>
      </c>
      <c r="P296" s="123"/>
      <c r="Q296" s="123">
        <f>SUM(O296:P296)</f>
        <v>4140</v>
      </c>
      <c r="R296" s="123"/>
      <c r="S296" s="123">
        <f t="shared" si="251"/>
        <v>4140</v>
      </c>
      <c r="T296" s="123"/>
      <c r="U296" s="123">
        <f t="shared" si="252"/>
        <v>4140</v>
      </c>
      <c r="V296" s="123"/>
      <c r="W296" s="123">
        <f t="shared" si="253"/>
        <v>4140</v>
      </c>
      <c r="X296" s="123"/>
      <c r="Y296" s="123">
        <f t="shared" si="254"/>
        <v>4140</v>
      </c>
    </row>
    <row r="297" spans="1:25" s="15" customFormat="1" ht="21.75" customHeight="1">
      <c r="A297" s="126"/>
      <c r="B297" s="126"/>
      <c r="C297" s="126">
        <v>6060</v>
      </c>
      <c r="D297" s="130" t="s">
        <v>86</v>
      </c>
      <c r="E297" s="120"/>
      <c r="F297" s="120"/>
      <c r="G297" s="120"/>
      <c r="H297" s="120"/>
      <c r="I297" s="120">
        <f aca="true" t="shared" si="255" ref="I297:Y297">SUM(I298)</f>
        <v>0</v>
      </c>
      <c r="J297" s="120">
        <f t="shared" si="255"/>
        <v>4400</v>
      </c>
      <c r="K297" s="120">
        <f t="shared" si="255"/>
        <v>4400</v>
      </c>
      <c r="L297" s="120">
        <f t="shared" si="255"/>
        <v>0</v>
      </c>
      <c r="M297" s="120">
        <f t="shared" si="255"/>
        <v>4400</v>
      </c>
      <c r="N297" s="120">
        <f t="shared" si="255"/>
        <v>0</v>
      </c>
      <c r="O297" s="120">
        <f t="shared" si="255"/>
        <v>4400</v>
      </c>
      <c r="P297" s="120">
        <f t="shared" si="255"/>
        <v>0</v>
      </c>
      <c r="Q297" s="120">
        <f t="shared" si="255"/>
        <v>4400</v>
      </c>
      <c r="R297" s="120">
        <f t="shared" si="255"/>
        <v>0</v>
      </c>
      <c r="S297" s="120">
        <f t="shared" si="255"/>
        <v>4400</v>
      </c>
      <c r="T297" s="120">
        <f t="shared" si="255"/>
        <v>0</v>
      </c>
      <c r="U297" s="120">
        <f t="shared" si="255"/>
        <v>4400</v>
      </c>
      <c r="V297" s="120">
        <f t="shared" si="255"/>
        <v>0</v>
      </c>
      <c r="W297" s="120">
        <f t="shared" si="255"/>
        <v>4400</v>
      </c>
      <c r="X297" s="120">
        <f t="shared" si="255"/>
        <v>0</v>
      </c>
      <c r="Y297" s="120">
        <f t="shared" si="255"/>
        <v>4400</v>
      </c>
    </row>
    <row r="298" spans="1:25" s="15" customFormat="1" ht="18" customHeight="1">
      <c r="A298" s="121"/>
      <c r="B298" s="121"/>
      <c r="C298" s="121"/>
      <c r="D298" s="137" t="s">
        <v>360</v>
      </c>
      <c r="E298" s="123"/>
      <c r="F298" s="123"/>
      <c r="G298" s="123"/>
      <c r="H298" s="123"/>
      <c r="I298" s="123">
        <v>0</v>
      </c>
      <c r="J298" s="123">
        <v>4400</v>
      </c>
      <c r="K298" s="123">
        <f>SUM(I298:J298)</f>
        <v>4400</v>
      </c>
      <c r="L298" s="123"/>
      <c r="M298" s="123">
        <f>SUM(K298:L298)</f>
        <v>4400</v>
      </c>
      <c r="N298" s="123"/>
      <c r="O298" s="123">
        <f>SUM(M298:N298)</f>
        <v>4400</v>
      </c>
      <c r="P298" s="123"/>
      <c r="Q298" s="123">
        <f>SUM(O298:P298)</f>
        <v>4400</v>
      </c>
      <c r="R298" s="123"/>
      <c r="S298" s="123">
        <f>SUM(Q298:R298)</f>
        <v>4400</v>
      </c>
      <c r="T298" s="123"/>
      <c r="U298" s="123">
        <f>SUM(S298:T298)</f>
        <v>4400</v>
      </c>
      <c r="V298" s="123"/>
      <c r="W298" s="123">
        <f>SUM(U298:V298)</f>
        <v>4400</v>
      </c>
      <c r="X298" s="123"/>
      <c r="Y298" s="123">
        <f>SUM(W298:X298)</f>
        <v>4400</v>
      </c>
    </row>
    <row r="299" spans="1:25" s="4" customFormat="1" ht="19.5" customHeight="1">
      <c r="A299" s="138"/>
      <c r="B299" s="138"/>
      <c r="C299" s="138"/>
      <c r="D299" s="139" t="s">
        <v>58</v>
      </c>
      <c r="E299" s="113">
        <f aca="true" t="shared" si="256" ref="E299:Q299">SUM(E7,E42,E50,E59,E108,E117,E143,E160,E211,E275,E139)</f>
        <v>390600</v>
      </c>
      <c r="F299" s="113">
        <f t="shared" si="256"/>
        <v>0</v>
      </c>
      <c r="G299" s="113">
        <f t="shared" si="256"/>
        <v>390600</v>
      </c>
      <c r="H299" s="113">
        <f t="shared" si="256"/>
        <v>0</v>
      </c>
      <c r="I299" s="113">
        <f t="shared" si="256"/>
        <v>390600</v>
      </c>
      <c r="J299" s="113">
        <f t="shared" si="256"/>
        <v>-400</v>
      </c>
      <c r="K299" s="113">
        <f t="shared" si="256"/>
        <v>390200</v>
      </c>
      <c r="L299" s="113">
        <f t="shared" si="256"/>
        <v>0</v>
      </c>
      <c r="M299" s="113">
        <f t="shared" si="256"/>
        <v>390200</v>
      </c>
      <c r="N299" s="113">
        <f t="shared" si="256"/>
        <v>0</v>
      </c>
      <c r="O299" s="113">
        <f t="shared" si="256"/>
        <v>390200</v>
      </c>
      <c r="P299" s="113">
        <f t="shared" si="256"/>
        <v>0</v>
      </c>
      <c r="Q299" s="113">
        <f t="shared" si="256"/>
        <v>390200</v>
      </c>
      <c r="R299" s="113">
        <f aca="true" t="shared" si="257" ref="R299:W299">SUM(R7,R42,R50,R59,R108,R117,R143,R160,R211,R275,R139)</f>
        <v>0</v>
      </c>
      <c r="S299" s="113">
        <f t="shared" si="257"/>
        <v>390200</v>
      </c>
      <c r="T299" s="113">
        <f t="shared" si="257"/>
        <v>600</v>
      </c>
      <c r="U299" s="113">
        <f t="shared" si="257"/>
        <v>390800</v>
      </c>
      <c r="V299" s="113">
        <f t="shared" si="257"/>
        <v>0</v>
      </c>
      <c r="W299" s="113">
        <f t="shared" si="257"/>
        <v>390800</v>
      </c>
      <c r="X299" s="113">
        <f>SUM(X7,X42,X50,X59,X108,X117,X143,X160,X211,X275,X139)</f>
        <v>0</v>
      </c>
      <c r="Y299" s="113">
        <f>SUM(Y7,Y42,Y50,Y59,Y108,Y117,Y143,Y160,Y211,Y275,Y139)</f>
        <v>390800</v>
      </c>
    </row>
    <row r="302" spans="7:25" ht="12.75">
      <c r="G302" s="32">
        <f>SUM(E299:F299)</f>
        <v>390600</v>
      </c>
      <c r="I302" s="32">
        <f>SUM(G299:H299)</f>
        <v>390600</v>
      </c>
      <c r="K302" s="32"/>
      <c r="M302" s="32"/>
      <c r="O302" s="32"/>
      <c r="Q302" s="32"/>
      <c r="S302" s="32"/>
      <c r="U302" s="32"/>
      <c r="W302" s="32"/>
      <c r="Y302" s="32"/>
    </row>
    <row r="303" spans="5:25" ht="12.75"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2009-01-06T14:25:25Z</cp:lastPrinted>
  <dcterms:created xsi:type="dcterms:W3CDTF">2002-10-21T08:56:44Z</dcterms:created>
  <dcterms:modified xsi:type="dcterms:W3CDTF">2009-01-07T08:19:46Z</dcterms:modified>
  <cp:category/>
  <cp:version/>
  <cp:contentType/>
  <cp:contentStatus/>
</cp:coreProperties>
</file>