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3630" windowHeight="2100" tabRatio="606" activeTab="3"/>
  </bookViews>
  <sheets>
    <sheet name="dochody 2009 zał.1" sheetId="1" r:id="rId1"/>
    <sheet name="wydatki 2009 zał.2" sheetId="2" r:id="rId2"/>
    <sheet name="dot. otrzym.2009 " sheetId="3" r:id="rId3"/>
    <sheet name="wyd.admin." sheetId="4" r:id="rId4"/>
  </sheets>
  <definedNames>
    <definedName name="_xlnm.Print_Titles" localSheetId="0">'dochody 2009 zał.1'!$6:$6</definedName>
    <definedName name="_xlnm.Print_Titles" localSheetId="2">'dot. otrzym.2009 '!$6:$6</definedName>
    <definedName name="_xlnm.Print_Titles" localSheetId="1">'wydatki 2009 zał.2'!$6:$6</definedName>
  </definedNames>
  <calcPr fullCalcOnLoad="1"/>
</workbook>
</file>

<file path=xl/comments2.xml><?xml version="1.0" encoding="utf-8"?>
<comments xmlns="http://schemas.openxmlformats.org/spreadsheetml/2006/main">
  <authors>
    <author>izawalniak</author>
  </authors>
  <commentList>
    <comment ref="E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F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G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E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F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G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E5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F5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G5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E5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F5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G5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E6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F6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G6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E13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F13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G13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E13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F13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G13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E16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F16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G16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E22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F22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G22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E23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F23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G23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E25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F25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G25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E2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F2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G2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E27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F27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G27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F332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70.000 przeniesiono do rezerwy b.
</t>
        </r>
      </text>
    </comment>
    <comment ref="F337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5000 z org. FAS do dot.na wypoczynke do rezerw b.
</t>
        </r>
      </text>
    </comment>
    <comment ref="E33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F33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G33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F43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65.000 do rezerw b. </t>
        </r>
      </text>
    </comment>
    <comment ref="E4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F4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G4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E43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7.500 zł wyd. soł.
</t>
        </r>
      </text>
    </comment>
    <comment ref="F432" authorId="0">
      <text>
        <r>
          <rPr>
            <b/>
            <sz val="8"/>
            <rFont val="Tahoma"/>
            <family val="0"/>
          </rPr>
          <t xml:space="preserve">izawalniak: 30.000 place zabaw
</t>
        </r>
        <r>
          <rPr>
            <sz val="8"/>
            <rFont val="Tahoma"/>
            <family val="0"/>
          </rPr>
          <t xml:space="preserve">
</t>
        </r>
      </text>
    </comment>
    <comment ref="G43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7.500 zł wyd. soł.
</t>
        </r>
      </text>
    </comment>
    <comment ref="E45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F45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G45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E45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F45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G45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E45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F45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G45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E46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F46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G46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E47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F47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G47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E47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F47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G47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E47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F47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G47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E48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F48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G48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E48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F48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G48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V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600 por.Starostwo
</t>
        </r>
      </text>
    </comment>
    <comment ref="X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600 por.Starostwo
</t>
        </r>
      </text>
    </comment>
    <comment ref="E50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F50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G50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V50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-600 poroz. Starostwo </t>
        </r>
      </text>
    </comment>
    <comment ref="X50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-600 poroz. Starostwo </t>
        </r>
      </text>
    </comment>
    <comment ref="E50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F50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G50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E50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F50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G50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Z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600 por.Starostwo
</t>
        </r>
      </text>
    </comment>
    <comment ref="AB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600 por.Starostwo
</t>
        </r>
      </text>
    </comment>
    <comment ref="AD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600 por.Starostwo
</t>
        </r>
      </text>
    </comment>
    <comment ref="AF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600 por.Starostwo
</t>
        </r>
      </text>
    </comment>
    <comment ref="AH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600 por.Starostwo
</t>
        </r>
      </text>
    </comment>
    <comment ref="AJ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600 por.Starostwo
</t>
        </r>
      </text>
    </comment>
  </commentList>
</comments>
</file>

<file path=xl/sharedStrings.xml><?xml version="1.0" encoding="utf-8"?>
<sst xmlns="http://schemas.openxmlformats.org/spreadsheetml/2006/main" count="1287" uniqueCount="446">
  <si>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</si>
  <si>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</si>
  <si>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</si>
  <si>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</si>
  <si>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</si>
  <si>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</si>
  <si>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</si>
  <si>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</si>
  <si>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</si>
  <si>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</si>
  <si>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</si>
  <si>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</si>
  <si>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</si>
  <si>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</si>
  <si>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</si>
  <si>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</si>
  <si>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</si>
  <si>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</si>
  <si>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</si>
  <si>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</si>
  <si>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</si>
  <si>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</si>
  <si>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</si>
  <si>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</si>
  <si>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</si>
  <si>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</si>
  <si>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756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</si>
  <si>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</si>
  <si>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</si>
  <si>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</si>
  <si>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</si>
  <si>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</si>
  <si>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</si>
  <si>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</si>
  <si>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</si>
  <si>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</si>
  <si>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</si>
  <si>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</si>
  <si>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</si>
  <si>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</si>
  <si>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</si>
  <si>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</si>
  <si>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</si>
  <si>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</si>
  <si>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</si>
  <si>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</si>
  <si>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</si>
  <si>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</si>
  <si>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</si>
  <si>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</si>
  <si>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</si>
  <si>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</si>
  <si>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</si>
  <si>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</si>
  <si>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</si>
  <si>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</si>
  <si>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</si>
  <si>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ośrodki pomocy społecznej</t>
  </si>
  <si>
    <t>Edukacyjna opieka wychowawcza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</si>
  <si>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</si>
  <si>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</si>
  <si>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</si>
  <si>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</si>
  <si>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</si>
  <si>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</si>
  <si>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</si>
  <si>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</si>
  <si>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</si>
  <si>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</si>
  <si>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</si>
  <si>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</si>
  <si>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</si>
  <si>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</si>
  <si>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</si>
  <si>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</si>
  <si>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</si>
  <si>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</si>
  <si>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</si>
  <si>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</si>
  <si>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</si>
  <si>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</si>
  <si>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</si>
  <si>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</si>
  <si>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</si>
  <si>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</si>
  <si>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</si>
  <si>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 xml:space="preserve">zakup materiałów i wyposażenia </t>
  </si>
  <si>
    <t>różne opłaty i składki</t>
  </si>
  <si>
    <t>zakup energii</t>
  </si>
  <si>
    <t>wydatki na zakupy inwestycyjne jednostek budżetowych</t>
  </si>
  <si>
    <t>ochotnicze straże pożarne</t>
  </si>
  <si>
    <t>75495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</si>
  <si>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</si>
  <si>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</si>
  <si>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</si>
  <si>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</si>
  <si>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</si>
  <si>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</si>
  <si>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85154</t>
  </si>
  <si>
    <t>składki na ubezpieczenia zdrowotne</t>
  </si>
  <si>
    <t>854</t>
  </si>
  <si>
    <t>zakup pomocy naukowych, dydaktycznych i książek</t>
  </si>
  <si>
    <t xml:space="preserve">przedszkola </t>
  </si>
  <si>
    <t>85412</t>
  </si>
  <si>
    <t>900</t>
  </si>
  <si>
    <t>90001</t>
  </si>
  <si>
    <t>90003</t>
  </si>
  <si>
    <t>oczyszczanie miast i wsi</t>
  </si>
  <si>
    <t>90004</t>
  </si>
  <si>
    <t>90015</t>
  </si>
  <si>
    <t>oświetlenie ulic, placów i dróg</t>
  </si>
  <si>
    <t>Kultura i ochrona dziedzictwa narodowego</t>
  </si>
  <si>
    <t>92109</t>
  </si>
  <si>
    <t>92118</t>
  </si>
  <si>
    <t>muzea</t>
  </si>
  <si>
    <t>926</t>
  </si>
  <si>
    <t>plan</t>
  </si>
  <si>
    <t xml:space="preserve">plan </t>
  </si>
  <si>
    <t>wpływy z różnych opłat</t>
  </si>
  <si>
    <t>Rady Miejskiej Trzcianki</t>
  </si>
  <si>
    <t>dokształcanie i doskonalenie nauczycieli</t>
  </si>
  <si>
    <t>gospodarka gruntami i nieruchomościami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</si>
  <si>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</si>
  <si>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</si>
  <si>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</si>
  <si>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</si>
  <si>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</si>
  <si>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</si>
  <si>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</si>
  <si>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</si>
  <si>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</si>
  <si>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</si>
  <si>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</si>
  <si>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</si>
  <si>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</si>
  <si>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</si>
  <si>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</si>
  <si>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</si>
  <si>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</si>
  <si>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</si>
  <si>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</si>
  <si>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</si>
  <si>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</si>
  <si>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</si>
  <si>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</si>
  <si>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</si>
  <si>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</si>
  <si>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</si>
  <si>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</si>
  <si>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zakup środków żywności</t>
  </si>
  <si>
    <t>Towarzystwa budownictwa społecznego</t>
  </si>
  <si>
    <t>koszty postępowania sądowego i prokuratorskiego</t>
  </si>
  <si>
    <t>0690</t>
  </si>
  <si>
    <t>dochody jednostek samorządu terytorialnego związane z realizacją zadań z zakresu administracji rządowej oraz innych zadań zleconych ustawami</t>
  </si>
  <si>
    <t>część wyrównawcza subwencji ogólnej dla gmin</t>
  </si>
  <si>
    <t>75807</t>
  </si>
  <si>
    <t xml:space="preserve">Pomoc społeczna </t>
  </si>
  <si>
    <t>Pomoc społeczna</t>
  </si>
  <si>
    <t>Załącznik Nr 1</t>
  </si>
  <si>
    <t xml:space="preserve"> wydatki osobowe niezaliczone do wynagrodzeń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</si>
  <si>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</si>
  <si>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</si>
  <si>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</si>
  <si>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</si>
  <si>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instytucje kultury fizycznej</t>
  </si>
  <si>
    <t>odsetki od nieterminowych wpłat 
z tytułu podatków i opłat</t>
  </si>
  <si>
    <t xml:space="preserve">pozostała działalność </t>
  </si>
  <si>
    <t>oddziały przedszkolne w szkołach podstawowych</t>
  </si>
  <si>
    <t xml:space="preserve">zasiłki i pomoc w naturze oraz składki na ubezpieczenia emerytalne i rentowe </t>
  </si>
  <si>
    <t>zakup usług dostępu do sieci Internet</t>
  </si>
  <si>
    <t xml:space="preserve"> 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</si>
  <si>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</si>
  <si>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</si>
  <si>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</si>
  <si>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</si>
  <si>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</si>
  <si>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</si>
  <si>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zwalczanie narkomanii</t>
  </si>
  <si>
    <t xml:space="preserve">do Uchwały Nr </t>
  </si>
  <si>
    <t xml:space="preserve">z dnia </t>
  </si>
  <si>
    <t>wpływy z opłat za wydawanie zezwoleń na sprzedaż alkoholu</t>
  </si>
  <si>
    <t>0760</t>
  </si>
  <si>
    <t>opłaty z tytułu zakupu usług telekomunikacyjnych telefonii stacjonarnej</t>
  </si>
  <si>
    <t>zakup materiałów papierniczych do sprzętu drukarskiego i urządzeń kesrograficznych</t>
  </si>
  <si>
    <t xml:space="preserve">pomoc materialna dla uczniów </t>
  </si>
  <si>
    <t>dotacje celowe otrzymane z gminy na zadania bieżące realizowane na podstawie porozumień  (umów) między jednostkami samorządu terytorialnego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</si>
  <si>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</si>
  <si>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</si>
  <si>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</si>
  <si>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</si>
  <si>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</si>
  <si>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stołówki szkolne</t>
  </si>
  <si>
    <t>obiekty sportowe</t>
  </si>
  <si>
    <t>szkolenia pracowników niebędących członkami korpusu służby cywilnej</t>
  </si>
  <si>
    <t>wpływy z tytułu przekształcenia prawa użytkowania wieczystego przysługującego osobom fizycznym 
w prawo własności</t>
  </si>
  <si>
    <t>rekompensaty utraconych dochodów w podatkach
 i opłatach lokalnych</t>
  </si>
  <si>
    <t>rezerwa na inwestycje i zakupy inwestycyjne</t>
  </si>
  <si>
    <t>zakup akcesoriów komputerowych, w tym programów  i licencji</t>
  </si>
  <si>
    <t>dotacja celowa z budżetu na finansowanie lub dofinansowanie zadań zleconych do realizacji stowarzyszeniom</t>
  </si>
  <si>
    <t>0370</t>
  </si>
  <si>
    <t>opłata od posiadania psów</t>
  </si>
  <si>
    <t>Pozostałe zadania w zakresie polityki społecznej</t>
  </si>
  <si>
    <t>wydatki na zakup i objęcie akcji, wniesienie wkładów do spółek prawa handlowego oraz na uzupełnienie funduszy statutowych banków państwowych i innych instytucji finansowych</t>
  </si>
  <si>
    <t xml:space="preserve">wpływy z podatku rolnego, podatku leśnego,podatku od spadków i darowizn, podatku od czynności cywilnoprawnych oraz podatków i opłat lokalnych od osób fizycznych </t>
  </si>
  <si>
    <t>składki na ubezpieczenie zdrowotne opłacane za osoby pobierające niektóre świadczenia z pomocy społecznej, niektóre świadczenia rodzinne oraz za osoby uczestniczące w zajęciach w centrum integracji społecznej</t>
  </si>
  <si>
    <t>zmiany</t>
  </si>
  <si>
    <t>zmiana</t>
  </si>
  <si>
    <t>plan po zmianach</t>
  </si>
  <si>
    <t>Załącznik Nr 1 do Uchwały Nr XXIV/174/08</t>
  </si>
  <si>
    <t>Rady Miejskiej Trzcianki z dnia 18 grudnia 2008 r.</t>
  </si>
  <si>
    <t>Załącznik Nr 1 do Zarządzenia Nr 26/09</t>
  </si>
  <si>
    <t>Burmistrza Trzcianki z dnia 27 lutego 2009 r. zmieniający</t>
  </si>
  <si>
    <t>Załącznik Nr 4 do Uchwały Nr XXIV/174/08</t>
  </si>
  <si>
    <t>Dochody budżetu gminy Trzcianka - plan po zmianach na rok 2009</t>
  </si>
  <si>
    <t>dotacja celowa z budżetu na finansowanie lub dofinansowanie zadań zleconych do realizacji pozostałym jednostkom niezaliczanym do sektora finansów publicznych</t>
  </si>
  <si>
    <t xml:space="preserve">Burmistrza Trzcianki z dnia 27 lutego 2009 r. </t>
  </si>
  <si>
    <t>świadczenia rodzinne, świadczenia z funduszu alimentacyjnego oraz składki na ubezpieczenia emerytalne i rentowe z ubezpieczenia społecznego</t>
  </si>
  <si>
    <t>0960</t>
  </si>
  <si>
    <t>otrzymane spadki, zapisy i darowizny w postaci pienieżnej</t>
  </si>
  <si>
    <t>pozostałe zadania w zakresie kultury</t>
  </si>
  <si>
    <t>porozumienie Starostwo</t>
  </si>
  <si>
    <t>zm.subw.ośw.</t>
  </si>
  <si>
    <t>darowizna</t>
  </si>
  <si>
    <t>01009</t>
  </si>
  <si>
    <t>udziały os.fiz.</t>
  </si>
  <si>
    <t>85212.201</t>
  </si>
  <si>
    <t>85213.2010</t>
  </si>
  <si>
    <t>85214.2010</t>
  </si>
  <si>
    <t>85214.2030</t>
  </si>
  <si>
    <t>Załącznik Nr 1 do Uchwały Nr XXVIII/181/09</t>
  </si>
  <si>
    <t>Rady Miejskiej Trzcianki z dnia 23 marca 2009 r. zmieniający</t>
  </si>
  <si>
    <t xml:space="preserve">Rady Miejskiej Trzcianki z dnia 23 marca 2009 r. </t>
  </si>
  <si>
    <t>wybory do Parlamentu Europejskiego</t>
  </si>
  <si>
    <t>Rady Miejskiej Trzcianki z dnia 30 kwietnia 2009 r. zmieniający</t>
  </si>
  <si>
    <t>Załącznik Nr 1 do Uchwały Nr XXIX/191/09</t>
  </si>
  <si>
    <t xml:space="preserve">Rady Miejskiej Trzcianki z dnia 30 kwietnia 2009 r. </t>
  </si>
  <si>
    <t>Załącznik Nr 1 do Zarządzenia Nr 49/09</t>
  </si>
  <si>
    <t>Burmistrza Trzcianki z dnia 11 maja 2009 r. zmieniający</t>
  </si>
  <si>
    <t xml:space="preserve">Burmistrza Trzcianki z dnia 11 maja 2009 r. </t>
  </si>
  <si>
    <t>Burmistrza Trzcianki z dnia 19 maja 2009 r. zmieniający</t>
  </si>
  <si>
    <t>Załącznik Nr 1 do Zarządzenia Nr 59/09</t>
  </si>
  <si>
    <t xml:space="preserve">Burmistrza Trzcianki z dnia 19 maja 2009 r. </t>
  </si>
  <si>
    <t>dotacja celowa na pomoc finansową udzielaną między jednostkami samorzadu terytorialnego na dofinansowanie własnych zadań bieżących</t>
  </si>
  <si>
    <t>Komendy powiatowe Państwowej Straży Pożarnej</t>
  </si>
  <si>
    <t>dotacje celowe przekazane dla powiatu na inwestycje i zakupy inwestycyjne realizowane na podstawie porozumień (umów) między jednostkami samorządu terytorialnego</t>
  </si>
  <si>
    <t>Rady Miejskiej Trzcianki z dnia 28 maja 2009 r. zmieniający</t>
  </si>
  <si>
    <t>Załącznik Nr 1 do Uchwała Nr XXX/199/09</t>
  </si>
  <si>
    <t>Burmistrza Trzcianki z dnia 5 czerwca 2009 r. zmieniający</t>
  </si>
  <si>
    <t xml:space="preserve">Rady Miejskiej Trzcianki z dnia 28 maja 2009 r. </t>
  </si>
  <si>
    <t>Załącznik Nr 1 do Zarządzenia Nr 72/09</t>
  </si>
  <si>
    <t xml:space="preserve">Burmistrza Trzcianki z dnia 5 czerwca 2009 r. </t>
  </si>
  <si>
    <t>drogi publiczne wojewódzkie</t>
  </si>
  <si>
    <t>dotacja celowa na pomoc finansową udzieloną między jednostkami samorzadu terytorialnego na dofinansowanie własnych zadań inwestycyjnych i zakupów inwestycyjnych</t>
  </si>
  <si>
    <t xml:space="preserve">środki na dofinansowanie własnych zadań bieżących gmin (związków gmin), powiatów (związków powiatów), samorzadów województw, pozyskane z innych źródeł </t>
  </si>
  <si>
    <t>80101.0970</t>
  </si>
  <si>
    <t>80110.0970</t>
  </si>
  <si>
    <t>85395. 2708,9</t>
  </si>
  <si>
    <t>Rady Miejskiej Trzcianki z dnia 25 czerwca 2009 r. zmieniający</t>
  </si>
  <si>
    <t>Załącznik Nr 1 do Uchwały Nr XXXI/209/09</t>
  </si>
  <si>
    <t>wpływy do budżetu nadwyżki dochodów własnych lub środków obrotowych</t>
  </si>
  <si>
    <t xml:space="preserve">Rady Miejskiej Trzcianki z dnia 25 czerwca 2009 r. </t>
  </si>
  <si>
    <t>Załącznik Nr 1 do Zarządzenie Nr 91/09</t>
  </si>
  <si>
    <t>Burmistrza Trzcianki z dnia 30 czerwca 2009 r. zmieniający</t>
  </si>
  <si>
    <t xml:space="preserve">Burmistrza Trzcianki z dnia 30 czerwca 2009 r. </t>
  </si>
  <si>
    <t>Załącznik Nr 3 do Zarządzenia Nr 26/09</t>
  </si>
  <si>
    <t>Załącznik Nr 3 do Uchwały Nr XXVIII/181/09</t>
  </si>
  <si>
    <t>Załącznik Nr 3 do Uchwały Nr XXIX/191/09</t>
  </si>
  <si>
    <t>Załącznik Nr 3 do Zarządzenia Nr 49/09</t>
  </si>
  <si>
    <t>Załącznik Nr 3 do Zarządzenia Nr 59/09</t>
  </si>
  <si>
    <t xml:space="preserve">Załącznik Nr 3 do zarządzenia Nr 72/09 </t>
  </si>
  <si>
    <t>Załącznik Nr 3 do Zarządzenie Nr 101/09</t>
  </si>
  <si>
    <t>Burmistrza Trzcianki z dnia 4 sierpnia 2009 r. zmieniający</t>
  </si>
  <si>
    <t>Załącznik Nr 3 do Uchwały Nr XXIV/174/08</t>
  </si>
  <si>
    <t>Załącznik Nr 3 do Zarzadzenia Nr 91/09</t>
  </si>
  <si>
    <t xml:space="preserve">Dotacje otrzymywane do budżetu - plan po zmianach na rok 2009                                    </t>
  </si>
  <si>
    <t>plan po zmianie</t>
  </si>
  <si>
    <t>dotacje celowe otrzymane z budżetu państwa na realizację zadań bieżących 
z zakresu administracji rządowej oraz innych zadań zleconych gminie (związkom gmin) ustawami</t>
  </si>
  <si>
    <t>2010</t>
  </si>
  <si>
    <t>dotacje celowe otrzymane z budżetu państwa na realizację zadań bieżących 
z zakresu administracji rządowej oraz innych zadań zleconych gminie (zwiazkom gmin) ustawami</t>
  </si>
  <si>
    <t>dotacje celowe otrzymane 
z budżetu państwa na realizację własnych zadań bieżących gmin (związków gmin)</t>
  </si>
  <si>
    <t>zasiłki i pomoc w naturze oraz składki na ubezpieczenia emerytalne i rentowe</t>
  </si>
  <si>
    <t>dotacje celowe otrzymane z budżetu państwa na realizację zadań bieżących z zakresu administracji rządowej oraz innych zadań zleconych gminie(zwiazkom gmin) ustawami</t>
  </si>
  <si>
    <t xml:space="preserve">Burmistrza Trzcianki z dnia 4 sierpnia 2009 r. </t>
  </si>
  <si>
    <t>Załącznik Nr 2</t>
  </si>
  <si>
    <t>Załącznik Nr 2 do Zarządzenia Nr 26/09</t>
  </si>
  <si>
    <t>Załącznik Nr 2 do Uchwały Nr XXVIII/181/09</t>
  </si>
  <si>
    <t>Załącznik Nr 2 do Uchwały Nr XXIX/191/09</t>
  </si>
  <si>
    <t>Załącznik Nr 2 do Zarządzenia Nr 49/09</t>
  </si>
  <si>
    <t>Załącznik Nr 2 do Zarządzenia Nr 59/09</t>
  </si>
  <si>
    <t>Załącznik Nr 2 do Uchwały Nr XXX/199/09</t>
  </si>
  <si>
    <t xml:space="preserve">Załącznik Nr 2 do Zarządzenie Nr 72/09 </t>
  </si>
  <si>
    <t>Załącznik Nr 2 do Uchwały Nr XXXI/209/09</t>
  </si>
  <si>
    <t>Załącznik Nr 2 do Zarządzenie Nr 101/09</t>
  </si>
  <si>
    <t>Burmistrza Trzcianki z dnia 5 czerwiec 2009 r. zmieniający</t>
  </si>
  <si>
    <t>Załącznik Nr 2 do Uchwały Nr XXIV/174/08</t>
  </si>
  <si>
    <t>Załącznik Nr 2 do Zarzadzenia Nr 91/09</t>
  </si>
  <si>
    <t xml:space="preserve">Burmistrza Trzcianki z dnia 5 czerwiec 2009 r. </t>
  </si>
  <si>
    <t xml:space="preserve">Burmistrza Trzcianki  z dnia 30 czerwca 2009 r. </t>
  </si>
  <si>
    <t xml:space="preserve">Wydatki  budżetu gminy Trzcianka - plan po zmianach na rok 2009 </t>
  </si>
  <si>
    <t>01030</t>
  </si>
  <si>
    <t>izby rolnicze</t>
  </si>
  <si>
    <t>wpłaty gmin na rzecz izb rolniczych w wysokości 2% uzyskanych wpływów z podatku rolnego</t>
  </si>
  <si>
    <t>01041</t>
  </si>
  <si>
    <t xml:space="preserve">Program Rozwoju Obszarów Wiejskich 2007-2013 </t>
  </si>
  <si>
    <t>Spółki wodne</t>
  </si>
  <si>
    <t>zakup akcesoriów komputerowych, w tym programów i licencji</t>
  </si>
  <si>
    <t>różne jednostki obsługi gospodarki mieszkaniowej</t>
  </si>
  <si>
    <t>opłaty na rzecz budżetu państwa</t>
  </si>
  <si>
    <t>dopłaty w spółkach prawa handlowego</t>
  </si>
  <si>
    <t>710</t>
  </si>
  <si>
    <t>71004</t>
  </si>
  <si>
    <t>zakup usług medycznych</t>
  </si>
  <si>
    <t>75022</t>
  </si>
  <si>
    <t>rady gmin (miast i miast na prawach powiatu)</t>
  </si>
  <si>
    <t>podróże służbowe zagraniczne</t>
  </si>
  <si>
    <t>zakup materiałów papierniczych do sprzętu drukarskiego i urządzeń kserograficznych</t>
  </si>
  <si>
    <t>zakup usług dostepu do sieci Internet</t>
  </si>
  <si>
    <t>opłaty z tytułu zakupu usług telekomunikacyjnych telefonii komórkowej</t>
  </si>
  <si>
    <t>promocja jednostek samorządu terytorialnego</t>
  </si>
  <si>
    <t>zakup akcesoriów komputerowych, w tym programów
 i licencji</t>
  </si>
  <si>
    <t>Urzędy naczelnych organów władzy państwowej, kontroli i ochrony prawa oraz sądownictwa</t>
  </si>
  <si>
    <t>składki na ubezpieczenie społeczne</t>
  </si>
  <si>
    <t>składki na fundusz pracy</t>
  </si>
  <si>
    <t>75412</t>
  </si>
  <si>
    <t>Dochody od osób prawnych, od osób fizycznych i od innych jednostek nieposiadających osobowości prawnej oraz wydatki związane 
z ich poborem</t>
  </si>
  <si>
    <t>pobór podatków, opłat i niepodatkowych należności budżetowych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</si>
  <si>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</si>
  <si>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</si>
  <si>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</si>
  <si>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</si>
  <si>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</si>
  <si>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skarbowych papierów wartościowych,  kredytów i pożyczek oraz innych instrumentów finansowych, związanych z obsługą długu krajowego</t>
  </si>
  <si>
    <t>75818</t>
  </si>
  <si>
    <t xml:space="preserve">dotacja podmiotowa z budżetu dla niepublicznej jednostki systemu oświaty </t>
  </si>
  <si>
    <t>wydatki osobowe niezaliczone do wynagrodzeń</t>
  </si>
  <si>
    <t>zakup leków, wyrobów medycznych i produktów biobójczych</t>
  </si>
  <si>
    <t>zakup usług zdrowotnych</t>
  </si>
  <si>
    <t>zakup usług obejmujących wykonanie ekspertyz, analiz i opinii</t>
  </si>
  <si>
    <t>odsetki od nieterminowych wpłat z tytułu pozostałych popdatków i opłat</t>
  </si>
  <si>
    <t>odpisy na zakłdowy fundusz świadczeń socjalnych</t>
  </si>
  <si>
    <t>80104</t>
  </si>
  <si>
    <t xml:space="preserve">dotacja podmiotowa z budżetu dla zakładu budżetowego </t>
  </si>
  <si>
    <t xml:space="preserve">80110 </t>
  </si>
  <si>
    <t>dotacja podmiotowa z budżetu dla publicznej jednostki systemu oświaty prowadzonej przez osobe prawną inną niż jadnostka samorządu terytorialnego lub przez osobę fizyczną</t>
  </si>
  <si>
    <t>80113</t>
  </si>
  <si>
    <t>dowożenie uczniów do szkół</t>
  </si>
  <si>
    <t>851</t>
  </si>
  <si>
    <t>świadczenia rodzinne, świadczenia 
z funduszu alimentacyjnego oraz składki na ubezpieczenia emerytalne i rentowe z ubezpieczenia społecznego</t>
  </si>
  <si>
    <t>dodatki mieszkaniowe</t>
  </si>
  <si>
    <t>usługi opiekuńcze i specjalistyczne usługi opiekuńcze</t>
  </si>
  <si>
    <t>85295</t>
  </si>
  <si>
    <t xml:space="preserve">rehabilitacja zawodowa i społeczna </t>
  </si>
  <si>
    <t>dotacja celowa na pomoc finansową udzielaną między jednostkami samorządu terytorialnego na dofinansowanie własnych zadań bieżących</t>
  </si>
  <si>
    <t>świetlice szkolne</t>
  </si>
  <si>
    <t>stypendia dla uczniów</t>
  </si>
  <si>
    <t>inne formy pomocy dla uczniów</t>
  </si>
  <si>
    <t>dotacje celowe przekazane dla powiatu na zadania bieżące realizowane na podstawie porozumień (umów) między jednostkami samorządu terytorialnego</t>
  </si>
  <si>
    <t>różne opłaty i skałdki</t>
  </si>
  <si>
    <t>gospodarka odpadami</t>
  </si>
  <si>
    <t>90013</t>
  </si>
  <si>
    <t>schroniska dla zwierząt</t>
  </si>
  <si>
    <t>90095</t>
  </si>
  <si>
    <t>dotacja podmiotowa z budżetu dla samorządowej instytucji kultury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</si>
  <si>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</si>
  <si>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</si>
  <si>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stypendia różne</t>
  </si>
  <si>
    <t>wynagrodzenie bezosobowe</t>
  </si>
  <si>
    <t xml:space="preserve">Załącznik Nr 1 do Zarządzenia  Nr 101/09    </t>
  </si>
  <si>
    <t xml:space="preserve">Burmistrza Trzcianki z dnia 4 września 2009 r. </t>
  </si>
  <si>
    <t>0360</t>
  </si>
  <si>
    <t>podatek od spadków i darowizn</t>
  </si>
  <si>
    <t>psy</t>
  </si>
  <si>
    <t>spadki</t>
  </si>
  <si>
    <t>admin.</t>
  </si>
  <si>
    <t>0400</t>
  </si>
  <si>
    <t>Załącznik Nr 6 do Uchwały Nr XXVIII/181/09</t>
  </si>
  <si>
    <t>Załącznik Nr 5 do Uchwały Nr XXIX/191/09</t>
  </si>
  <si>
    <t>Załącznik Nr 4 do Zarządzenia Nr 59/09</t>
  </si>
  <si>
    <t>Załącznik Nr 5 do uchwały Nr XXX/199/09</t>
  </si>
  <si>
    <t>Załącznik Nr 4 do zarządzenia Nr 72/09</t>
  </si>
  <si>
    <t>Załącznik Nr 4 do Zarządzenie Nr 101/09</t>
  </si>
  <si>
    <t xml:space="preserve">                   </t>
  </si>
  <si>
    <t>Załącznik Nr 5 do Uchwały Nr XXXI/209/09</t>
  </si>
  <si>
    <t>Rady Miejskiej Trzcianki z dnia 30 kwietnia 2009 r.</t>
  </si>
  <si>
    <t>Rady Miejskiej Trzcianki z dnia 25 czerwca 2009 r.</t>
  </si>
  <si>
    <t>Wydatki związane z realizacją zadań z zakresu administracji rządowej i innych zadań zleconych ustawami - plan po zmianach na rok 2009</t>
  </si>
  <si>
    <t>plan po  zmianach</t>
  </si>
  <si>
    <t>składki na ubezpieczenie zdrowotne opłacane za osoby pobierające niektóre świadczenia z pomocy społecznej, niektóre świadczenia rodzinne oraz  za osoby uczestniczące w zajęciach w centrum integracji społecznej</t>
  </si>
  <si>
    <t>odpady</t>
  </si>
  <si>
    <t xml:space="preserve">Załącznik Nr 1 do Uchwały  Nr XXXII/217/09 </t>
  </si>
  <si>
    <t>Załącznik Nr 2 do Uchwały  Nr XXXII/217/09</t>
  </si>
  <si>
    <t>Rady Miejskiej Trzcianki z dnia 10 września 2009 r. zmieniający</t>
  </si>
  <si>
    <t>Załącznik Nr 3 do Uchwały Nr XXXII/217/09</t>
  </si>
  <si>
    <t>Załącznik Nr 5 do Uchwały Nr XXXII/217/09</t>
  </si>
  <si>
    <t xml:space="preserve">Rady Miejskiej Trzcianki z dnia 10 września 2009 r. </t>
  </si>
  <si>
    <t>wpływy z opłaty produktowej</t>
  </si>
  <si>
    <t>Rady Miejskiej Trzcianki z dnia 24 września 2009 r. zmieniający</t>
  </si>
  <si>
    <t>Załącznik Nr 1 do Uchwały  Nr XXXIII/224/09</t>
  </si>
  <si>
    <t>Załącznik Nr 2 do Uchwały  Nr XXXIII/224/09</t>
  </si>
  <si>
    <t>Załącznik Nr 3 do Uchwały Nr XXXIII/224/09</t>
  </si>
  <si>
    <t>Załącznik Nr 5 do Uchwały Nr XXXIII/224/09</t>
  </si>
  <si>
    <t xml:space="preserve">Rady Miejskiej Trzcianki z dnia 24 września 2009 r. </t>
  </si>
  <si>
    <t>wpływy i wydatki związane z gromadzeniem środków z opłat produktowych</t>
  </si>
  <si>
    <t xml:space="preserve">   </t>
  </si>
  <si>
    <t>maj.</t>
  </si>
  <si>
    <t>biezace</t>
  </si>
  <si>
    <t>oświata</t>
  </si>
  <si>
    <t>śwaidczenia</t>
  </si>
  <si>
    <t>dozywianie</t>
  </si>
  <si>
    <t>hala i znp</t>
  </si>
  <si>
    <t>75023.097</t>
  </si>
  <si>
    <t>85212.2010</t>
  </si>
  <si>
    <t>80101.2030</t>
  </si>
  <si>
    <t>85415.2030</t>
  </si>
  <si>
    <t>85415.3240</t>
  </si>
  <si>
    <t>85214.3110</t>
  </si>
  <si>
    <t>Zarządzanie kryzysowe</t>
  </si>
  <si>
    <t>kary i odszkodowania wypłacane na rzecz osób fizycznych</t>
  </si>
  <si>
    <t>70095.4590</t>
  </si>
  <si>
    <t>85213.2030</t>
  </si>
  <si>
    <t>85295.2030</t>
  </si>
  <si>
    <t>01095.2010</t>
  </si>
  <si>
    <t>80195.2030</t>
  </si>
  <si>
    <t>Rady Miejskiej Trzcianki z dnia 29 października 2009 r. zmieniający</t>
  </si>
  <si>
    <t>Załącznik Nr 5 do Uchwały Nr XXXIV/236/09</t>
  </si>
  <si>
    <t>Załącznik Nr 3 do Uchwały Nr XXXIV/236/09</t>
  </si>
  <si>
    <t>Załącznik Nr 1 do Uchwały  Nr XXXIV/236/09</t>
  </si>
  <si>
    <t>Załącznik Nr 2 do Uchwały  Nr XXXIV/236/09</t>
  </si>
  <si>
    <t xml:space="preserve">Rady Miejskiej Trzcianki z dnia 29 października 2009 r. </t>
  </si>
  <si>
    <t>Rady Miejskiej Trzcianki z dnia 29 października 2009 r.</t>
  </si>
  <si>
    <t>Załącznik Nr 1 do Uchwały  Nr XXXVI/251/09</t>
  </si>
  <si>
    <t>Rady Miejskiej Trzcianki z dnia 23 listopada 2009 r. zmieniający</t>
  </si>
  <si>
    <t>Załącznik Nr 2 do Uchwały  Nr XXXVI/251/09</t>
  </si>
  <si>
    <t xml:space="preserve">Rady Miejskiej Trzcianki z dnia 23 listopada 2009 r. </t>
  </si>
  <si>
    <t>dotacje celowe przekazane gminie na zadania bieżące realizowane na podstawie porozumień  (umów) między jednostkami samorządu terytorialnego</t>
  </si>
  <si>
    <t>Załącznik Nr 1 do Uchwały  Nr XXXVII/260/09</t>
  </si>
  <si>
    <t>Rady Miejskiej Trzcianki z dnia 17 grudnia 2009 r. zmieniający</t>
  </si>
  <si>
    <t>Załącznik Nr 2 do Uchwały  Nr XXXVII/260/09</t>
  </si>
  <si>
    <t>Załącznik Nr 3 do Uchwały Nr XXXVII/260/09</t>
  </si>
  <si>
    <t>Załącznik Nr 6 do Uchwały Nr XXXVII/260/09</t>
  </si>
  <si>
    <t>Załącznik Nr 1 do Zarządzenia Nr 151/09</t>
  </si>
  <si>
    <t>Burmistrza Trzcianki z dnia 28 grudnia 2009 r. zmieniający</t>
  </si>
  <si>
    <t xml:space="preserve">Rady Miejskiej Trzcianki z dnia 17 grudnia 2009 r. </t>
  </si>
  <si>
    <t>Załącznik Nr 2 do Zarządzenia Nr 151/09</t>
  </si>
  <si>
    <t>Załącznik Nr 3 do Zarządzenia Nr 151/09</t>
  </si>
  <si>
    <t>Załącznik Nr 4 do Zarządzenia Nr 151/09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</si>
</sst>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2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9"/>
      <color indexed="10"/>
      <name val="Arial CE"/>
      <family val="0"/>
    </font>
    <font>
      <sz val="8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sz val="9"/>
      <color rgb="FFFF0000"/>
      <name val="Arial CE"/>
      <family val="0"/>
    </font>
    <font>
      <sz val="8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164" fontId="7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 quotePrefix="1">
      <alignment horizontal="center" vertical="center" wrapText="1"/>
    </xf>
    <xf numFmtId="164" fontId="6" fillId="33" borderId="10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/>
    </xf>
    <xf numFmtId="0" fontId="49" fillId="33" borderId="10" xfId="0" applyFont="1" applyFill="1" applyBorder="1" applyAlignment="1" quotePrefix="1">
      <alignment horizontal="center" vertical="center"/>
    </xf>
    <xf numFmtId="0" fontId="49" fillId="0" borderId="0" xfId="0" applyFont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4" fontId="49" fillId="33" borderId="10" xfId="0" applyNumberFormat="1" applyFont="1" applyFill="1" applyBorder="1" applyAlignment="1">
      <alignment vertical="center"/>
    </xf>
    <xf numFmtId="0" fontId="3" fillId="33" borderId="12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50" fillId="0" borderId="0" xfId="0" applyNumberFormat="1" applyFont="1" applyFill="1" applyAlignment="1">
      <alignment vertical="center"/>
    </xf>
    <xf numFmtId="4" fontId="50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0" borderId="15" xfId="0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4" fontId="2" fillId="0" borderId="0" xfId="0" applyNumberFormat="1" applyFont="1" applyAlignment="1">
      <alignment/>
    </xf>
    <xf numFmtId="4" fontId="3" fillId="0" borderId="16" xfId="0" applyNumberFormat="1" applyFont="1" applyFill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9" fillId="0" borderId="10" xfId="0" applyNumberFormat="1" applyFont="1" applyFill="1" applyBorder="1" applyAlignment="1">
      <alignment horizontal="right" vertical="center"/>
    </xf>
    <xf numFmtId="4" fontId="49" fillId="0" borderId="10" xfId="0" applyNumberFormat="1" applyFont="1" applyFill="1" applyBorder="1" applyAlignment="1">
      <alignment vertical="center"/>
    </xf>
    <xf numFmtId="4" fontId="49" fillId="34" borderId="10" xfId="0" applyNumberFormat="1" applyFont="1" applyFill="1" applyBorder="1" applyAlignment="1">
      <alignment horizontal="right" vertical="center"/>
    </xf>
    <xf numFmtId="4" fontId="49" fillId="34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vertical="center"/>
    </xf>
    <xf numFmtId="0" fontId="51" fillId="33" borderId="10" xfId="0" applyFont="1" applyFill="1" applyBorder="1" applyAlignment="1" quotePrefix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 indent="1"/>
    </xf>
    <xf numFmtId="4" fontId="51" fillId="33" borderId="1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8"/>
  <sheetViews>
    <sheetView zoomScalePageLayoutView="0" workbookViewId="0" topLeftCell="A1">
      <selection activeCell="AN10" sqref="AN10"/>
    </sheetView>
  </sheetViews>
  <sheetFormatPr defaultColWidth="9.00390625" defaultRowHeight="12.75"/>
  <cols>
    <col min="1" max="1" width="5.25390625" style="6" customWidth="1"/>
    <col min="2" max="2" width="7.25390625" style="6" bestFit="1" customWidth="1"/>
    <col min="3" max="3" width="5.25390625" style="6" customWidth="1"/>
    <col min="4" max="4" width="32.25390625" style="6" customWidth="1"/>
    <col min="5" max="5" width="14.625" style="22" hidden="1" customWidth="1"/>
    <col min="6" max="6" width="11.25390625" style="22" hidden="1" customWidth="1"/>
    <col min="7" max="7" width="13.875" style="22" hidden="1" customWidth="1"/>
    <col min="8" max="8" width="14.25390625" style="22" hidden="1" customWidth="1"/>
    <col min="9" max="9" width="14.75390625" style="22" hidden="1" customWidth="1"/>
    <col min="10" max="10" width="14.25390625" style="22" hidden="1" customWidth="1"/>
    <col min="11" max="11" width="14.75390625" style="22" hidden="1" customWidth="1"/>
    <col min="12" max="12" width="14.25390625" style="22" hidden="1" customWidth="1"/>
    <col min="13" max="13" width="16.625" style="22" hidden="1" customWidth="1"/>
    <col min="14" max="14" width="16.25390625" style="22" hidden="1" customWidth="1"/>
    <col min="15" max="15" width="40.00390625" style="22" hidden="1" customWidth="1"/>
    <col min="16" max="16" width="9.875" style="22" hidden="1" customWidth="1"/>
    <col min="17" max="20" width="14.75390625" style="22" hidden="1" customWidth="1"/>
    <col min="21" max="21" width="1.75390625" style="22" hidden="1" customWidth="1"/>
    <col min="22" max="23" width="14.75390625" style="22" hidden="1" customWidth="1"/>
    <col min="24" max="24" width="8.875" style="22" hidden="1" customWidth="1"/>
    <col min="25" max="25" width="42.75390625" style="22" hidden="1" customWidth="1"/>
    <col min="26" max="26" width="9.875" style="22" hidden="1" customWidth="1"/>
    <col min="27" max="28" width="14.75390625" style="22" hidden="1" customWidth="1"/>
    <col min="29" max="29" width="45.75390625" style="22" hidden="1" customWidth="1"/>
    <col min="30" max="30" width="10.375" style="22" hidden="1" customWidth="1"/>
    <col min="31" max="31" width="48.00390625" style="22" hidden="1" customWidth="1"/>
    <col min="32" max="32" width="11.875" style="22" hidden="1" customWidth="1"/>
    <col min="33" max="33" width="45.25390625" style="22" hidden="1" customWidth="1"/>
    <col min="34" max="34" width="8.875" style="22" hidden="1" customWidth="1"/>
    <col min="35" max="35" width="44.25390625" style="22" hidden="1" customWidth="1"/>
    <col min="36" max="36" width="9.875" style="22" hidden="1" customWidth="1"/>
    <col min="37" max="39" width="14.75390625" style="22" customWidth="1"/>
    <col min="40" max="40" width="10.625" style="0" bestFit="1" customWidth="1"/>
    <col min="41" max="41" width="12.75390625" style="0" bestFit="1" customWidth="1"/>
    <col min="42" max="42" width="10.625" style="0" bestFit="1" customWidth="1"/>
    <col min="43" max="43" width="10.00390625" style="0" bestFit="1" customWidth="1"/>
  </cols>
  <sheetData>
    <row r="1" spans="1:39" ht="12.75">
      <c r="A1" s="37"/>
      <c r="B1" s="37"/>
      <c r="C1" s="37"/>
      <c r="D1" s="37"/>
      <c r="E1" s="38" t="s">
        <v>158</v>
      </c>
      <c r="F1" s="38"/>
      <c r="G1" s="38" t="s">
        <v>210</v>
      </c>
      <c r="H1" s="38"/>
      <c r="I1" s="38" t="s">
        <v>229</v>
      </c>
      <c r="J1" s="38"/>
      <c r="K1" s="38" t="s">
        <v>234</v>
      </c>
      <c r="L1" s="38"/>
      <c r="M1" s="38" t="s">
        <v>236</v>
      </c>
      <c r="N1" s="38"/>
      <c r="O1" s="38" t="s">
        <v>240</v>
      </c>
      <c r="P1" s="38"/>
      <c r="Q1" s="38" t="s">
        <v>246</v>
      </c>
      <c r="R1" s="38"/>
      <c r="S1" s="38" t="s">
        <v>249</v>
      </c>
      <c r="T1" s="38"/>
      <c r="U1" s="38" t="s">
        <v>258</v>
      </c>
      <c r="V1" s="38"/>
      <c r="W1" s="38" t="s">
        <v>261</v>
      </c>
      <c r="X1" s="38"/>
      <c r="Y1" s="38" t="s">
        <v>367</v>
      </c>
      <c r="Z1" s="38"/>
      <c r="AA1" s="38" t="s">
        <v>389</v>
      </c>
      <c r="AB1" s="38"/>
      <c r="AC1" s="38" t="s">
        <v>397</v>
      </c>
      <c r="AD1" s="38"/>
      <c r="AE1" s="38" t="s">
        <v>426</v>
      </c>
      <c r="AF1" s="38"/>
      <c r="AG1" s="38" t="s">
        <v>430</v>
      </c>
      <c r="AH1" s="38"/>
      <c r="AI1" s="38" t="s">
        <v>435</v>
      </c>
      <c r="AJ1" s="38"/>
      <c r="AK1" s="38" t="s">
        <v>440</v>
      </c>
      <c r="AL1" s="38"/>
      <c r="AM1" s="38"/>
    </row>
    <row r="2" spans="1:39" ht="12.75">
      <c r="A2" s="37"/>
      <c r="B2" s="37"/>
      <c r="C2" s="37"/>
      <c r="D2" s="37"/>
      <c r="E2" s="38" t="s">
        <v>178</v>
      </c>
      <c r="F2" s="38"/>
      <c r="G2" s="38" t="s">
        <v>211</v>
      </c>
      <c r="H2" s="38"/>
      <c r="I2" s="38" t="s">
        <v>230</v>
      </c>
      <c r="J2" s="38"/>
      <c r="K2" s="38" t="s">
        <v>233</v>
      </c>
      <c r="L2" s="38"/>
      <c r="M2" s="38" t="s">
        <v>237</v>
      </c>
      <c r="N2" s="38"/>
      <c r="O2" s="38" t="s">
        <v>239</v>
      </c>
      <c r="P2" s="38"/>
      <c r="Q2" s="38" t="s">
        <v>245</v>
      </c>
      <c r="R2" s="38"/>
      <c r="S2" s="38" t="s">
        <v>247</v>
      </c>
      <c r="T2" s="38"/>
      <c r="U2" s="38" t="s">
        <v>257</v>
      </c>
      <c r="V2" s="38"/>
      <c r="W2" s="38" t="s">
        <v>262</v>
      </c>
      <c r="X2" s="38"/>
      <c r="Y2" s="38" t="s">
        <v>271</v>
      </c>
      <c r="Z2" s="38"/>
      <c r="AA2" s="38" t="s">
        <v>391</v>
      </c>
      <c r="AB2" s="38"/>
      <c r="AC2" s="38" t="s">
        <v>396</v>
      </c>
      <c r="AD2" s="38"/>
      <c r="AE2" s="38" t="s">
        <v>423</v>
      </c>
      <c r="AF2" s="38"/>
      <c r="AG2" s="38" t="s">
        <v>431</v>
      </c>
      <c r="AH2" s="38"/>
      <c r="AI2" s="38" t="s">
        <v>436</v>
      </c>
      <c r="AJ2" s="38"/>
      <c r="AK2" s="38" t="s">
        <v>441</v>
      </c>
      <c r="AL2" s="38"/>
      <c r="AM2" s="38"/>
    </row>
    <row r="3" spans="1:39" ht="12.75">
      <c r="A3" s="37"/>
      <c r="B3" s="37"/>
      <c r="C3" s="37"/>
      <c r="D3" s="37"/>
      <c r="E3" s="38" t="s">
        <v>119</v>
      </c>
      <c r="F3" s="38"/>
      <c r="G3" s="38" t="s">
        <v>208</v>
      </c>
      <c r="H3" s="38"/>
      <c r="I3" s="38" t="s">
        <v>210</v>
      </c>
      <c r="J3" s="38"/>
      <c r="K3" s="38" t="s">
        <v>229</v>
      </c>
      <c r="L3" s="38"/>
      <c r="M3" s="38" t="s">
        <v>234</v>
      </c>
      <c r="N3" s="38"/>
      <c r="O3" s="38" t="s">
        <v>236</v>
      </c>
      <c r="P3" s="38"/>
      <c r="Q3" s="38" t="s">
        <v>240</v>
      </c>
      <c r="R3" s="38"/>
      <c r="S3" s="38" t="s">
        <v>246</v>
      </c>
      <c r="T3" s="38"/>
      <c r="U3" s="38" t="s">
        <v>249</v>
      </c>
      <c r="V3" s="38"/>
      <c r="W3" s="38" t="s">
        <v>258</v>
      </c>
      <c r="X3" s="38"/>
      <c r="Y3" s="38" t="s">
        <v>261</v>
      </c>
      <c r="Z3" s="38"/>
      <c r="AA3" s="38" t="s">
        <v>367</v>
      </c>
      <c r="AB3" s="38"/>
      <c r="AC3" s="38" t="s">
        <v>389</v>
      </c>
      <c r="AD3" s="38"/>
      <c r="AE3" s="38" t="s">
        <v>397</v>
      </c>
      <c r="AF3" s="38"/>
      <c r="AG3" s="38" t="s">
        <v>426</v>
      </c>
      <c r="AH3" s="38"/>
      <c r="AI3" s="38" t="s">
        <v>430</v>
      </c>
      <c r="AJ3" s="38"/>
      <c r="AK3" s="38" t="s">
        <v>435</v>
      </c>
      <c r="AL3" s="38"/>
      <c r="AM3" s="38"/>
    </row>
    <row r="4" spans="1:39" ht="12.75">
      <c r="A4" s="37"/>
      <c r="B4" s="37"/>
      <c r="C4" s="37"/>
      <c r="D4" s="37"/>
      <c r="E4" s="38" t="s">
        <v>179</v>
      </c>
      <c r="F4" s="38"/>
      <c r="G4" s="38" t="s">
        <v>209</v>
      </c>
      <c r="H4" s="38"/>
      <c r="I4" s="38" t="s">
        <v>215</v>
      </c>
      <c r="J4" s="38"/>
      <c r="K4" s="38" t="s">
        <v>231</v>
      </c>
      <c r="L4" s="38"/>
      <c r="M4" s="38" t="s">
        <v>235</v>
      </c>
      <c r="N4" s="38"/>
      <c r="O4" s="38" t="s">
        <v>238</v>
      </c>
      <c r="P4" s="38"/>
      <c r="Q4" s="38" t="s">
        <v>241</v>
      </c>
      <c r="R4" s="38"/>
      <c r="S4" s="38" t="s">
        <v>248</v>
      </c>
      <c r="T4" s="38"/>
      <c r="U4" s="38" t="s">
        <v>250</v>
      </c>
      <c r="V4" s="38"/>
      <c r="W4" s="38" t="s">
        <v>260</v>
      </c>
      <c r="X4" s="38"/>
      <c r="Y4" s="38" t="s">
        <v>263</v>
      </c>
      <c r="Z4" s="38"/>
      <c r="AA4" s="38" t="s">
        <v>368</v>
      </c>
      <c r="AB4" s="38"/>
      <c r="AC4" s="38" t="s">
        <v>394</v>
      </c>
      <c r="AD4" s="38"/>
      <c r="AE4" s="38" t="s">
        <v>401</v>
      </c>
      <c r="AF4" s="38"/>
      <c r="AG4" s="38" t="s">
        <v>428</v>
      </c>
      <c r="AH4" s="38"/>
      <c r="AI4" s="38" t="s">
        <v>433</v>
      </c>
      <c r="AJ4" s="38"/>
      <c r="AK4" s="38" t="s">
        <v>442</v>
      </c>
      <c r="AL4" s="38"/>
      <c r="AM4" s="38"/>
    </row>
    <row r="5" spans="1:39" ht="18.75" customHeight="1">
      <c r="A5" s="72" t="s">
        <v>213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</row>
    <row r="6" spans="1:39" s="6" customFormat="1" ht="24.75" customHeight="1">
      <c r="A6" s="4" t="s">
        <v>0</v>
      </c>
      <c r="B6" s="3" t="s">
        <v>1</v>
      </c>
      <c r="C6" s="18" t="s">
        <v>2</v>
      </c>
      <c r="D6" s="4" t="s">
        <v>3</v>
      </c>
      <c r="E6" s="7" t="s">
        <v>116</v>
      </c>
      <c r="F6" s="7" t="s">
        <v>205</v>
      </c>
      <c r="G6" s="7" t="s">
        <v>116</v>
      </c>
      <c r="H6" s="7" t="s">
        <v>205</v>
      </c>
      <c r="I6" s="7" t="s">
        <v>117</v>
      </c>
      <c r="J6" s="7" t="s">
        <v>205</v>
      </c>
      <c r="K6" s="7" t="s">
        <v>117</v>
      </c>
      <c r="L6" s="7" t="s">
        <v>205</v>
      </c>
      <c r="M6" s="7" t="s">
        <v>117</v>
      </c>
      <c r="N6" s="7" t="s">
        <v>205</v>
      </c>
      <c r="O6" s="7" t="s">
        <v>116</v>
      </c>
      <c r="P6" s="7" t="s">
        <v>205</v>
      </c>
      <c r="Q6" s="7" t="s">
        <v>117</v>
      </c>
      <c r="R6" s="7" t="s">
        <v>205</v>
      </c>
      <c r="S6" s="7" t="s">
        <v>117</v>
      </c>
      <c r="T6" s="7" t="s">
        <v>205</v>
      </c>
      <c r="U6" s="7" t="s">
        <v>117</v>
      </c>
      <c r="V6" s="7" t="s">
        <v>205</v>
      </c>
      <c r="W6" s="7" t="s">
        <v>117</v>
      </c>
      <c r="X6" s="7" t="s">
        <v>205</v>
      </c>
      <c r="Y6" s="7" t="s">
        <v>117</v>
      </c>
      <c r="Z6" s="7" t="s">
        <v>205</v>
      </c>
      <c r="AA6" s="7" t="s">
        <v>117</v>
      </c>
      <c r="AB6" s="7" t="s">
        <v>205</v>
      </c>
      <c r="AC6" s="7" t="s">
        <v>117</v>
      </c>
      <c r="AD6" s="7" t="s">
        <v>205</v>
      </c>
      <c r="AE6" s="7" t="s">
        <v>117</v>
      </c>
      <c r="AF6" s="7" t="s">
        <v>205</v>
      </c>
      <c r="AG6" s="7" t="s">
        <v>117</v>
      </c>
      <c r="AH6" s="7" t="s">
        <v>205</v>
      </c>
      <c r="AI6" s="7" t="s">
        <v>117</v>
      </c>
      <c r="AJ6" s="7" t="s">
        <v>205</v>
      </c>
      <c r="AK6" s="7" t="s">
        <v>117</v>
      </c>
      <c r="AL6" s="7" t="s">
        <v>205</v>
      </c>
      <c r="AM6" s="7" t="s">
        <v>207</v>
      </c>
    </row>
    <row r="7" spans="1:39" s="6" customFormat="1" ht="24" customHeight="1">
      <c r="A7" s="62" t="s">
        <v>4</v>
      </c>
      <c r="B7" s="3"/>
      <c r="C7" s="18"/>
      <c r="D7" s="70" t="s">
        <v>5</v>
      </c>
      <c r="E7" s="17">
        <f aca="true" t="shared" si="0" ref="E7:AM7">SUM(E8)</f>
        <v>239800</v>
      </c>
      <c r="F7" s="17">
        <f t="shared" si="0"/>
        <v>400000</v>
      </c>
      <c r="G7" s="17">
        <f t="shared" si="0"/>
        <v>639800</v>
      </c>
      <c r="H7" s="17">
        <f t="shared" si="0"/>
        <v>0</v>
      </c>
      <c r="I7" s="17">
        <f t="shared" si="0"/>
        <v>639800</v>
      </c>
      <c r="J7" s="17">
        <f t="shared" si="0"/>
        <v>0</v>
      </c>
      <c r="K7" s="17">
        <f t="shared" si="0"/>
        <v>639800</v>
      </c>
      <c r="L7" s="17">
        <f t="shared" si="0"/>
        <v>0</v>
      </c>
      <c r="M7" s="17">
        <f t="shared" si="0"/>
        <v>639800</v>
      </c>
      <c r="N7" s="17">
        <f t="shared" si="0"/>
        <v>0</v>
      </c>
      <c r="O7" s="17">
        <f t="shared" si="0"/>
        <v>639800</v>
      </c>
      <c r="P7" s="17">
        <f t="shared" si="0"/>
        <v>285502</v>
      </c>
      <c r="Q7" s="17">
        <f t="shared" si="0"/>
        <v>925302</v>
      </c>
      <c r="R7" s="17">
        <f t="shared" si="0"/>
        <v>0</v>
      </c>
      <c r="S7" s="17">
        <f t="shared" si="0"/>
        <v>925302</v>
      </c>
      <c r="T7" s="17">
        <f t="shared" si="0"/>
        <v>0</v>
      </c>
      <c r="U7" s="17">
        <f t="shared" si="0"/>
        <v>925302</v>
      </c>
      <c r="V7" s="17">
        <f t="shared" si="0"/>
        <v>0</v>
      </c>
      <c r="W7" s="17">
        <f t="shared" si="0"/>
        <v>925302</v>
      </c>
      <c r="X7" s="17">
        <f t="shared" si="0"/>
        <v>0</v>
      </c>
      <c r="Y7" s="17">
        <f t="shared" si="0"/>
        <v>925302</v>
      </c>
      <c r="Z7" s="17">
        <f t="shared" si="0"/>
        <v>0</v>
      </c>
      <c r="AA7" s="17">
        <f t="shared" si="0"/>
        <v>925302</v>
      </c>
      <c r="AB7" s="17">
        <f t="shared" si="0"/>
        <v>0</v>
      </c>
      <c r="AC7" s="17">
        <f t="shared" si="0"/>
        <v>925302</v>
      </c>
      <c r="AD7" s="17">
        <f t="shared" si="0"/>
        <v>0</v>
      </c>
      <c r="AE7" s="17">
        <f t="shared" si="0"/>
        <v>925302</v>
      </c>
      <c r="AF7" s="17">
        <f t="shared" si="0"/>
        <v>129947</v>
      </c>
      <c r="AG7" s="17">
        <f t="shared" si="0"/>
        <v>1055249</v>
      </c>
      <c r="AH7" s="17">
        <f t="shared" si="0"/>
        <v>0</v>
      </c>
      <c r="AI7" s="17">
        <f t="shared" si="0"/>
        <v>1055249</v>
      </c>
      <c r="AJ7" s="17">
        <f t="shared" si="0"/>
        <v>1200</v>
      </c>
      <c r="AK7" s="17">
        <f t="shared" si="0"/>
        <v>1056449</v>
      </c>
      <c r="AL7" s="17">
        <f t="shared" si="0"/>
        <v>134970</v>
      </c>
      <c r="AM7" s="17">
        <f t="shared" si="0"/>
        <v>1191419</v>
      </c>
    </row>
    <row r="8" spans="1:39" s="20" customFormat="1" ht="24" customHeight="1">
      <c r="A8" s="51"/>
      <c r="B8" s="49" t="s">
        <v>187</v>
      </c>
      <c r="C8" s="53"/>
      <c r="D8" s="71" t="s">
        <v>6</v>
      </c>
      <c r="E8" s="57">
        <f aca="true" t="shared" si="1" ref="E8:K8">SUM(E9:E10)</f>
        <v>239800</v>
      </c>
      <c r="F8" s="57">
        <f t="shared" si="1"/>
        <v>400000</v>
      </c>
      <c r="G8" s="84">
        <f t="shared" si="1"/>
        <v>639800</v>
      </c>
      <c r="H8" s="57">
        <f t="shared" si="1"/>
        <v>0</v>
      </c>
      <c r="I8" s="84">
        <f t="shared" si="1"/>
        <v>639800</v>
      </c>
      <c r="J8" s="57">
        <f t="shared" si="1"/>
        <v>0</v>
      </c>
      <c r="K8" s="84">
        <f t="shared" si="1"/>
        <v>639800</v>
      </c>
      <c r="L8" s="57">
        <f>SUM(L9:L10)</f>
        <v>0</v>
      </c>
      <c r="M8" s="84">
        <f>SUM(M9:M10)</f>
        <v>639800</v>
      </c>
      <c r="N8" s="57">
        <f>SUM(N9:N10)</f>
        <v>0</v>
      </c>
      <c r="O8" s="84">
        <f>SUM(O9:O10)</f>
        <v>639800</v>
      </c>
      <c r="P8" s="57">
        <f aca="true" t="shared" si="2" ref="P8:U8">SUM(P9:P11)</f>
        <v>285502</v>
      </c>
      <c r="Q8" s="57">
        <f t="shared" si="2"/>
        <v>925302</v>
      </c>
      <c r="R8" s="57">
        <f t="shared" si="2"/>
        <v>0</v>
      </c>
      <c r="S8" s="57">
        <f t="shared" si="2"/>
        <v>925302</v>
      </c>
      <c r="T8" s="57">
        <f t="shared" si="2"/>
        <v>0</v>
      </c>
      <c r="U8" s="57">
        <f t="shared" si="2"/>
        <v>925302</v>
      </c>
      <c r="V8" s="57">
        <f aca="true" t="shared" si="3" ref="V8:AA8">SUM(V9:V11)</f>
        <v>0</v>
      </c>
      <c r="W8" s="57">
        <f t="shared" si="3"/>
        <v>925302</v>
      </c>
      <c r="X8" s="57">
        <f t="shared" si="3"/>
        <v>0</v>
      </c>
      <c r="Y8" s="57">
        <f t="shared" si="3"/>
        <v>925302</v>
      </c>
      <c r="Z8" s="57">
        <f t="shared" si="3"/>
        <v>0</v>
      </c>
      <c r="AA8" s="57">
        <f t="shared" si="3"/>
        <v>925302</v>
      </c>
      <c r="AB8" s="57">
        <f aca="true" t="shared" si="4" ref="AB8:AG8">SUM(AB9:AB11)</f>
        <v>0</v>
      </c>
      <c r="AC8" s="57">
        <f t="shared" si="4"/>
        <v>925302</v>
      </c>
      <c r="AD8" s="57">
        <f t="shared" si="4"/>
        <v>0</v>
      </c>
      <c r="AE8" s="57">
        <f t="shared" si="4"/>
        <v>925302</v>
      </c>
      <c r="AF8" s="57">
        <f t="shared" si="4"/>
        <v>129947</v>
      </c>
      <c r="AG8" s="57">
        <f t="shared" si="4"/>
        <v>1055249</v>
      </c>
      <c r="AH8" s="57">
        <f>SUM(AH9:AH11)</f>
        <v>0</v>
      </c>
      <c r="AI8" s="57">
        <f>SUM(AI9:AI12)</f>
        <v>1055249</v>
      </c>
      <c r="AJ8" s="57">
        <f>SUM(AJ9:AJ12)</f>
        <v>1200</v>
      </c>
      <c r="AK8" s="57">
        <f>SUM(AK9:AK12)</f>
        <v>1056449</v>
      </c>
      <c r="AL8" s="57">
        <f>SUM(AL9:AL12)</f>
        <v>134970</v>
      </c>
      <c r="AM8" s="57">
        <f>SUM(AM9:AM12)</f>
        <v>1191419</v>
      </c>
    </row>
    <row r="9" spans="1:39" s="20" customFormat="1" ht="67.5">
      <c r="A9" s="51"/>
      <c r="B9" s="34"/>
      <c r="C9" s="52" t="s">
        <v>131</v>
      </c>
      <c r="D9" s="50" t="s">
        <v>55</v>
      </c>
      <c r="E9" s="57">
        <f>110000+9800</f>
        <v>119800</v>
      </c>
      <c r="F9" s="57"/>
      <c r="G9" s="84">
        <f aca="true" t="shared" si="5" ref="G9:G81">SUM(E9:F9)</f>
        <v>119800</v>
      </c>
      <c r="H9" s="57"/>
      <c r="I9" s="84">
        <f>SUM(G9:H9)</f>
        <v>119800</v>
      </c>
      <c r="J9" s="57"/>
      <c r="K9" s="84">
        <f>SUM(I9:J9)</f>
        <v>119800</v>
      </c>
      <c r="L9" s="57"/>
      <c r="M9" s="84">
        <f>SUM(K9:L9)</f>
        <v>119800</v>
      </c>
      <c r="N9" s="57"/>
      <c r="O9" s="84">
        <f>SUM(M9:N9)</f>
        <v>119800</v>
      </c>
      <c r="P9" s="57"/>
      <c r="Q9" s="84">
        <f>SUM(O9:P9)</f>
        <v>119800</v>
      </c>
      <c r="R9" s="57"/>
      <c r="S9" s="84">
        <f>SUM(Q9:R9)</f>
        <v>119800</v>
      </c>
      <c r="T9" s="57"/>
      <c r="U9" s="84">
        <f>SUM(S9:T9)</f>
        <v>119800</v>
      </c>
      <c r="V9" s="57"/>
      <c r="W9" s="84">
        <f>SUM(U9:V9)</f>
        <v>119800</v>
      </c>
      <c r="X9" s="57"/>
      <c r="Y9" s="84">
        <f>SUM(W9:X9)</f>
        <v>119800</v>
      </c>
      <c r="Z9" s="57"/>
      <c r="AA9" s="84">
        <f>SUM(Y9:Z9)</f>
        <v>119800</v>
      </c>
      <c r="AB9" s="57"/>
      <c r="AC9" s="84">
        <f>SUM(AA9:AB9)</f>
        <v>119800</v>
      </c>
      <c r="AD9" s="57"/>
      <c r="AE9" s="84">
        <f>SUM(AC9:AD9)</f>
        <v>119800</v>
      </c>
      <c r="AF9" s="57"/>
      <c r="AG9" s="84">
        <f>SUM(AE9:AF9)</f>
        <v>119800</v>
      </c>
      <c r="AH9" s="57"/>
      <c r="AI9" s="84">
        <f>SUM(AG9:AH9)</f>
        <v>119800</v>
      </c>
      <c r="AJ9" s="57"/>
      <c r="AK9" s="84">
        <f>SUM(AI9:AJ9)</f>
        <v>119800</v>
      </c>
      <c r="AL9" s="57"/>
      <c r="AM9" s="84">
        <f>SUM(AK9:AL9)</f>
        <v>119800</v>
      </c>
    </row>
    <row r="10" spans="1:43" s="20" customFormat="1" ht="33.75">
      <c r="A10" s="51"/>
      <c r="B10" s="34"/>
      <c r="C10" s="52" t="s">
        <v>188</v>
      </c>
      <c r="D10" s="50" t="s">
        <v>189</v>
      </c>
      <c r="E10" s="57">
        <v>120000</v>
      </c>
      <c r="F10" s="57">
        <v>400000</v>
      </c>
      <c r="G10" s="84">
        <f t="shared" si="5"/>
        <v>520000</v>
      </c>
      <c r="H10" s="57"/>
      <c r="I10" s="84">
        <f>SUM(G10:H10)</f>
        <v>520000</v>
      </c>
      <c r="J10" s="57"/>
      <c r="K10" s="84">
        <f>SUM(I10:J10)</f>
        <v>520000</v>
      </c>
      <c r="L10" s="57"/>
      <c r="M10" s="84">
        <f>SUM(K10:L10)</f>
        <v>520000</v>
      </c>
      <c r="N10" s="57"/>
      <c r="O10" s="84">
        <f>SUM(M10:N10)</f>
        <v>520000</v>
      </c>
      <c r="P10" s="57"/>
      <c r="Q10" s="84">
        <f>SUM(O10:P10)</f>
        <v>520000</v>
      </c>
      <c r="R10" s="57"/>
      <c r="S10" s="84">
        <f>SUM(Q10:R10)</f>
        <v>520000</v>
      </c>
      <c r="T10" s="57"/>
      <c r="U10" s="84">
        <f>SUM(S10:T10)</f>
        <v>520000</v>
      </c>
      <c r="V10" s="57"/>
      <c r="W10" s="84">
        <f>SUM(U10:V10)</f>
        <v>520000</v>
      </c>
      <c r="X10" s="57"/>
      <c r="Y10" s="84">
        <f>SUM(W10:X10)</f>
        <v>520000</v>
      </c>
      <c r="Z10" s="57"/>
      <c r="AA10" s="84">
        <f>SUM(Y10:Z10)</f>
        <v>520000</v>
      </c>
      <c r="AB10" s="57"/>
      <c r="AC10" s="84">
        <f>SUM(AA10:AB10)</f>
        <v>520000</v>
      </c>
      <c r="AD10" s="57"/>
      <c r="AE10" s="84">
        <f>SUM(AC10:AD10)</f>
        <v>520000</v>
      </c>
      <c r="AF10" s="57">
        <f>-480000+480000</f>
        <v>0</v>
      </c>
      <c r="AG10" s="84">
        <f>SUM(AE10:AF10)</f>
        <v>520000</v>
      </c>
      <c r="AH10" s="57">
        <f>-480000+480000</f>
        <v>0</v>
      </c>
      <c r="AI10" s="84">
        <f>SUM(AG10:AH10)</f>
        <v>520000</v>
      </c>
      <c r="AJ10" s="57">
        <f>-480000+480000</f>
        <v>0</v>
      </c>
      <c r="AK10" s="84">
        <f>SUM(AI10:AJ10)</f>
        <v>520000</v>
      </c>
      <c r="AL10" s="57">
        <f>-480000+480000</f>
        <v>0</v>
      </c>
      <c r="AM10" s="84">
        <f>SUM(AK10:AL10)</f>
        <v>520000</v>
      </c>
      <c r="AN10" s="67"/>
      <c r="AP10" s="67"/>
      <c r="AQ10" s="67"/>
    </row>
    <row r="11" spans="1:41" s="20" customFormat="1" ht="56.25">
      <c r="A11" s="51"/>
      <c r="B11" s="34"/>
      <c r="C11" s="52">
        <v>2010</v>
      </c>
      <c r="D11" s="50" t="s">
        <v>172</v>
      </c>
      <c r="E11" s="57"/>
      <c r="F11" s="57"/>
      <c r="G11" s="84"/>
      <c r="H11" s="57"/>
      <c r="I11" s="84"/>
      <c r="J11" s="57"/>
      <c r="K11" s="84"/>
      <c r="L11" s="57"/>
      <c r="M11" s="84"/>
      <c r="N11" s="57"/>
      <c r="O11" s="84">
        <v>0</v>
      </c>
      <c r="P11" s="57">
        <v>285502</v>
      </c>
      <c r="Q11" s="84">
        <f>SUM(O11:P11)</f>
        <v>285502</v>
      </c>
      <c r="R11" s="57"/>
      <c r="S11" s="84">
        <f>SUM(Q11:R11)</f>
        <v>285502</v>
      </c>
      <c r="T11" s="57"/>
      <c r="U11" s="84">
        <f>SUM(S11:T11)</f>
        <v>285502</v>
      </c>
      <c r="V11" s="57"/>
      <c r="W11" s="84">
        <f>SUM(U11:V11)</f>
        <v>285502</v>
      </c>
      <c r="X11" s="57"/>
      <c r="Y11" s="84">
        <f>SUM(W11:X11)</f>
        <v>285502</v>
      </c>
      <c r="Z11" s="57"/>
      <c r="AA11" s="84">
        <f>SUM(Y11:Z11)</f>
        <v>285502</v>
      </c>
      <c r="AB11" s="57"/>
      <c r="AC11" s="84">
        <f>SUM(AA11:AB11)</f>
        <v>285502</v>
      </c>
      <c r="AD11" s="57"/>
      <c r="AE11" s="84">
        <f>SUM(AC11:AD11)</f>
        <v>285502</v>
      </c>
      <c r="AF11" s="57">
        <f>129947</f>
        <v>129947</v>
      </c>
      <c r="AG11" s="84">
        <f>SUM(AE11:AF11)</f>
        <v>415449</v>
      </c>
      <c r="AH11" s="57"/>
      <c r="AI11" s="84">
        <f>SUM(AG11:AH11)</f>
        <v>415449</v>
      </c>
      <c r="AJ11" s="57"/>
      <c r="AK11" s="84">
        <f>SUM(AI11:AJ11)</f>
        <v>415449</v>
      </c>
      <c r="AL11" s="57">
        <v>134970</v>
      </c>
      <c r="AM11" s="84">
        <f>SUM(AK11:AL11)</f>
        <v>550419</v>
      </c>
      <c r="AN11" s="67"/>
      <c r="AO11" s="67"/>
    </row>
    <row r="12" spans="1:41" s="20" customFormat="1" ht="30" customHeight="1">
      <c r="A12" s="51"/>
      <c r="B12" s="34"/>
      <c r="C12" s="52" t="s">
        <v>132</v>
      </c>
      <c r="D12" s="50" t="s">
        <v>11</v>
      </c>
      <c r="E12" s="57"/>
      <c r="F12" s="57"/>
      <c r="G12" s="84"/>
      <c r="H12" s="57"/>
      <c r="I12" s="84"/>
      <c r="J12" s="57"/>
      <c r="K12" s="84"/>
      <c r="L12" s="57"/>
      <c r="M12" s="84"/>
      <c r="N12" s="57"/>
      <c r="O12" s="84"/>
      <c r="P12" s="57"/>
      <c r="Q12" s="84"/>
      <c r="R12" s="57"/>
      <c r="S12" s="84"/>
      <c r="T12" s="57"/>
      <c r="U12" s="84"/>
      <c r="V12" s="57"/>
      <c r="W12" s="84"/>
      <c r="X12" s="57"/>
      <c r="Y12" s="84"/>
      <c r="Z12" s="57"/>
      <c r="AA12" s="84"/>
      <c r="AB12" s="57"/>
      <c r="AC12" s="84"/>
      <c r="AD12" s="57"/>
      <c r="AE12" s="84"/>
      <c r="AF12" s="57"/>
      <c r="AG12" s="84"/>
      <c r="AH12" s="57"/>
      <c r="AI12" s="84">
        <v>0</v>
      </c>
      <c r="AJ12" s="57">
        <v>1200</v>
      </c>
      <c r="AK12" s="84">
        <f>SUM(AI12:AJ12)</f>
        <v>1200</v>
      </c>
      <c r="AL12" s="57"/>
      <c r="AM12" s="84">
        <f>SUM(AK12:AL12)</f>
        <v>1200</v>
      </c>
      <c r="AN12" s="67"/>
      <c r="AO12" s="67"/>
    </row>
    <row r="13" spans="1:39" s="5" customFormat="1" ht="24" customHeight="1">
      <c r="A13" s="23" t="s">
        <v>8</v>
      </c>
      <c r="B13" s="1"/>
      <c r="C13" s="2"/>
      <c r="D13" s="24" t="s">
        <v>9</v>
      </c>
      <c r="E13" s="39">
        <f aca="true" t="shared" si="6" ref="E13:AM13">SUM(E14,)</f>
        <v>4801700</v>
      </c>
      <c r="F13" s="39">
        <f t="shared" si="6"/>
        <v>200000</v>
      </c>
      <c r="G13" s="39">
        <f t="shared" si="6"/>
        <v>5001700</v>
      </c>
      <c r="H13" s="39">
        <f t="shared" si="6"/>
        <v>0</v>
      </c>
      <c r="I13" s="39">
        <f t="shared" si="6"/>
        <v>5001700</v>
      </c>
      <c r="J13" s="39">
        <f t="shared" si="6"/>
        <v>0</v>
      </c>
      <c r="K13" s="39">
        <f t="shared" si="6"/>
        <v>5001700</v>
      </c>
      <c r="L13" s="39">
        <f t="shared" si="6"/>
        <v>0</v>
      </c>
      <c r="M13" s="39">
        <f t="shared" si="6"/>
        <v>5001700</v>
      </c>
      <c r="N13" s="39">
        <f t="shared" si="6"/>
        <v>0</v>
      </c>
      <c r="O13" s="39">
        <f t="shared" si="6"/>
        <v>5001700</v>
      </c>
      <c r="P13" s="39">
        <f t="shared" si="6"/>
        <v>0</v>
      </c>
      <c r="Q13" s="39">
        <f t="shared" si="6"/>
        <v>5001700</v>
      </c>
      <c r="R13" s="39">
        <f t="shared" si="6"/>
        <v>0</v>
      </c>
      <c r="S13" s="39">
        <f t="shared" si="6"/>
        <v>5001700</v>
      </c>
      <c r="T13" s="39">
        <f t="shared" si="6"/>
        <v>0</v>
      </c>
      <c r="U13" s="39">
        <f t="shared" si="6"/>
        <v>5001700</v>
      </c>
      <c r="V13" s="39">
        <f t="shared" si="6"/>
        <v>0</v>
      </c>
      <c r="W13" s="39">
        <f t="shared" si="6"/>
        <v>5001700</v>
      </c>
      <c r="X13" s="39">
        <f t="shared" si="6"/>
        <v>0</v>
      </c>
      <c r="Y13" s="39">
        <f t="shared" si="6"/>
        <v>5001700</v>
      </c>
      <c r="Z13" s="39">
        <f t="shared" si="6"/>
        <v>0</v>
      </c>
      <c r="AA13" s="39">
        <f t="shared" si="6"/>
        <v>5001700</v>
      </c>
      <c r="AB13" s="39">
        <f t="shared" si="6"/>
        <v>0</v>
      </c>
      <c r="AC13" s="39">
        <f t="shared" si="6"/>
        <v>5001700</v>
      </c>
      <c r="AD13" s="39">
        <f t="shared" si="6"/>
        <v>0</v>
      </c>
      <c r="AE13" s="39">
        <f t="shared" si="6"/>
        <v>5001700</v>
      </c>
      <c r="AF13" s="39">
        <f t="shared" si="6"/>
        <v>0</v>
      </c>
      <c r="AG13" s="39">
        <f t="shared" si="6"/>
        <v>5001700</v>
      </c>
      <c r="AH13" s="39">
        <f t="shared" si="6"/>
        <v>5800</v>
      </c>
      <c r="AI13" s="39">
        <f t="shared" si="6"/>
        <v>5007500</v>
      </c>
      <c r="AJ13" s="39">
        <f t="shared" si="6"/>
        <v>73000</v>
      </c>
      <c r="AK13" s="39">
        <f t="shared" si="6"/>
        <v>5080500</v>
      </c>
      <c r="AL13" s="39">
        <f t="shared" si="6"/>
        <v>0</v>
      </c>
      <c r="AM13" s="39">
        <f t="shared" si="6"/>
        <v>5080500</v>
      </c>
    </row>
    <row r="14" spans="1:39" s="20" customFormat="1" ht="24" customHeight="1">
      <c r="A14" s="45"/>
      <c r="B14" s="46" t="s">
        <v>10</v>
      </c>
      <c r="C14" s="53"/>
      <c r="D14" s="50" t="s">
        <v>121</v>
      </c>
      <c r="E14" s="44">
        <f aca="true" t="shared" si="7" ref="E14:K14">SUM(E15:E19)</f>
        <v>4801700</v>
      </c>
      <c r="F14" s="44">
        <f t="shared" si="7"/>
        <v>200000</v>
      </c>
      <c r="G14" s="44">
        <f t="shared" si="7"/>
        <v>5001700</v>
      </c>
      <c r="H14" s="44">
        <f t="shared" si="7"/>
        <v>0</v>
      </c>
      <c r="I14" s="44">
        <f t="shared" si="7"/>
        <v>5001700</v>
      </c>
      <c r="J14" s="44">
        <f t="shared" si="7"/>
        <v>0</v>
      </c>
      <c r="K14" s="44">
        <f t="shared" si="7"/>
        <v>5001700</v>
      </c>
      <c r="L14" s="44">
        <f aca="true" t="shared" si="8" ref="L14:Q14">SUM(L15:L19)</f>
        <v>0</v>
      </c>
      <c r="M14" s="44">
        <f t="shared" si="8"/>
        <v>5001700</v>
      </c>
      <c r="N14" s="44">
        <f t="shared" si="8"/>
        <v>0</v>
      </c>
      <c r="O14" s="44">
        <f t="shared" si="8"/>
        <v>5001700</v>
      </c>
      <c r="P14" s="44">
        <f t="shared" si="8"/>
        <v>0</v>
      </c>
      <c r="Q14" s="44">
        <f t="shared" si="8"/>
        <v>5001700</v>
      </c>
      <c r="R14" s="44">
        <f aca="true" t="shared" si="9" ref="R14:W14">SUM(R15:R19)</f>
        <v>0</v>
      </c>
      <c r="S14" s="44">
        <f t="shared" si="9"/>
        <v>5001700</v>
      </c>
      <c r="T14" s="44">
        <f t="shared" si="9"/>
        <v>0</v>
      </c>
      <c r="U14" s="44">
        <f t="shared" si="9"/>
        <v>5001700</v>
      </c>
      <c r="V14" s="44">
        <f t="shared" si="9"/>
        <v>0</v>
      </c>
      <c r="W14" s="44">
        <f t="shared" si="9"/>
        <v>5001700</v>
      </c>
      <c r="X14" s="44">
        <f aca="true" t="shared" si="10" ref="X14:AC14">SUM(X15:X19)</f>
        <v>0</v>
      </c>
      <c r="Y14" s="44">
        <f t="shared" si="10"/>
        <v>5001700</v>
      </c>
      <c r="Z14" s="44">
        <f t="shared" si="10"/>
        <v>0</v>
      </c>
      <c r="AA14" s="44">
        <f t="shared" si="10"/>
        <v>5001700</v>
      </c>
      <c r="AB14" s="44">
        <f t="shared" si="10"/>
        <v>0</v>
      </c>
      <c r="AC14" s="44">
        <f t="shared" si="10"/>
        <v>5001700</v>
      </c>
      <c r="AD14" s="44">
        <f aca="true" t="shared" si="11" ref="AD14:AI14">SUM(AD15:AD19)</f>
        <v>0</v>
      </c>
      <c r="AE14" s="44">
        <f t="shared" si="11"/>
        <v>5001700</v>
      </c>
      <c r="AF14" s="44">
        <f t="shared" si="11"/>
        <v>0</v>
      </c>
      <c r="AG14" s="44">
        <f t="shared" si="11"/>
        <v>5001700</v>
      </c>
      <c r="AH14" s="44">
        <f t="shared" si="11"/>
        <v>5800</v>
      </c>
      <c r="AI14" s="44">
        <f t="shared" si="11"/>
        <v>5007500</v>
      </c>
      <c r="AJ14" s="44">
        <f>SUM(AJ15:AJ19)</f>
        <v>73000</v>
      </c>
      <c r="AK14" s="44">
        <f>SUM(AK15:AK19)</f>
        <v>5080500</v>
      </c>
      <c r="AL14" s="44">
        <f>SUM(AL15:AL19)</f>
        <v>0</v>
      </c>
      <c r="AM14" s="44">
        <f>SUM(AM15:AM19)</f>
        <v>5080500</v>
      </c>
    </row>
    <row r="15" spans="1:39" s="20" customFormat="1" ht="24" customHeight="1">
      <c r="A15" s="45"/>
      <c r="B15" s="34"/>
      <c r="C15" s="52" t="s">
        <v>130</v>
      </c>
      <c r="D15" s="50" t="s">
        <v>171</v>
      </c>
      <c r="E15" s="44">
        <v>140000</v>
      </c>
      <c r="F15" s="44"/>
      <c r="G15" s="84">
        <f t="shared" si="5"/>
        <v>140000</v>
      </c>
      <c r="H15" s="44"/>
      <c r="I15" s="84">
        <f>SUM(G15:H15)</f>
        <v>140000</v>
      </c>
      <c r="J15" s="44"/>
      <c r="K15" s="84">
        <f>SUM(I15:J15)</f>
        <v>140000</v>
      </c>
      <c r="L15" s="44"/>
      <c r="M15" s="84">
        <f>SUM(K15:L15)</f>
        <v>140000</v>
      </c>
      <c r="N15" s="44"/>
      <c r="O15" s="84">
        <f>SUM(M15:N15)</f>
        <v>140000</v>
      </c>
      <c r="P15" s="44"/>
      <c r="Q15" s="84">
        <f>SUM(O15:P15)</f>
        <v>140000</v>
      </c>
      <c r="R15" s="44"/>
      <c r="S15" s="84">
        <f>SUM(Q15:R15)</f>
        <v>140000</v>
      </c>
      <c r="T15" s="44"/>
      <c r="U15" s="84">
        <f>SUM(S15:T15)</f>
        <v>140000</v>
      </c>
      <c r="V15" s="44"/>
      <c r="W15" s="84">
        <f>SUM(U15:V15)</f>
        <v>140000</v>
      </c>
      <c r="X15" s="44"/>
      <c r="Y15" s="84">
        <f>SUM(W15:X15)</f>
        <v>140000</v>
      </c>
      <c r="Z15" s="44"/>
      <c r="AA15" s="84">
        <f>SUM(Y15:Z15)</f>
        <v>140000</v>
      </c>
      <c r="AB15" s="44"/>
      <c r="AC15" s="84">
        <f>SUM(AA15:AB15)</f>
        <v>140000</v>
      </c>
      <c r="AD15" s="44"/>
      <c r="AE15" s="84">
        <f>SUM(AC15:AD15)</f>
        <v>140000</v>
      </c>
      <c r="AF15" s="44"/>
      <c r="AG15" s="84">
        <f>SUM(AE15:AF15)</f>
        <v>140000</v>
      </c>
      <c r="AH15" s="44"/>
      <c r="AI15" s="84">
        <f>SUM(AG15:AH15)</f>
        <v>140000</v>
      </c>
      <c r="AJ15" s="44"/>
      <c r="AK15" s="84">
        <f>SUM(AI15:AJ15)</f>
        <v>140000</v>
      </c>
      <c r="AL15" s="44"/>
      <c r="AM15" s="84">
        <f>SUM(AK15:AL15)</f>
        <v>140000</v>
      </c>
    </row>
    <row r="16" spans="1:39" s="20" customFormat="1" ht="67.5">
      <c r="A16" s="45"/>
      <c r="B16" s="34"/>
      <c r="C16" s="47" t="s">
        <v>131</v>
      </c>
      <c r="D16" s="50" t="s">
        <v>55</v>
      </c>
      <c r="E16" s="44">
        <f>16000+82000+8000+4000+1420000+280000</f>
        <v>1810000</v>
      </c>
      <c r="F16" s="44"/>
      <c r="G16" s="84">
        <f t="shared" si="5"/>
        <v>1810000</v>
      </c>
      <c r="H16" s="44"/>
      <c r="I16" s="84">
        <f>SUM(G16:H16)</f>
        <v>1810000</v>
      </c>
      <c r="J16" s="44"/>
      <c r="K16" s="84">
        <f>SUM(I16:J16)</f>
        <v>1810000</v>
      </c>
      <c r="L16" s="44"/>
      <c r="M16" s="84">
        <f>SUM(K16:L16)</f>
        <v>1810000</v>
      </c>
      <c r="N16" s="44"/>
      <c r="O16" s="84">
        <f>SUM(M16:N16)</f>
        <v>1810000</v>
      </c>
      <c r="P16" s="44"/>
      <c r="Q16" s="84">
        <f>SUM(O16:P16)</f>
        <v>1810000</v>
      </c>
      <c r="R16" s="44"/>
      <c r="S16" s="84">
        <f>SUM(Q16:R16)</f>
        <v>1810000</v>
      </c>
      <c r="T16" s="44"/>
      <c r="U16" s="84">
        <f>SUM(S16:T16)</f>
        <v>1810000</v>
      </c>
      <c r="V16" s="44"/>
      <c r="W16" s="84">
        <f>SUM(U16:V16)</f>
        <v>1810000</v>
      </c>
      <c r="X16" s="44"/>
      <c r="Y16" s="84">
        <f>SUM(W16:X16)</f>
        <v>1810000</v>
      </c>
      <c r="Z16" s="44"/>
      <c r="AA16" s="84">
        <f>SUM(Y16:Z16)</f>
        <v>1810000</v>
      </c>
      <c r="AB16" s="44"/>
      <c r="AC16" s="84">
        <f>SUM(AA16:AB16)</f>
        <v>1810000</v>
      </c>
      <c r="AD16" s="44"/>
      <c r="AE16" s="84">
        <f>SUM(AC16:AD16)</f>
        <v>1810000</v>
      </c>
      <c r="AF16" s="44"/>
      <c r="AG16" s="84">
        <f>SUM(AE16:AF16)</f>
        <v>1810000</v>
      </c>
      <c r="AH16" s="44"/>
      <c r="AI16" s="84">
        <f>SUM(AG16:AH16)</f>
        <v>1810000</v>
      </c>
      <c r="AJ16" s="44"/>
      <c r="AK16" s="84">
        <f>SUM(AI16:AJ16)</f>
        <v>1810000</v>
      </c>
      <c r="AL16" s="44"/>
      <c r="AM16" s="84">
        <f>SUM(AK16:AL16)</f>
        <v>1810000</v>
      </c>
    </row>
    <row r="17" spans="1:43" s="20" customFormat="1" ht="45">
      <c r="A17" s="45"/>
      <c r="B17" s="34"/>
      <c r="C17" s="47" t="s">
        <v>181</v>
      </c>
      <c r="D17" s="50" t="s">
        <v>194</v>
      </c>
      <c r="E17" s="44">
        <v>30000</v>
      </c>
      <c r="F17" s="44"/>
      <c r="G17" s="84">
        <f t="shared" si="5"/>
        <v>30000</v>
      </c>
      <c r="H17" s="44"/>
      <c r="I17" s="84">
        <f>SUM(G17:H17)</f>
        <v>30000</v>
      </c>
      <c r="J17" s="44"/>
      <c r="K17" s="84">
        <f>SUM(I17:J17)</f>
        <v>30000</v>
      </c>
      <c r="L17" s="44"/>
      <c r="M17" s="84">
        <f>SUM(K17:L17)</f>
        <v>30000</v>
      </c>
      <c r="N17" s="44"/>
      <c r="O17" s="84">
        <f>SUM(M17:N17)</f>
        <v>30000</v>
      </c>
      <c r="P17" s="44"/>
      <c r="Q17" s="84">
        <f>SUM(O17:P17)</f>
        <v>30000</v>
      </c>
      <c r="R17" s="44"/>
      <c r="S17" s="84">
        <f>SUM(Q17:R17)</f>
        <v>30000</v>
      </c>
      <c r="T17" s="44"/>
      <c r="U17" s="84">
        <f>SUM(S17:T17)</f>
        <v>30000</v>
      </c>
      <c r="V17" s="44"/>
      <c r="W17" s="84">
        <f>SUM(U17:V17)</f>
        <v>30000</v>
      </c>
      <c r="X17" s="44"/>
      <c r="Y17" s="84">
        <f>SUM(W17:X17)</f>
        <v>30000</v>
      </c>
      <c r="Z17" s="44"/>
      <c r="AA17" s="84">
        <f>SUM(Y17:Z17)</f>
        <v>30000</v>
      </c>
      <c r="AB17" s="44"/>
      <c r="AC17" s="84">
        <f>SUM(AA17:AB17)</f>
        <v>30000</v>
      </c>
      <c r="AD17" s="44"/>
      <c r="AE17" s="84">
        <f>SUM(AC17:AD17)</f>
        <v>30000</v>
      </c>
      <c r="AF17" s="44"/>
      <c r="AG17" s="84">
        <f>SUM(AE17:AF17)</f>
        <v>30000</v>
      </c>
      <c r="AH17" s="44">
        <v>4000</v>
      </c>
      <c r="AI17" s="84">
        <f>SUM(AG17:AH17)</f>
        <v>34000</v>
      </c>
      <c r="AJ17" s="44">
        <v>70000</v>
      </c>
      <c r="AK17" s="84">
        <f>SUM(AI17:AJ17)</f>
        <v>104000</v>
      </c>
      <c r="AL17" s="44"/>
      <c r="AM17" s="84">
        <f>SUM(AK17:AL17)</f>
        <v>104000</v>
      </c>
      <c r="AN17" s="67"/>
      <c r="AP17" s="67"/>
      <c r="AQ17" s="67"/>
    </row>
    <row r="18" spans="1:43" s="20" customFormat="1" ht="24" customHeight="1">
      <c r="A18" s="45"/>
      <c r="B18" s="34"/>
      <c r="C18" s="47" t="s">
        <v>188</v>
      </c>
      <c r="D18" s="50" t="s">
        <v>189</v>
      </c>
      <c r="E18" s="44">
        <f>402400+486700+1308000+400000+164600+50000</f>
        <v>2811700</v>
      </c>
      <c r="F18" s="44">
        <v>200000</v>
      </c>
      <c r="G18" s="84">
        <f t="shared" si="5"/>
        <v>3011700</v>
      </c>
      <c r="H18" s="44"/>
      <c r="I18" s="84">
        <f>SUM(G18:H18)</f>
        <v>3011700</v>
      </c>
      <c r="J18" s="44"/>
      <c r="K18" s="84">
        <f>SUM(I18:J18)</f>
        <v>3011700</v>
      </c>
      <c r="L18" s="44"/>
      <c r="M18" s="84">
        <f>SUM(K18:L18)</f>
        <v>3011700</v>
      </c>
      <c r="N18" s="44"/>
      <c r="O18" s="84">
        <f>SUM(M18:N18)</f>
        <v>3011700</v>
      </c>
      <c r="P18" s="44"/>
      <c r="Q18" s="84">
        <f>SUM(O18:P18)</f>
        <v>3011700</v>
      </c>
      <c r="R18" s="44"/>
      <c r="S18" s="84">
        <f>SUM(Q18:R18)</f>
        <v>3011700</v>
      </c>
      <c r="T18" s="44"/>
      <c r="U18" s="84">
        <f>SUM(S18:T18)</f>
        <v>3011700</v>
      </c>
      <c r="V18" s="44"/>
      <c r="W18" s="84">
        <f>SUM(U18:V18)</f>
        <v>3011700</v>
      </c>
      <c r="X18" s="44"/>
      <c r="Y18" s="84">
        <f>SUM(W18:X18)</f>
        <v>3011700</v>
      </c>
      <c r="Z18" s="44"/>
      <c r="AA18" s="84">
        <f>SUM(Y18:Z18)</f>
        <v>3011700</v>
      </c>
      <c r="AB18" s="44"/>
      <c r="AC18" s="84">
        <f>SUM(AA18:AB18)</f>
        <v>3011700</v>
      </c>
      <c r="AD18" s="44"/>
      <c r="AE18" s="84">
        <f>SUM(AC18:AD18)</f>
        <v>3011700</v>
      </c>
      <c r="AF18" s="44">
        <f>-580000-400000-590000-400000+580000+400000+590000+400000</f>
        <v>0</v>
      </c>
      <c r="AG18" s="84">
        <f>SUM(AE18:AF18)</f>
        <v>3011700</v>
      </c>
      <c r="AH18" s="44">
        <v>1800</v>
      </c>
      <c r="AI18" s="84">
        <f>SUM(AG18:AH18)</f>
        <v>3013500</v>
      </c>
      <c r="AJ18" s="44"/>
      <c r="AK18" s="84">
        <f>SUM(AI18:AJ18)</f>
        <v>3013500</v>
      </c>
      <c r="AL18" s="44"/>
      <c r="AM18" s="84">
        <f>SUM(AK18:AL18)</f>
        <v>3013500</v>
      </c>
      <c r="AN18" s="67"/>
      <c r="AP18" s="67"/>
      <c r="AQ18" s="67"/>
    </row>
    <row r="19" spans="1:43" s="20" customFormat="1" ht="21.75" customHeight="1">
      <c r="A19" s="45"/>
      <c r="B19" s="34"/>
      <c r="C19" s="47" t="s">
        <v>132</v>
      </c>
      <c r="D19" s="50" t="s">
        <v>11</v>
      </c>
      <c r="E19" s="44">
        <v>10000</v>
      </c>
      <c r="F19" s="44"/>
      <c r="G19" s="84">
        <f t="shared" si="5"/>
        <v>10000</v>
      </c>
      <c r="H19" s="44"/>
      <c r="I19" s="84">
        <f>SUM(G19:H19)</f>
        <v>10000</v>
      </c>
      <c r="J19" s="44"/>
      <c r="K19" s="84">
        <f>SUM(I19:J19)</f>
        <v>10000</v>
      </c>
      <c r="L19" s="44"/>
      <c r="M19" s="84">
        <f>SUM(K19:L19)</f>
        <v>10000</v>
      </c>
      <c r="N19" s="44"/>
      <c r="O19" s="84">
        <f>SUM(M19:N19)</f>
        <v>10000</v>
      </c>
      <c r="P19" s="44"/>
      <c r="Q19" s="84">
        <f>SUM(O19:P19)</f>
        <v>10000</v>
      </c>
      <c r="R19" s="44"/>
      <c r="S19" s="84">
        <f>SUM(Q19:R19)</f>
        <v>10000</v>
      </c>
      <c r="T19" s="44"/>
      <c r="U19" s="84">
        <f>SUM(S19:T19)</f>
        <v>10000</v>
      </c>
      <c r="V19" s="44"/>
      <c r="W19" s="84">
        <f>SUM(U19:V19)</f>
        <v>10000</v>
      </c>
      <c r="X19" s="44"/>
      <c r="Y19" s="84">
        <f>SUM(W19:X19)</f>
        <v>10000</v>
      </c>
      <c r="Z19" s="44"/>
      <c r="AA19" s="84">
        <f>SUM(Y19:Z19)</f>
        <v>10000</v>
      </c>
      <c r="AB19" s="44"/>
      <c r="AC19" s="84">
        <f>SUM(AA19:AB19)</f>
        <v>10000</v>
      </c>
      <c r="AD19" s="44"/>
      <c r="AE19" s="84">
        <f>SUM(AC19:AD19)</f>
        <v>10000</v>
      </c>
      <c r="AF19" s="44"/>
      <c r="AG19" s="84">
        <f>SUM(AE19:AF19)</f>
        <v>10000</v>
      </c>
      <c r="AH19" s="44"/>
      <c r="AI19" s="84">
        <f>SUM(AG19:AH19)</f>
        <v>10000</v>
      </c>
      <c r="AJ19" s="44">
        <v>3000</v>
      </c>
      <c r="AK19" s="84">
        <f>SUM(AI19:AJ19)</f>
        <v>13000</v>
      </c>
      <c r="AL19" s="44"/>
      <c r="AM19" s="84">
        <f>SUM(AK19:AL19)</f>
        <v>13000</v>
      </c>
      <c r="AP19" s="170"/>
      <c r="AQ19" s="170"/>
    </row>
    <row r="20" spans="1:39" s="73" customFormat="1" ht="21.75" customHeight="1">
      <c r="A20" s="88">
        <v>710</v>
      </c>
      <c r="B20" s="89"/>
      <c r="C20" s="93"/>
      <c r="D20" s="96" t="s">
        <v>76</v>
      </c>
      <c r="E20" s="94"/>
      <c r="F20" s="94"/>
      <c r="G20" s="95"/>
      <c r="H20" s="94"/>
      <c r="I20" s="95">
        <f aca="true" t="shared" si="12" ref="I20:AL21">SUM(I21)</f>
        <v>0</v>
      </c>
      <c r="J20" s="95">
        <f t="shared" si="12"/>
        <v>24400</v>
      </c>
      <c r="K20" s="95">
        <f t="shared" si="12"/>
        <v>24400</v>
      </c>
      <c r="L20" s="95">
        <f t="shared" si="12"/>
        <v>0</v>
      </c>
      <c r="M20" s="95">
        <f t="shared" si="12"/>
        <v>24400</v>
      </c>
      <c r="N20" s="95">
        <f t="shared" si="12"/>
        <v>0</v>
      </c>
      <c r="O20" s="95">
        <f t="shared" si="12"/>
        <v>24400</v>
      </c>
      <c r="P20" s="95">
        <f t="shared" si="12"/>
        <v>0</v>
      </c>
      <c r="Q20" s="95">
        <f t="shared" si="12"/>
        <v>24400</v>
      </c>
      <c r="R20" s="95">
        <f t="shared" si="12"/>
        <v>0</v>
      </c>
      <c r="S20" s="95">
        <f t="shared" si="12"/>
        <v>24400</v>
      </c>
      <c r="T20" s="95">
        <f t="shared" si="12"/>
        <v>0</v>
      </c>
      <c r="U20" s="95">
        <f t="shared" si="12"/>
        <v>24400</v>
      </c>
      <c r="V20" s="95">
        <f t="shared" si="12"/>
        <v>0</v>
      </c>
      <c r="W20" s="95">
        <f t="shared" si="12"/>
        <v>24400</v>
      </c>
      <c r="X20" s="95">
        <f t="shared" si="12"/>
        <v>0</v>
      </c>
      <c r="Y20" s="95">
        <f>SUM(Y21)</f>
        <v>24400</v>
      </c>
      <c r="Z20" s="95">
        <f t="shared" si="12"/>
        <v>0</v>
      </c>
      <c r="AA20" s="95">
        <f>SUM(AA21)</f>
        <v>24400</v>
      </c>
      <c r="AB20" s="95">
        <f t="shared" si="12"/>
        <v>0</v>
      </c>
      <c r="AC20" s="95">
        <f>SUM(AC21)</f>
        <v>24400</v>
      </c>
      <c r="AD20" s="95">
        <f t="shared" si="12"/>
        <v>0</v>
      </c>
      <c r="AE20" s="95">
        <f>SUM(AE21)</f>
        <v>24400</v>
      </c>
      <c r="AF20" s="95">
        <f t="shared" si="12"/>
        <v>0</v>
      </c>
      <c r="AG20" s="95">
        <f>SUM(AG21)</f>
        <v>24400</v>
      </c>
      <c r="AH20" s="95">
        <f t="shared" si="12"/>
        <v>0</v>
      </c>
      <c r="AI20" s="95">
        <f>SUM(AI21)</f>
        <v>24400</v>
      </c>
      <c r="AJ20" s="95">
        <f t="shared" si="12"/>
        <v>0</v>
      </c>
      <c r="AK20" s="95">
        <f>SUM(AK21)</f>
        <v>24400</v>
      </c>
      <c r="AL20" s="95">
        <f t="shared" si="12"/>
        <v>0</v>
      </c>
      <c r="AM20" s="95">
        <f>SUM(AM21)</f>
        <v>24400</v>
      </c>
    </row>
    <row r="21" spans="1:39" s="20" customFormat="1" ht="21.75" customHeight="1">
      <c r="A21" s="45"/>
      <c r="B21" s="34">
        <v>71004</v>
      </c>
      <c r="C21" s="47"/>
      <c r="D21" s="50" t="s">
        <v>77</v>
      </c>
      <c r="E21" s="44"/>
      <c r="F21" s="44"/>
      <c r="G21" s="84"/>
      <c r="H21" s="44"/>
      <c r="I21" s="84">
        <f t="shared" si="12"/>
        <v>0</v>
      </c>
      <c r="J21" s="84">
        <f t="shared" si="12"/>
        <v>24400</v>
      </c>
      <c r="K21" s="84">
        <f t="shared" si="12"/>
        <v>24400</v>
      </c>
      <c r="L21" s="84">
        <f t="shared" si="12"/>
        <v>0</v>
      </c>
      <c r="M21" s="84">
        <f t="shared" si="12"/>
        <v>24400</v>
      </c>
      <c r="N21" s="84">
        <f t="shared" si="12"/>
        <v>0</v>
      </c>
      <c r="O21" s="84">
        <f t="shared" si="12"/>
        <v>24400</v>
      </c>
      <c r="P21" s="84">
        <f t="shared" si="12"/>
        <v>0</v>
      </c>
      <c r="Q21" s="84">
        <f t="shared" si="12"/>
        <v>24400</v>
      </c>
      <c r="R21" s="84">
        <f t="shared" si="12"/>
        <v>0</v>
      </c>
      <c r="S21" s="84">
        <f t="shared" si="12"/>
        <v>24400</v>
      </c>
      <c r="T21" s="84">
        <f t="shared" si="12"/>
        <v>0</v>
      </c>
      <c r="U21" s="84">
        <f t="shared" si="12"/>
        <v>24400</v>
      </c>
      <c r="V21" s="84">
        <f t="shared" si="12"/>
        <v>0</v>
      </c>
      <c r="W21" s="84">
        <f t="shared" si="12"/>
        <v>24400</v>
      </c>
      <c r="X21" s="84">
        <f>SUM(X22)</f>
        <v>0</v>
      </c>
      <c r="Y21" s="84">
        <f>SUM(Y22)</f>
        <v>24400</v>
      </c>
      <c r="Z21" s="84">
        <f>SUM(Z22)</f>
        <v>0</v>
      </c>
      <c r="AA21" s="84">
        <f>SUM(AA22)</f>
        <v>24400</v>
      </c>
      <c r="AB21" s="84">
        <f>SUM(AB22)</f>
        <v>0</v>
      </c>
      <c r="AC21" s="84">
        <f>SUM(AC22)</f>
        <v>24400</v>
      </c>
      <c r="AD21" s="84">
        <f>SUM(AD22)</f>
        <v>0</v>
      </c>
      <c r="AE21" s="84">
        <f>SUM(AE22)</f>
        <v>24400</v>
      </c>
      <c r="AF21" s="84">
        <f>SUM(AF22)</f>
        <v>0</v>
      </c>
      <c r="AG21" s="84">
        <f>SUM(AG22)</f>
        <v>24400</v>
      </c>
      <c r="AH21" s="84">
        <f>SUM(AH22)</f>
        <v>0</v>
      </c>
      <c r="AI21" s="84">
        <f>SUM(AI22)</f>
        <v>24400</v>
      </c>
      <c r="AJ21" s="84">
        <f>SUM(AJ22)</f>
        <v>0</v>
      </c>
      <c r="AK21" s="84">
        <f>SUM(AK22)</f>
        <v>24400</v>
      </c>
      <c r="AL21" s="84">
        <f>SUM(AL22)</f>
        <v>0</v>
      </c>
      <c r="AM21" s="84">
        <f>SUM(AM22)</f>
        <v>24400</v>
      </c>
    </row>
    <row r="22" spans="1:39" s="20" customFormat="1" ht="22.5">
      <c r="A22" s="45"/>
      <c r="B22" s="34"/>
      <c r="C22" s="47" t="s">
        <v>217</v>
      </c>
      <c r="D22" s="50" t="s">
        <v>218</v>
      </c>
      <c r="E22" s="44"/>
      <c r="F22" s="44"/>
      <c r="G22" s="84"/>
      <c r="H22" s="44"/>
      <c r="I22" s="84">
        <v>0</v>
      </c>
      <c r="J22" s="44">
        <v>24400</v>
      </c>
      <c r="K22" s="84">
        <f>SUM(I22:J22)</f>
        <v>24400</v>
      </c>
      <c r="L22" s="44"/>
      <c r="M22" s="84">
        <f>SUM(K22:L22)</f>
        <v>24400</v>
      </c>
      <c r="N22" s="44"/>
      <c r="O22" s="84">
        <f>SUM(M22:N22)</f>
        <v>24400</v>
      </c>
      <c r="P22" s="44"/>
      <c r="Q22" s="84">
        <f>SUM(O22:P22)</f>
        <v>24400</v>
      </c>
      <c r="R22" s="44"/>
      <c r="S22" s="84">
        <f>SUM(Q22:R22)</f>
        <v>24400</v>
      </c>
      <c r="T22" s="44"/>
      <c r="U22" s="84">
        <f>SUM(S22:T22)</f>
        <v>24400</v>
      </c>
      <c r="V22" s="44"/>
      <c r="W22" s="84">
        <f>SUM(U22:V22)</f>
        <v>24400</v>
      </c>
      <c r="X22" s="44"/>
      <c r="Y22" s="84">
        <f>SUM(W22:X22)</f>
        <v>24400</v>
      </c>
      <c r="Z22" s="44"/>
      <c r="AA22" s="84">
        <f>SUM(Y22:Z22)</f>
        <v>24400</v>
      </c>
      <c r="AB22" s="44"/>
      <c r="AC22" s="84">
        <f>SUM(AA22:AB22)</f>
        <v>24400</v>
      </c>
      <c r="AD22" s="44"/>
      <c r="AE22" s="84">
        <f>SUM(AC22:AD22)</f>
        <v>24400</v>
      </c>
      <c r="AF22" s="44"/>
      <c r="AG22" s="84">
        <f>SUM(AE22:AF22)</f>
        <v>24400</v>
      </c>
      <c r="AH22" s="44"/>
      <c r="AI22" s="84">
        <f>SUM(AG22:AH22)</f>
        <v>24400</v>
      </c>
      <c r="AJ22" s="44"/>
      <c r="AK22" s="84">
        <f>SUM(AI22:AJ22)</f>
        <v>24400</v>
      </c>
      <c r="AL22" s="44"/>
      <c r="AM22" s="84">
        <f>SUM(AK22:AL22)</f>
        <v>24400</v>
      </c>
    </row>
    <row r="23" spans="1:39" s="5" customFormat="1" ht="24" customHeight="1">
      <c r="A23" s="23" t="s">
        <v>14</v>
      </c>
      <c r="B23" s="1"/>
      <c r="C23" s="2"/>
      <c r="D23" s="24" t="s">
        <v>15</v>
      </c>
      <c r="E23" s="39">
        <f aca="true" t="shared" si="13" ref="E23:K23">SUM(E24,E27)</f>
        <v>172350</v>
      </c>
      <c r="F23" s="39">
        <f t="shared" si="13"/>
        <v>0</v>
      </c>
      <c r="G23" s="39">
        <f t="shared" si="13"/>
        <v>172350</v>
      </c>
      <c r="H23" s="39">
        <f t="shared" si="13"/>
        <v>0</v>
      </c>
      <c r="I23" s="39">
        <f t="shared" si="13"/>
        <v>172350</v>
      </c>
      <c r="J23" s="39">
        <f t="shared" si="13"/>
        <v>0</v>
      </c>
      <c r="K23" s="39">
        <f t="shared" si="13"/>
        <v>172350</v>
      </c>
      <c r="L23" s="39">
        <f aca="true" t="shared" si="14" ref="L23:Q23">SUM(L24,L27)</f>
        <v>0</v>
      </c>
      <c r="M23" s="39">
        <f t="shared" si="14"/>
        <v>172350</v>
      </c>
      <c r="N23" s="39">
        <f t="shared" si="14"/>
        <v>0</v>
      </c>
      <c r="O23" s="39">
        <f t="shared" si="14"/>
        <v>172350</v>
      </c>
      <c r="P23" s="39">
        <f t="shared" si="14"/>
        <v>0</v>
      </c>
      <c r="Q23" s="39">
        <f t="shared" si="14"/>
        <v>172350</v>
      </c>
      <c r="R23" s="39">
        <f aca="true" t="shared" si="15" ref="R23:W23">SUM(R24,R27)</f>
        <v>0</v>
      </c>
      <c r="S23" s="39">
        <f t="shared" si="15"/>
        <v>172350</v>
      </c>
      <c r="T23" s="39">
        <f t="shared" si="15"/>
        <v>0</v>
      </c>
      <c r="U23" s="39">
        <f t="shared" si="15"/>
        <v>172350</v>
      </c>
      <c r="V23" s="39">
        <f t="shared" si="15"/>
        <v>0</v>
      </c>
      <c r="W23" s="39">
        <f t="shared" si="15"/>
        <v>172350</v>
      </c>
      <c r="X23" s="39">
        <f aca="true" t="shared" si="16" ref="X23:AC23">SUM(X24,X27)</f>
        <v>0</v>
      </c>
      <c r="Y23" s="39">
        <f t="shared" si="16"/>
        <v>172350</v>
      </c>
      <c r="Z23" s="39">
        <f t="shared" si="16"/>
        <v>0</v>
      </c>
      <c r="AA23" s="39">
        <f t="shared" si="16"/>
        <v>172350</v>
      </c>
      <c r="AB23" s="39">
        <f t="shared" si="16"/>
        <v>15000</v>
      </c>
      <c r="AC23" s="39">
        <f t="shared" si="16"/>
        <v>187350</v>
      </c>
      <c r="AD23" s="39">
        <f aca="true" t="shared" si="17" ref="AD23:AI23">SUM(AD24,AD27)</f>
        <v>0</v>
      </c>
      <c r="AE23" s="39">
        <f t="shared" si="17"/>
        <v>187350</v>
      </c>
      <c r="AF23" s="39">
        <f t="shared" si="17"/>
        <v>3000</v>
      </c>
      <c r="AG23" s="39">
        <f t="shared" si="17"/>
        <v>190350</v>
      </c>
      <c r="AH23" s="39">
        <f t="shared" si="17"/>
        <v>0</v>
      </c>
      <c r="AI23" s="39">
        <f t="shared" si="17"/>
        <v>190350</v>
      </c>
      <c r="AJ23" s="39">
        <f>SUM(AJ24,AJ27)</f>
        <v>0</v>
      </c>
      <c r="AK23" s="39">
        <f>SUM(AK24,AK27)</f>
        <v>190350</v>
      </c>
      <c r="AL23" s="39">
        <f>SUM(AL24,AL27)</f>
        <v>0</v>
      </c>
      <c r="AM23" s="39">
        <f>SUM(AM24,AM27)</f>
        <v>190350</v>
      </c>
    </row>
    <row r="24" spans="1:39" s="20" customFormat="1" ht="24" customHeight="1">
      <c r="A24" s="45"/>
      <c r="B24" s="46">
        <v>75011</v>
      </c>
      <c r="C24" s="53"/>
      <c r="D24" s="50" t="s">
        <v>16</v>
      </c>
      <c r="E24" s="44">
        <f aca="true" t="shared" si="18" ref="E24:K24">SUM(E25:E26)</f>
        <v>160350</v>
      </c>
      <c r="F24" s="44">
        <f t="shared" si="18"/>
        <v>0</v>
      </c>
      <c r="G24" s="44">
        <f t="shared" si="18"/>
        <v>160350</v>
      </c>
      <c r="H24" s="44">
        <f t="shared" si="18"/>
        <v>0</v>
      </c>
      <c r="I24" s="44">
        <f t="shared" si="18"/>
        <v>160350</v>
      </c>
      <c r="J24" s="44">
        <f t="shared" si="18"/>
        <v>0</v>
      </c>
      <c r="K24" s="44">
        <f t="shared" si="18"/>
        <v>160350</v>
      </c>
      <c r="L24" s="44">
        <f aca="true" t="shared" si="19" ref="L24:Q24">SUM(L25:L26)</f>
        <v>0</v>
      </c>
      <c r="M24" s="44">
        <f t="shared" si="19"/>
        <v>160350</v>
      </c>
      <c r="N24" s="44">
        <f t="shared" si="19"/>
        <v>0</v>
      </c>
      <c r="O24" s="44">
        <f t="shared" si="19"/>
        <v>160350</v>
      </c>
      <c r="P24" s="44">
        <f t="shared" si="19"/>
        <v>0</v>
      </c>
      <c r="Q24" s="44">
        <f t="shared" si="19"/>
        <v>160350</v>
      </c>
      <c r="R24" s="44">
        <f aca="true" t="shared" si="20" ref="R24:W24">SUM(R25:R26)</f>
        <v>0</v>
      </c>
      <c r="S24" s="44">
        <f t="shared" si="20"/>
        <v>160350</v>
      </c>
      <c r="T24" s="44">
        <f t="shared" si="20"/>
        <v>0</v>
      </c>
      <c r="U24" s="44">
        <f t="shared" si="20"/>
        <v>160350</v>
      </c>
      <c r="V24" s="44">
        <f t="shared" si="20"/>
        <v>0</v>
      </c>
      <c r="W24" s="44">
        <f t="shared" si="20"/>
        <v>160350</v>
      </c>
      <c r="X24" s="44">
        <f aca="true" t="shared" si="21" ref="X24:AC24">SUM(X25:X26)</f>
        <v>0</v>
      </c>
      <c r="Y24" s="44">
        <f t="shared" si="21"/>
        <v>160350</v>
      </c>
      <c r="Z24" s="44">
        <f t="shared" si="21"/>
        <v>0</v>
      </c>
      <c r="AA24" s="44">
        <f t="shared" si="21"/>
        <v>160350</v>
      </c>
      <c r="AB24" s="44">
        <f t="shared" si="21"/>
        <v>0</v>
      </c>
      <c r="AC24" s="44">
        <f t="shared" si="21"/>
        <v>160350</v>
      </c>
      <c r="AD24" s="44">
        <f aca="true" t="shared" si="22" ref="AD24:AI24">SUM(AD25:AD26)</f>
        <v>0</v>
      </c>
      <c r="AE24" s="44">
        <f t="shared" si="22"/>
        <v>160350</v>
      </c>
      <c r="AF24" s="44">
        <f t="shared" si="22"/>
        <v>0</v>
      </c>
      <c r="AG24" s="44">
        <f t="shared" si="22"/>
        <v>160350</v>
      </c>
      <c r="AH24" s="44">
        <f t="shared" si="22"/>
        <v>0</v>
      </c>
      <c r="AI24" s="44">
        <f t="shared" si="22"/>
        <v>160350</v>
      </c>
      <c r="AJ24" s="44">
        <f>SUM(AJ25:AJ26)</f>
        <v>0</v>
      </c>
      <c r="AK24" s="44">
        <f>SUM(AK25:AK26)</f>
        <v>160350</v>
      </c>
      <c r="AL24" s="44">
        <f>SUM(AL25:AL26)</f>
        <v>0</v>
      </c>
      <c r="AM24" s="44">
        <f>SUM(AM25:AM26)</f>
        <v>160350</v>
      </c>
    </row>
    <row r="25" spans="1:41" s="20" customFormat="1" ht="56.25">
      <c r="A25" s="45"/>
      <c r="B25" s="34"/>
      <c r="C25" s="47">
        <v>2010</v>
      </c>
      <c r="D25" s="50" t="s">
        <v>172</v>
      </c>
      <c r="E25" s="57">
        <v>156600</v>
      </c>
      <c r="F25" s="57"/>
      <c r="G25" s="84">
        <f t="shared" si="5"/>
        <v>156600</v>
      </c>
      <c r="H25" s="57"/>
      <c r="I25" s="84">
        <f>SUM(G25:H25)</f>
        <v>156600</v>
      </c>
      <c r="J25" s="57"/>
      <c r="K25" s="84">
        <f>SUM(I25:J25)</f>
        <v>156600</v>
      </c>
      <c r="L25" s="57"/>
      <c r="M25" s="84">
        <f>SUM(K25:L25)</f>
        <v>156600</v>
      </c>
      <c r="N25" s="57"/>
      <c r="O25" s="84">
        <f>SUM(M25:N25)</f>
        <v>156600</v>
      </c>
      <c r="P25" s="57"/>
      <c r="Q25" s="84">
        <f>SUM(O25:P25)</f>
        <v>156600</v>
      </c>
      <c r="R25" s="57"/>
      <c r="S25" s="84">
        <f>SUM(Q25:R25)</f>
        <v>156600</v>
      </c>
      <c r="T25" s="57"/>
      <c r="U25" s="84">
        <f>SUM(S25:T25)</f>
        <v>156600</v>
      </c>
      <c r="V25" s="57"/>
      <c r="W25" s="84">
        <f>SUM(U25:V25)</f>
        <v>156600</v>
      </c>
      <c r="X25" s="57"/>
      <c r="Y25" s="84">
        <f>SUM(W25:X25)</f>
        <v>156600</v>
      </c>
      <c r="Z25" s="57"/>
      <c r="AA25" s="84">
        <f>SUM(Y25:Z25)</f>
        <v>156600</v>
      </c>
      <c r="AB25" s="57"/>
      <c r="AC25" s="84">
        <f>SUM(AA25:AB25)</f>
        <v>156600</v>
      </c>
      <c r="AD25" s="57"/>
      <c r="AE25" s="84">
        <f>SUM(AC25:AD25)</f>
        <v>156600</v>
      </c>
      <c r="AF25" s="57"/>
      <c r="AG25" s="84">
        <f>SUM(AE25:AF25)</f>
        <v>156600</v>
      </c>
      <c r="AH25" s="57"/>
      <c r="AI25" s="84">
        <f>SUM(AG25:AH25)</f>
        <v>156600</v>
      </c>
      <c r="AJ25" s="57"/>
      <c r="AK25" s="84">
        <f>SUM(AI25:AJ25)</f>
        <v>156600</v>
      </c>
      <c r="AL25" s="57"/>
      <c r="AM25" s="84">
        <f>SUM(AK25:AL25)</f>
        <v>156600</v>
      </c>
      <c r="AN25" s="67"/>
      <c r="AO25" s="67"/>
    </row>
    <row r="26" spans="1:39" s="20" customFormat="1" ht="45">
      <c r="A26" s="45"/>
      <c r="B26" s="34"/>
      <c r="C26" s="47">
        <v>2360</v>
      </c>
      <c r="D26" s="50" t="s">
        <v>153</v>
      </c>
      <c r="E26" s="44">
        <v>3750</v>
      </c>
      <c r="F26" s="44"/>
      <c r="G26" s="84">
        <f t="shared" si="5"/>
        <v>3750</v>
      </c>
      <c r="H26" s="44"/>
      <c r="I26" s="84">
        <f>SUM(G26:H26)</f>
        <v>3750</v>
      </c>
      <c r="J26" s="44"/>
      <c r="K26" s="84">
        <f>SUM(I26:J26)</f>
        <v>3750</v>
      </c>
      <c r="L26" s="44"/>
      <c r="M26" s="84">
        <f>SUM(K26:L26)</f>
        <v>3750</v>
      </c>
      <c r="N26" s="44"/>
      <c r="O26" s="84">
        <f>SUM(M26:N26)</f>
        <v>3750</v>
      </c>
      <c r="P26" s="44"/>
      <c r="Q26" s="84">
        <f>SUM(O26:P26)</f>
        <v>3750</v>
      </c>
      <c r="R26" s="44"/>
      <c r="S26" s="84">
        <f>SUM(Q26:R26)</f>
        <v>3750</v>
      </c>
      <c r="T26" s="44"/>
      <c r="U26" s="84">
        <f>SUM(S26:T26)</f>
        <v>3750</v>
      </c>
      <c r="V26" s="44"/>
      <c r="W26" s="84">
        <f>SUM(U26:V26)</f>
        <v>3750</v>
      </c>
      <c r="X26" s="44"/>
      <c r="Y26" s="84">
        <f>SUM(W26:X26)</f>
        <v>3750</v>
      </c>
      <c r="Z26" s="44"/>
      <c r="AA26" s="84">
        <f>SUM(Y26:Z26)</f>
        <v>3750</v>
      </c>
      <c r="AB26" s="44"/>
      <c r="AC26" s="84">
        <f>SUM(AA26:AB26)</f>
        <v>3750</v>
      </c>
      <c r="AD26" s="44"/>
      <c r="AE26" s="84">
        <f>SUM(AC26:AD26)</f>
        <v>3750</v>
      </c>
      <c r="AF26" s="44"/>
      <c r="AG26" s="84">
        <f>SUM(AE26:AF26)</f>
        <v>3750</v>
      </c>
      <c r="AH26" s="44"/>
      <c r="AI26" s="84">
        <f>SUM(AG26:AH26)</f>
        <v>3750</v>
      </c>
      <c r="AJ26" s="44"/>
      <c r="AK26" s="84">
        <f>SUM(AI26:AJ26)</f>
        <v>3750</v>
      </c>
      <c r="AL26" s="44"/>
      <c r="AM26" s="84">
        <f>SUM(AK26:AL26)</f>
        <v>3750</v>
      </c>
    </row>
    <row r="27" spans="1:39" s="20" customFormat="1" ht="24" customHeight="1">
      <c r="A27" s="45"/>
      <c r="B27" s="34">
        <v>75023</v>
      </c>
      <c r="C27" s="47"/>
      <c r="D27" s="31" t="s">
        <v>18</v>
      </c>
      <c r="E27" s="44">
        <f aca="true" t="shared" si="23" ref="E27:AM27">SUM(E28)</f>
        <v>12000</v>
      </c>
      <c r="F27" s="44">
        <f t="shared" si="23"/>
        <v>0</v>
      </c>
      <c r="G27" s="44">
        <f t="shared" si="23"/>
        <v>12000</v>
      </c>
      <c r="H27" s="44">
        <f t="shared" si="23"/>
        <v>0</v>
      </c>
      <c r="I27" s="44">
        <f t="shared" si="23"/>
        <v>12000</v>
      </c>
      <c r="J27" s="44">
        <f t="shared" si="23"/>
        <v>0</v>
      </c>
      <c r="K27" s="44">
        <f t="shared" si="23"/>
        <v>12000</v>
      </c>
      <c r="L27" s="44">
        <f t="shared" si="23"/>
        <v>0</v>
      </c>
      <c r="M27" s="44">
        <f t="shared" si="23"/>
        <v>12000</v>
      </c>
      <c r="N27" s="44">
        <f t="shared" si="23"/>
        <v>0</v>
      </c>
      <c r="O27" s="44">
        <f t="shared" si="23"/>
        <v>12000</v>
      </c>
      <c r="P27" s="44">
        <f t="shared" si="23"/>
        <v>0</v>
      </c>
      <c r="Q27" s="44">
        <f t="shared" si="23"/>
        <v>12000</v>
      </c>
      <c r="R27" s="44">
        <f t="shared" si="23"/>
        <v>0</v>
      </c>
      <c r="S27" s="44">
        <f t="shared" si="23"/>
        <v>12000</v>
      </c>
      <c r="T27" s="44">
        <f t="shared" si="23"/>
        <v>0</v>
      </c>
      <c r="U27" s="44">
        <f t="shared" si="23"/>
        <v>12000</v>
      </c>
      <c r="V27" s="44">
        <f t="shared" si="23"/>
        <v>0</v>
      </c>
      <c r="W27" s="44">
        <f t="shared" si="23"/>
        <v>12000</v>
      </c>
      <c r="X27" s="44">
        <f t="shared" si="23"/>
        <v>0</v>
      </c>
      <c r="Y27" s="44">
        <f t="shared" si="23"/>
        <v>12000</v>
      </c>
      <c r="Z27" s="44">
        <f t="shared" si="23"/>
        <v>0</v>
      </c>
      <c r="AA27" s="44">
        <f t="shared" si="23"/>
        <v>12000</v>
      </c>
      <c r="AB27" s="44">
        <f t="shared" si="23"/>
        <v>15000</v>
      </c>
      <c r="AC27" s="44">
        <f t="shared" si="23"/>
        <v>27000</v>
      </c>
      <c r="AD27" s="44">
        <f t="shared" si="23"/>
        <v>0</v>
      </c>
      <c r="AE27" s="44">
        <f t="shared" si="23"/>
        <v>27000</v>
      </c>
      <c r="AF27" s="44">
        <f t="shared" si="23"/>
        <v>3000</v>
      </c>
      <c r="AG27" s="44">
        <f t="shared" si="23"/>
        <v>30000</v>
      </c>
      <c r="AH27" s="44">
        <f t="shared" si="23"/>
        <v>0</v>
      </c>
      <c r="AI27" s="44">
        <f t="shared" si="23"/>
        <v>30000</v>
      </c>
      <c r="AJ27" s="44">
        <f t="shared" si="23"/>
        <v>0</v>
      </c>
      <c r="AK27" s="44">
        <f t="shared" si="23"/>
        <v>30000</v>
      </c>
      <c r="AL27" s="44">
        <f t="shared" si="23"/>
        <v>0</v>
      </c>
      <c r="AM27" s="44">
        <f t="shared" si="23"/>
        <v>30000</v>
      </c>
    </row>
    <row r="28" spans="1:39" s="20" customFormat="1" ht="21.75" customHeight="1">
      <c r="A28" s="45"/>
      <c r="B28" s="34"/>
      <c r="C28" s="47" t="s">
        <v>133</v>
      </c>
      <c r="D28" s="50" t="s">
        <v>12</v>
      </c>
      <c r="E28" s="44">
        <f>8250+3750</f>
        <v>12000</v>
      </c>
      <c r="F28" s="44"/>
      <c r="G28" s="84">
        <f t="shared" si="5"/>
        <v>12000</v>
      </c>
      <c r="H28" s="44"/>
      <c r="I28" s="84">
        <f>SUM(G28:H28)</f>
        <v>12000</v>
      </c>
      <c r="J28" s="44"/>
      <c r="K28" s="84">
        <f>SUM(I28:J28)</f>
        <v>12000</v>
      </c>
      <c r="L28" s="44"/>
      <c r="M28" s="84">
        <f>SUM(K28:L28)</f>
        <v>12000</v>
      </c>
      <c r="N28" s="44"/>
      <c r="O28" s="84">
        <f>SUM(M28:N28)</f>
        <v>12000</v>
      </c>
      <c r="P28" s="44"/>
      <c r="Q28" s="84">
        <f>SUM(O28:P28)</f>
        <v>12000</v>
      </c>
      <c r="R28" s="44"/>
      <c r="S28" s="84">
        <f>SUM(Q28:R28)</f>
        <v>12000</v>
      </c>
      <c r="T28" s="44"/>
      <c r="U28" s="84">
        <f>SUM(S28:T28)</f>
        <v>12000</v>
      </c>
      <c r="V28" s="44"/>
      <c r="W28" s="84">
        <f>SUM(U28:V28)</f>
        <v>12000</v>
      </c>
      <c r="X28" s="44"/>
      <c r="Y28" s="84">
        <f>SUM(W28:X28)</f>
        <v>12000</v>
      </c>
      <c r="Z28" s="44"/>
      <c r="AA28" s="84">
        <f>SUM(Y28:Z28)</f>
        <v>12000</v>
      </c>
      <c r="AB28" s="44">
        <v>15000</v>
      </c>
      <c r="AC28" s="84">
        <f>SUM(AA28:AB28)</f>
        <v>27000</v>
      </c>
      <c r="AD28" s="44"/>
      <c r="AE28" s="84">
        <f>SUM(AC28:AD28)</f>
        <v>27000</v>
      </c>
      <c r="AF28" s="44">
        <v>3000</v>
      </c>
      <c r="AG28" s="84">
        <f>SUM(AE28:AF28)</f>
        <v>30000</v>
      </c>
      <c r="AH28" s="44"/>
      <c r="AI28" s="84">
        <f>SUM(AG28:AH28)</f>
        <v>30000</v>
      </c>
      <c r="AJ28" s="44"/>
      <c r="AK28" s="84">
        <f>SUM(AI28:AJ28)</f>
        <v>30000</v>
      </c>
      <c r="AL28" s="44"/>
      <c r="AM28" s="84">
        <f>SUM(AK28:AL28)</f>
        <v>30000</v>
      </c>
    </row>
    <row r="29" spans="1:39" s="5" customFormat="1" ht="36">
      <c r="A29" s="23">
        <v>751</v>
      </c>
      <c r="B29" s="3"/>
      <c r="C29" s="18"/>
      <c r="D29" s="24" t="s">
        <v>19</v>
      </c>
      <c r="E29" s="39">
        <f aca="true" t="shared" si="24" ref="E29:J30">SUM(E30)</f>
        <v>3910</v>
      </c>
      <c r="F29" s="39">
        <f t="shared" si="24"/>
        <v>0</v>
      </c>
      <c r="G29" s="39">
        <f t="shared" si="24"/>
        <v>3910</v>
      </c>
      <c r="H29" s="39">
        <f t="shared" si="24"/>
        <v>0</v>
      </c>
      <c r="I29" s="39">
        <f t="shared" si="24"/>
        <v>3910</v>
      </c>
      <c r="J29" s="39">
        <f t="shared" si="24"/>
        <v>0</v>
      </c>
      <c r="K29" s="39">
        <f aca="true" t="shared" si="25" ref="K29:Q29">SUM(K30,K32)</f>
        <v>3910</v>
      </c>
      <c r="L29" s="39">
        <f t="shared" si="25"/>
        <v>19932</v>
      </c>
      <c r="M29" s="39">
        <f t="shared" si="25"/>
        <v>23842</v>
      </c>
      <c r="N29" s="39">
        <f t="shared" si="25"/>
        <v>0</v>
      </c>
      <c r="O29" s="39">
        <f t="shared" si="25"/>
        <v>23842</v>
      </c>
      <c r="P29" s="39">
        <f t="shared" si="25"/>
        <v>1000</v>
      </c>
      <c r="Q29" s="39">
        <f t="shared" si="25"/>
        <v>24842</v>
      </c>
      <c r="R29" s="39">
        <f aca="true" t="shared" si="26" ref="R29:W29">SUM(R30,R32)</f>
        <v>0</v>
      </c>
      <c r="S29" s="39">
        <f t="shared" si="26"/>
        <v>24842</v>
      </c>
      <c r="T29" s="39">
        <f t="shared" si="26"/>
        <v>21240</v>
      </c>
      <c r="U29" s="39">
        <f t="shared" si="26"/>
        <v>46082</v>
      </c>
      <c r="V29" s="39">
        <f t="shared" si="26"/>
        <v>0</v>
      </c>
      <c r="W29" s="39">
        <f t="shared" si="26"/>
        <v>46082</v>
      </c>
      <c r="X29" s="39">
        <f aca="true" t="shared" si="27" ref="X29:AC29">SUM(X30,X32)</f>
        <v>0</v>
      </c>
      <c r="Y29" s="39">
        <f t="shared" si="27"/>
        <v>46082</v>
      </c>
      <c r="Z29" s="39">
        <f t="shared" si="27"/>
        <v>0</v>
      </c>
      <c r="AA29" s="39">
        <f t="shared" si="27"/>
        <v>46082</v>
      </c>
      <c r="AB29" s="39">
        <f t="shared" si="27"/>
        <v>0</v>
      </c>
      <c r="AC29" s="39">
        <f t="shared" si="27"/>
        <v>46082</v>
      </c>
      <c r="AD29" s="39">
        <f aca="true" t="shared" si="28" ref="AD29:AI29">SUM(AD30,AD32)</f>
        <v>0</v>
      </c>
      <c r="AE29" s="39">
        <f t="shared" si="28"/>
        <v>46082</v>
      </c>
      <c r="AF29" s="39">
        <f t="shared" si="28"/>
        <v>0</v>
      </c>
      <c r="AG29" s="39">
        <f t="shared" si="28"/>
        <v>46082</v>
      </c>
      <c r="AH29" s="39">
        <f t="shared" si="28"/>
        <v>0</v>
      </c>
      <c r="AI29" s="39">
        <f t="shared" si="28"/>
        <v>46082</v>
      </c>
      <c r="AJ29" s="39">
        <f>SUM(AJ30,AJ32)</f>
        <v>0</v>
      </c>
      <c r="AK29" s="39">
        <f>SUM(AK30,AK32)</f>
        <v>46082</v>
      </c>
      <c r="AL29" s="39">
        <f>SUM(AL30,AL32)</f>
        <v>0</v>
      </c>
      <c r="AM29" s="39">
        <f>SUM(AM30,AM32)</f>
        <v>46082</v>
      </c>
    </row>
    <row r="30" spans="1:39" s="20" customFormat="1" ht="22.5">
      <c r="A30" s="51"/>
      <c r="B30" s="46">
        <v>75101</v>
      </c>
      <c r="C30" s="53"/>
      <c r="D30" s="50" t="s">
        <v>20</v>
      </c>
      <c r="E30" s="44">
        <f t="shared" si="24"/>
        <v>3910</v>
      </c>
      <c r="F30" s="44">
        <f t="shared" si="24"/>
        <v>0</v>
      </c>
      <c r="G30" s="44">
        <f t="shared" si="24"/>
        <v>3910</v>
      </c>
      <c r="H30" s="44">
        <f t="shared" si="24"/>
        <v>0</v>
      </c>
      <c r="I30" s="44">
        <f t="shared" si="24"/>
        <v>3910</v>
      </c>
      <c r="J30" s="44">
        <f t="shared" si="24"/>
        <v>0</v>
      </c>
      <c r="K30" s="44">
        <f aca="true" t="shared" si="29" ref="K30:AM30">SUM(K31)</f>
        <v>3910</v>
      </c>
      <c r="L30" s="44">
        <f t="shared" si="29"/>
        <v>0</v>
      </c>
      <c r="M30" s="44">
        <f t="shared" si="29"/>
        <v>3910</v>
      </c>
      <c r="N30" s="44">
        <f t="shared" si="29"/>
        <v>0</v>
      </c>
      <c r="O30" s="44">
        <f t="shared" si="29"/>
        <v>3910</v>
      </c>
      <c r="P30" s="44">
        <f t="shared" si="29"/>
        <v>0</v>
      </c>
      <c r="Q30" s="44">
        <f t="shared" si="29"/>
        <v>3910</v>
      </c>
      <c r="R30" s="44">
        <f t="shared" si="29"/>
        <v>0</v>
      </c>
      <c r="S30" s="44">
        <f t="shared" si="29"/>
        <v>3910</v>
      </c>
      <c r="T30" s="44">
        <f t="shared" si="29"/>
        <v>0</v>
      </c>
      <c r="U30" s="44">
        <f t="shared" si="29"/>
        <v>3910</v>
      </c>
      <c r="V30" s="44">
        <f t="shared" si="29"/>
        <v>0</v>
      </c>
      <c r="W30" s="44">
        <f t="shared" si="29"/>
        <v>3910</v>
      </c>
      <c r="X30" s="44">
        <f t="shared" si="29"/>
        <v>0</v>
      </c>
      <c r="Y30" s="44">
        <f t="shared" si="29"/>
        <v>3910</v>
      </c>
      <c r="Z30" s="44">
        <f t="shared" si="29"/>
        <v>0</v>
      </c>
      <c r="AA30" s="44">
        <f t="shared" si="29"/>
        <v>3910</v>
      </c>
      <c r="AB30" s="44">
        <f t="shared" si="29"/>
        <v>0</v>
      </c>
      <c r="AC30" s="44">
        <f t="shared" si="29"/>
        <v>3910</v>
      </c>
      <c r="AD30" s="44">
        <f t="shared" si="29"/>
        <v>0</v>
      </c>
      <c r="AE30" s="44">
        <f t="shared" si="29"/>
        <v>3910</v>
      </c>
      <c r="AF30" s="44">
        <f t="shared" si="29"/>
        <v>0</v>
      </c>
      <c r="AG30" s="44">
        <f t="shared" si="29"/>
        <v>3910</v>
      </c>
      <c r="AH30" s="44">
        <f t="shared" si="29"/>
        <v>0</v>
      </c>
      <c r="AI30" s="44">
        <f t="shared" si="29"/>
        <v>3910</v>
      </c>
      <c r="AJ30" s="44">
        <f t="shared" si="29"/>
        <v>0</v>
      </c>
      <c r="AK30" s="44">
        <f t="shared" si="29"/>
        <v>3910</v>
      </c>
      <c r="AL30" s="44">
        <f t="shared" si="29"/>
        <v>0</v>
      </c>
      <c r="AM30" s="44">
        <f t="shared" si="29"/>
        <v>3910</v>
      </c>
    </row>
    <row r="31" spans="1:41" s="20" customFormat="1" ht="56.25">
      <c r="A31" s="51"/>
      <c r="B31" s="46"/>
      <c r="C31" s="53">
        <v>2010</v>
      </c>
      <c r="D31" s="50" t="s">
        <v>172</v>
      </c>
      <c r="E31" s="44">
        <v>3910</v>
      </c>
      <c r="F31" s="44"/>
      <c r="G31" s="84">
        <f t="shared" si="5"/>
        <v>3910</v>
      </c>
      <c r="H31" s="44"/>
      <c r="I31" s="84">
        <f>SUM(G31:H31)</f>
        <v>3910</v>
      </c>
      <c r="J31" s="44"/>
      <c r="K31" s="84">
        <f>SUM(I31:J31)</f>
        <v>3910</v>
      </c>
      <c r="L31" s="44"/>
      <c r="M31" s="84">
        <f>SUM(K31:L31)</f>
        <v>3910</v>
      </c>
      <c r="N31" s="44"/>
      <c r="O31" s="84">
        <f>SUM(M31:N31)</f>
        <v>3910</v>
      </c>
      <c r="P31" s="44"/>
      <c r="Q31" s="84">
        <f>SUM(O31:P31)</f>
        <v>3910</v>
      </c>
      <c r="R31" s="44"/>
      <c r="S31" s="84">
        <f>SUM(Q31:R31)</f>
        <v>3910</v>
      </c>
      <c r="T31" s="44"/>
      <c r="U31" s="84">
        <f>SUM(S31:T31)</f>
        <v>3910</v>
      </c>
      <c r="V31" s="44"/>
      <c r="W31" s="84">
        <f>SUM(U31:V31)</f>
        <v>3910</v>
      </c>
      <c r="X31" s="44"/>
      <c r="Y31" s="84">
        <f>SUM(W31:X31)</f>
        <v>3910</v>
      </c>
      <c r="Z31" s="44"/>
      <c r="AA31" s="84">
        <f>SUM(Y31:Z31)</f>
        <v>3910</v>
      </c>
      <c r="AB31" s="44"/>
      <c r="AC31" s="84">
        <f>SUM(AA31:AB31)</f>
        <v>3910</v>
      </c>
      <c r="AD31" s="44"/>
      <c r="AE31" s="84">
        <f>SUM(AC31:AD31)</f>
        <v>3910</v>
      </c>
      <c r="AF31" s="44"/>
      <c r="AG31" s="84">
        <f>SUM(AE31:AF31)</f>
        <v>3910</v>
      </c>
      <c r="AH31" s="44"/>
      <c r="AI31" s="84">
        <f>SUM(AG31:AH31)</f>
        <v>3910</v>
      </c>
      <c r="AJ31" s="44"/>
      <c r="AK31" s="84">
        <f>SUM(AI31:AJ31)</f>
        <v>3910</v>
      </c>
      <c r="AL31" s="44"/>
      <c r="AM31" s="84">
        <f>SUM(AK31:AL31)</f>
        <v>3910</v>
      </c>
      <c r="AN31" s="67"/>
      <c r="AO31" s="67"/>
    </row>
    <row r="32" spans="1:39" s="20" customFormat="1" ht="24" customHeight="1">
      <c r="A32" s="51"/>
      <c r="B32" s="46">
        <v>75113</v>
      </c>
      <c r="C32" s="53"/>
      <c r="D32" s="50" t="s">
        <v>232</v>
      </c>
      <c r="E32" s="44"/>
      <c r="F32" s="44"/>
      <c r="G32" s="84"/>
      <c r="H32" s="44"/>
      <c r="I32" s="84"/>
      <c r="J32" s="44"/>
      <c r="K32" s="84">
        <f aca="true" t="shared" si="30" ref="K32:AM32">SUM(K33)</f>
        <v>0</v>
      </c>
      <c r="L32" s="84">
        <f t="shared" si="30"/>
        <v>19932</v>
      </c>
      <c r="M32" s="84">
        <f t="shared" si="30"/>
        <v>19932</v>
      </c>
      <c r="N32" s="84">
        <f t="shared" si="30"/>
        <v>0</v>
      </c>
      <c r="O32" s="84">
        <f t="shared" si="30"/>
        <v>19932</v>
      </c>
      <c r="P32" s="84">
        <f t="shared" si="30"/>
        <v>1000</v>
      </c>
      <c r="Q32" s="84">
        <f t="shared" si="30"/>
        <v>20932</v>
      </c>
      <c r="R32" s="84">
        <f t="shared" si="30"/>
        <v>0</v>
      </c>
      <c r="S32" s="84">
        <f t="shared" si="30"/>
        <v>20932</v>
      </c>
      <c r="T32" s="84">
        <f t="shared" si="30"/>
        <v>21240</v>
      </c>
      <c r="U32" s="84">
        <f t="shared" si="30"/>
        <v>42172</v>
      </c>
      <c r="V32" s="84">
        <f t="shared" si="30"/>
        <v>0</v>
      </c>
      <c r="W32" s="84">
        <f t="shared" si="30"/>
        <v>42172</v>
      </c>
      <c r="X32" s="84">
        <f t="shared" si="30"/>
        <v>0</v>
      </c>
      <c r="Y32" s="84">
        <f t="shared" si="30"/>
        <v>42172</v>
      </c>
      <c r="Z32" s="84">
        <f t="shared" si="30"/>
        <v>0</v>
      </c>
      <c r="AA32" s="84">
        <f t="shared" si="30"/>
        <v>42172</v>
      </c>
      <c r="AB32" s="84">
        <f t="shared" si="30"/>
        <v>0</v>
      </c>
      <c r="AC32" s="84">
        <f t="shared" si="30"/>
        <v>42172</v>
      </c>
      <c r="AD32" s="84">
        <f t="shared" si="30"/>
        <v>0</v>
      </c>
      <c r="AE32" s="84">
        <f t="shared" si="30"/>
        <v>42172</v>
      </c>
      <c r="AF32" s="84">
        <f t="shared" si="30"/>
        <v>0</v>
      </c>
      <c r="AG32" s="84">
        <f t="shared" si="30"/>
        <v>42172</v>
      </c>
      <c r="AH32" s="84">
        <f t="shared" si="30"/>
        <v>0</v>
      </c>
      <c r="AI32" s="84">
        <f t="shared" si="30"/>
        <v>42172</v>
      </c>
      <c r="AJ32" s="84">
        <f t="shared" si="30"/>
        <v>0</v>
      </c>
      <c r="AK32" s="84">
        <f t="shared" si="30"/>
        <v>42172</v>
      </c>
      <c r="AL32" s="84">
        <f t="shared" si="30"/>
        <v>0</v>
      </c>
      <c r="AM32" s="84">
        <f t="shared" si="30"/>
        <v>42172</v>
      </c>
    </row>
    <row r="33" spans="1:41" s="20" customFormat="1" ht="56.25">
      <c r="A33" s="51"/>
      <c r="B33" s="46"/>
      <c r="C33" s="53">
        <v>2010</v>
      </c>
      <c r="D33" s="50" t="s">
        <v>172</v>
      </c>
      <c r="E33" s="44"/>
      <c r="F33" s="44"/>
      <c r="G33" s="84"/>
      <c r="H33" s="44"/>
      <c r="I33" s="84"/>
      <c r="J33" s="44"/>
      <c r="K33" s="84">
        <v>0</v>
      </c>
      <c r="L33" s="44">
        <v>19932</v>
      </c>
      <c r="M33" s="84">
        <f>SUM(K33:L33)</f>
        <v>19932</v>
      </c>
      <c r="N33" s="44"/>
      <c r="O33" s="84">
        <f>SUM(M33:N33)</f>
        <v>19932</v>
      </c>
      <c r="P33" s="44">
        <v>1000</v>
      </c>
      <c r="Q33" s="84">
        <f>SUM(O33:P33)</f>
        <v>20932</v>
      </c>
      <c r="R33" s="44"/>
      <c r="S33" s="84">
        <f>SUM(Q33:R33)</f>
        <v>20932</v>
      </c>
      <c r="T33" s="44">
        <v>21240</v>
      </c>
      <c r="U33" s="84">
        <f>SUM(S33:T33)</f>
        <v>42172</v>
      </c>
      <c r="V33" s="44"/>
      <c r="W33" s="84">
        <f>SUM(U33:V33)</f>
        <v>42172</v>
      </c>
      <c r="X33" s="44"/>
      <c r="Y33" s="84">
        <f>SUM(W33:X33)</f>
        <v>42172</v>
      </c>
      <c r="Z33" s="44"/>
      <c r="AA33" s="84">
        <f>SUM(Y33:Z33)</f>
        <v>42172</v>
      </c>
      <c r="AB33" s="44"/>
      <c r="AC33" s="84">
        <f>SUM(AA33:AB33)</f>
        <v>42172</v>
      </c>
      <c r="AD33" s="44"/>
      <c r="AE33" s="84">
        <f>SUM(AC33:AD33)</f>
        <v>42172</v>
      </c>
      <c r="AF33" s="44"/>
      <c r="AG33" s="84">
        <f>SUM(AE33:AF33)</f>
        <v>42172</v>
      </c>
      <c r="AH33" s="44"/>
      <c r="AI33" s="84">
        <f>SUM(AG33:AH33)</f>
        <v>42172</v>
      </c>
      <c r="AJ33" s="44"/>
      <c r="AK33" s="84">
        <f>SUM(AI33:AJ33)</f>
        <v>42172</v>
      </c>
      <c r="AL33" s="44"/>
      <c r="AM33" s="84">
        <f>SUM(AK33:AL33)</f>
        <v>42172</v>
      </c>
      <c r="AN33" s="67"/>
      <c r="AO33" s="67"/>
    </row>
    <row r="34" spans="1:39" s="5" customFormat="1" ht="30" customHeight="1">
      <c r="A34" s="23" t="s">
        <v>21</v>
      </c>
      <c r="B34" s="1"/>
      <c r="C34" s="2"/>
      <c r="D34" s="24" t="s">
        <v>22</v>
      </c>
      <c r="E34" s="39">
        <f aca="true" t="shared" si="31" ref="E34:AM34">SUM(E35)</f>
        <v>5500</v>
      </c>
      <c r="F34" s="39">
        <f t="shared" si="31"/>
        <v>0</v>
      </c>
      <c r="G34" s="39">
        <f t="shared" si="31"/>
        <v>5500</v>
      </c>
      <c r="H34" s="39">
        <f t="shared" si="31"/>
        <v>0</v>
      </c>
      <c r="I34" s="39">
        <f t="shared" si="31"/>
        <v>5500</v>
      </c>
      <c r="J34" s="39">
        <f t="shared" si="31"/>
        <v>0</v>
      </c>
      <c r="K34" s="39">
        <f t="shared" si="31"/>
        <v>5500</v>
      </c>
      <c r="L34" s="39">
        <f t="shared" si="31"/>
        <v>0</v>
      </c>
      <c r="M34" s="39">
        <f t="shared" si="31"/>
        <v>5500</v>
      </c>
      <c r="N34" s="39">
        <f t="shared" si="31"/>
        <v>0</v>
      </c>
      <c r="O34" s="39">
        <f t="shared" si="31"/>
        <v>5500</v>
      </c>
      <c r="P34" s="39">
        <f t="shared" si="31"/>
        <v>0</v>
      </c>
      <c r="Q34" s="39">
        <f t="shared" si="31"/>
        <v>5500</v>
      </c>
      <c r="R34" s="39">
        <f t="shared" si="31"/>
        <v>0</v>
      </c>
      <c r="S34" s="39">
        <f t="shared" si="31"/>
        <v>5500</v>
      </c>
      <c r="T34" s="39">
        <f t="shared" si="31"/>
        <v>0</v>
      </c>
      <c r="U34" s="39">
        <f t="shared" si="31"/>
        <v>5500</v>
      </c>
      <c r="V34" s="39">
        <f t="shared" si="31"/>
        <v>0</v>
      </c>
      <c r="W34" s="39">
        <f t="shared" si="31"/>
        <v>5500</v>
      </c>
      <c r="X34" s="39">
        <f t="shared" si="31"/>
        <v>0</v>
      </c>
      <c r="Y34" s="39">
        <f t="shared" si="31"/>
        <v>5500</v>
      </c>
      <c r="Z34" s="39">
        <f t="shared" si="31"/>
        <v>0</v>
      </c>
      <c r="AA34" s="39">
        <f t="shared" si="31"/>
        <v>5500</v>
      </c>
      <c r="AB34" s="39">
        <f t="shared" si="31"/>
        <v>0</v>
      </c>
      <c r="AC34" s="39">
        <f t="shared" si="31"/>
        <v>5500</v>
      </c>
      <c r="AD34" s="39">
        <f t="shared" si="31"/>
        <v>0</v>
      </c>
      <c r="AE34" s="39">
        <f t="shared" si="31"/>
        <v>5500</v>
      </c>
      <c r="AF34" s="39">
        <f t="shared" si="31"/>
        <v>0</v>
      </c>
      <c r="AG34" s="39">
        <f t="shared" si="31"/>
        <v>5500</v>
      </c>
      <c r="AH34" s="39">
        <f t="shared" si="31"/>
        <v>0</v>
      </c>
      <c r="AI34" s="39">
        <f t="shared" si="31"/>
        <v>5500</v>
      </c>
      <c r="AJ34" s="39">
        <f t="shared" si="31"/>
        <v>0</v>
      </c>
      <c r="AK34" s="39">
        <f t="shared" si="31"/>
        <v>5500</v>
      </c>
      <c r="AL34" s="39">
        <f t="shared" si="31"/>
        <v>0</v>
      </c>
      <c r="AM34" s="39">
        <f t="shared" si="31"/>
        <v>5500</v>
      </c>
    </row>
    <row r="35" spans="1:39" s="20" customFormat="1" ht="24" customHeight="1">
      <c r="A35" s="51"/>
      <c r="B35" s="46" t="s">
        <v>23</v>
      </c>
      <c r="C35" s="53"/>
      <c r="D35" s="50" t="s">
        <v>24</v>
      </c>
      <c r="E35" s="44">
        <f aca="true" t="shared" si="32" ref="E35:K35">SUM(E36:E37)</f>
        <v>5500</v>
      </c>
      <c r="F35" s="44">
        <f t="shared" si="32"/>
        <v>0</v>
      </c>
      <c r="G35" s="44">
        <f t="shared" si="32"/>
        <v>5500</v>
      </c>
      <c r="H35" s="44">
        <f t="shared" si="32"/>
        <v>0</v>
      </c>
      <c r="I35" s="44">
        <f t="shared" si="32"/>
        <v>5500</v>
      </c>
      <c r="J35" s="44">
        <f t="shared" si="32"/>
        <v>0</v>
      </c>
      <c r="K35" s="44">
        <f t="shared" si="32"/>
        <v>5500</v>
      </c>
      <c r="L35" s="44">
        <f aca="true" t="shared" si="33" ref="L35:Q35">SUM(L36:L37)</f>
        <v>0</v>
      </c>
      <c r="M35" s="44">
        <f t="shared" si="33"/>
        <v>5500</v>
      </c>
      <c r="N35" s="44">
        <f t="shared" si="33"/>
        <v>0</v>
      </c>
      <c r="O35" s="44">
        <f t="shared" si="33"/>
        <v>5500</v>
      </c>
      <c r="P35" s="44">
        <f t="shared" si="33"/>
        <v>0</v>
      </c>
      <c r="Q35" s="44">
        <f t="shared" si="33"/>
        <v>5500</v>
      </c>
      <c r="R35" s="44">
        <f aca="true" t="shared" si="34" ref="R35:W35">SUM(R36:R37)</f>
        <v>0</v>
      </c>
      <c r="S35" s="44">
        <f t="shared" si="34"/>
        <v>5500</v>
      </c>
      <c r="T35" s="44">
        <f t="shared" si="34"/>
        <v>0</v>
      </c>
      <c r="U35" s="44">
        <f t="shared" si="34"/>
        <v>5500</v>
      </c>
      <c r="V35" s="44">
        <f t="shared" si="34"/>
        <v>0</v>
      </c>
      <c r="W35" s="44">
        <f t="shared" si="34"/>
        <v>5500</v>
      </c>
      <c r="X35" s="44">
        <f aca="true" t="shared" si="35" ref="X35:AC35">SUM(X36:X37)</f>
        <v>0</v>
      </c>
      <c r="Y35" s="44">
        <f t="shared" si="35"/>
        <v>5500</v>
      </c>
      <c r="Z35" s="44">
        <f t="shared" si="35"/>
        <v>0</v>
      </c>
      <c r="AA35" s="44">
        <f t="shared" si="35"/>
        <v>5500</v>
      </c>
      <c r="AB35" s="44">
        <f t="shared" si="35"/>
        <v>0</v>
      </c>
      <c r="AC35" s="44">
        <f t="shared" si="35"/>
        <v>5500</v>
      </c>
      <c r="AD35" s="44">
        <f aca="true" t="shared" si="36" ref="AD35:AI35">SUM(AD36:AD37)</f>
        <v>0</v>
      </c>
      <c r="AE35" s="44">
        <f t="shared" si="36"/>
        <v>5500</v>
      </c>
      <c r="AF35" s="44">
        <f t="shared" si="36"/>
        <v>0</v>
      </c>
      <c r="AG35" s="44">
        <f t="shared" si="36"/>
        <v>5500</v>
      </c>
      <c r="AH35" s="44">
        <f t="shared" si="36"/>
        <v>0</v>
      </c>
      <c r="AI35" s="44">
        <f t="shared" si="36"/>
        <v>5500</v>
      </c>
      <c r="AJ35" s="44">
        <f>SUM(AJ36:AJ37)</f>
        <v>0</v>
      </c>
      <c r="AK35" s="44">
        <f>SUM(AK36:AK37)</f>
        <v>5500</v>
      </c>
      <c r="AL35" s="44">
        <f>SUM(AL36:AL37)</f>
        <v>0</v>
      </c>
      <c r="AM35" s="44">
        <f>SUM(AM36:AM37)</f>
        <v>5500</v>
      </c>
    </row>
    <row r="36" spans="1:39" s="20" customFormat="1" ht="21.75" customHeight="1">
      <c r="A36" s="51"/>
      <c r="B36" s="34"/>
      <c r="C36" s="47" t="s">
        <v>134</v>
      </c>
      <c r="D36" s="50" t="s">
        <v>25</v>
      </c>
      <c r="E36" s="44">
        <v>5000</v>
      </c>
      <c r="F36" s="44"/>
      <c r="G36" s="84">
        <f t="shared" si="5"/>
        <v>5000</v>
      </c>
      <c r="H36" s="44"/>
      <c r="I36" s="84">
        <f>SUM(G36:H36)</f>
        <v>5000</v>
      </c>
      <c r="J36" s="44"/>
      <c r="K36" s="84">
        <f>SUM(I36:J36)</f>
        <v>5000</v>
      </c>
      <c r="L36" s="44"/>
      <c r="M36" s="84">
        <f>SUM(K36:L36)</f>
        <v>5000</v>
      </c>
      <c r="N36" s="44"/>
      <c r="O36" s="84">
        <f>SUM(M36:N36)</f>
        <v>5000</v>
      </c>
      <c r="P36" s="44"/>
      <c r="Q36" s="84">
        <f>SUM(O36:P36)</f>
        <v>5000</v>
      </c>
      <c r="R36" s="44"/>
      <c r="S36" s="84">
        <f>SUM(Q36:R36)</f>
        <v>5000</v>
      </c>
      <c r="T36" s="44"/>
      <c r="U36" s="84">
        <f>SUM(S36:T36)</f>
        <v>5000</v>
      </c>
      <c r="V36" s="44"/>
      <c r="W36" s="84">
        <f>SUM(U36:V36)</f>
        <v>5000</v>
      </c>
      <c r="X36" s="44"/>
      <c r="Y36" s="84">
        <f>SUM(W36:X36)</f>
        <v>5000</v>
      </c>
      <c r="Z36" s="44"/>
      <c r="AA36" s="84">
        <f>SUM(Y36:Z36)</f>
        <v>5000</v>
      </c>
      <c r="AB36" s="44"/>
      <c r="AC36" s="84">
        <f>SUM(AA36:AB36)</f>
        <v>5000</v>
      </c>
      <c r="AD36" s="44"/>
      <c r="AE36" s="84">
        <f>SUM(AC36:AD36)</f>
        <v>5000</v>
      </c>
      <c r="AF36" s="44"/>
      <c r="AG36" s="84">
        <f>SUM(AE36:AF36)</f>
        <v>5000</v>
      </c>
      <c r="AH36" s="44"/>
      <c r="AI36" s="84">
        <f>SUM(AG36:AH36)</f>
        <v>5000</v>
      </c>
      <c r="AJ36" s="44"/>
      <c r="AK36" s="84">
        <f>SUM(AI36:AJ36)</f>
        <v>5000</v>
      </c>
      <c r="AL36" s="44"/>
      <c r="AM36" s="84">
        <f>SUM(AK36:AL36)</f>
        <v>5000</v>
      </c>
    </row>
    <row r="37" spans="1:39" s="20" customFormat="1" ht="21.75" customHeight="1">
      <c r="A37" s="51"/>
      <c r="B37" s="34"/>
      <c r="C37" s="47" t="s">
        <v>132</v>
      </c>
      <c r="D37" s="50" t="s">
        <v>11</v>
      </c>
      <c r="E37" s="44">
        <v>500</v>
      </c>
      <c r="F37" s="44"/>
      <c r="G37" s="84">
        <f t="shared" si="5"/>
        <v>500</v>
      </c>
      <c r="H37" s="44"/>
      <c r="I37" s="84">
        <f>SUM(G37:H37)</f>
        <v>500</v>
      </c>
      <c r="J37" s="44"/>
      <c r="K37" s="84">
        <f>SUM(I37:J37)</f>
        <v>500</v>
      </c>
      <c r="L37" s="44"/>
      <c r="M37" s="84">
        <f>SUM(K37:L37)</f>
        <v>500</v>
      </c>
      <c r="N37" s="44"/>
      <c r="O37" s="84">
        <f>SUM(M37:N37)</f>
        <v>500</v>
      </c>
      <c r="P37" s="44"/>
      <c r="Q37" s="84">
        <f>SUM(O37:P37)</f>
        <v>500</v>
      </c>
      <c r="R37" s="44"/>
      <c r="S37" s="84">
        <f>SUM(Q37:R37)</f>
        <v>500</v>
      </c>
      <c r="T37" s="44"/>
      <c r="U37" s="84">
        <f>SUM(S37:T37)</f>
        <v>500</v>
      </c>
      <c r="V37" s="44"/>
      <c r="W37" s="84">
        <f>SUM(U37:V37)</f>
        <v>500</v>
      </c>
      <c r="X37" s="44"/>
      <c r="Y37" s="84">
        <f>SUM(W37:X37)</f>
        <v>500</v>
      </c>
      <c r="Z37" s="44"/>
      <c r="AA37" s="84">
        <f>SUM(Y37:Z37)</f>
        <v>500</v>
      </c>
      <c r="AB37" s="44"/>
      <c r="AC37" s="84">
        <f>SUM(AA37:AB37)</f>
        <v>500</v>
      </c>
      <c r="AD37" s="44"/>
      <c r="AE37" s="84">
        <f>SUM(AC37:AD37)</f>
        <v>500</v>
      </c>
      <c r="AF37" s="44"/>
      <c r="AG37" s="84">
        <f>SUM(AE37:AF37)</f>
        <v>500</v>
      </c>
      <c r="AH37" s="44"/>
      <c r="AI37" s="84">
        <f>SUM(AG37:AH37)</f>
        <v>500</v>
      </c>
      <c r="AJ37" s="44"/>
      <c r="AK37" s="84">
        <f>SUM(AI37:AJ37)</f>
        <v>500</v>
      </c>
      <c r="AL37" s="44"/>
      <c r="AM37" s="84">
        <f>SUM(AK37:AL37)</f>
        <v>500</v>
      </c>
    </row>
    <row r="38" spans="1:39" s="5" customFormat="1" ht="60">
      <c r="A38" s="23" t="s">
        <v>26</v>
      </c>
      <c r="B38" s="1"/>
      <c r="C38" s="2"/>
      <c r="D38" s="24" t="s">
        <v>124</v>
      </c>
      <c r="E38" s="39">
        <f aca="true" t="shared" si="37" ref="E38:K38">SUM(E39,E42,E50,E60,E66,)</f>
        <v>23034971</v>
      </c>
      <c r="F38" s="39">
        <f t="shared" si="37"/>
        <v>0</v>
      </c>
      <c r="G38" s="39">
        <f t="shared" si="37"/>
        <v>23034971</v>
      </c>
      <c r="H38" s="39">
        <f t="shared" si="37"/>
        <v>0</v>
      </c>
      <c r="I38" s="39">
        <f t="shared" si="37"/>
        <v>23034971</v>
      </c>
      <c r="J38" s="39">
        <f t="shared" si="37"/>
        <v>-329</v>
      </c>
      <c r="K38" s="39">
        <f t="shared" si="37"/>
        <v>23034642</v>
      </c>
      <c r="L38" s="39">
        <f aca="true" t="shared" si="38" ref="L38:Q38">SUM(L39,L42,L50,L60,L66,)</f>
        <v>14000</v>
      </c>
      <c r="M38" s="39">
        <f t="shared" si="38"/>
        <v>23048642</v>
      </c>
      <c r="N38" s="39">
        <f t="shared" si="38"/>
        <v>0</v>
      </c>
      <c r="O38" s="39">
        <f t="shared" si="38"/>
        <v>23048642</v>
      </c>
      <c r="P38" s="39">
        <f t="shared" si="38"/>
        <v>0</v>
      </c>
      <c r="Q38" s="39">
        <f t="shared" si="38"/>
        <v>23048642</v>
      </c>
      <c r="R38" s="39">
        <f aca="true" t="shared" si="39" ref="R38:W38">SUM(R39,R42,R50,R60,R66,)</f>
        <v>0</v>
      </c>
      <c r="S38" s="39">
        <f t="shared" si="39"/>
        <v>23048642</v>
      </c>
      <c r="T38" s="39">
        <f t="shared" si="39"/>
        <v>0</v>
      </c>
      <c r="U38" s="39">
        <f t="shared" si="39"/>
        <v>23048642</v>
      </c>
      <c r="V38" s="39">
        <f t="shared" si="39"/>
        <v>0</v>
      </c>
      <c r="W38" s="39">
        <f t="shared" si="39"/>
        <v>23048642</v>
      </c>
      <c r="X38" s="39">
        <f aca="true" t="shared" si="40" ref="X38:AC38">SUM(X39,X42,X50,X60,X66,)</f>
        <v>0</v>
      </c>
      <c r="Y38" s="39">
        <f t="shared" si="40"/>
        <v>23048642</v>
      </c>
      <c r="Z38" s="39">
        <f t="shared" si="40"/>
        <v>0</v>
      </c>
      <c r="AA38" s="39">
        <f t="shared" si="40"/>
        <v>23048642</v>
      </c>
      <c r="AB38" s="39">
        <f t="shared" si="40"/>
        <v>19000</v>
      </c>
      <c r="AC38" s="39">
        <f t="shared" si="40"/>
        <v>23067642</v>
      </c>
      <c r="AD38" s="39">
        <f aca="true" t="shared" si="41" ref="AD38:AI38">SUM(AD39,AD42,AD50,AD60,AD66,)</f>
        <v>0</v>
      </c>
      <c r="AE38" s="39">
        <f t="shared" si="41"/>
        <v>23067642</v>
      </c>
      <c r="AF38" s="39">
        <f t="shared" si="41"/>
        <v>-992550</v>
      </c>
      <c r="AG38" s="39">
        <f t="shared" si="41"/>
        <v>22075092</v>
      </c>
      <c r="AH38" s="39">
        <f t="shared" si="41"/>
        <v>5914</v>
      </c>
      <c r="AI38" s="39">
        <f t="shared" si="41"/>
        <v>22081006</v>
      </c>
      <c r="AJ38" s="39">
        <f>SUM(AJ39,AJ42,AJ50,AJ60,AJ66,)</f>
        <v>-70955</v>
      </c>
      <c r="AK38" s="39">
        <f>SUM(AK39,AK42,AK50,AK60,AK66,)</f>
        <v>22010051</v>
      </c>
      <c r="AL38" s="39">
        <f>SUM(AL39,AL42,AL50,AL60,AL66,)</f>
        <v>0</v>
      </c>
      <c r="AM38" s="39">
        <f>SUM(AM39,AM42,AM50,AM60,AM66,)</f>
        <v>22010051</v>
      </c>
    </row>
    <row r="39" spans="1:39" s="20" customFormat="1" ht="24" customHeight="1">
      <c r="A39" s="45"/>
      <c r="B39" s="34">
        <v>75601</v>
      </c>
      <c r="C39" s="53"/>
      <c r="D39" s="50" t="s">
        <v>27</v>
      </c>
      <c r="E39" s="44">
        <f aca="true" t="shared" si="42" ref="E39:K39">SUM(E40:E41)</f>
        <v>52500</v>
      </c>
      <c r="F39" s="44">
        <f t="shared" si="42"/>
        <v>0</v>
      </c>
      <c r="G39" s="44">
        <f t="shared" si="42"/>
        <v>52500</v>
      </c>
      <c r="H39" s="44">
        <f t="shared" si="42"/>
        <v>0</v>
      </c>
      <c r="I39" s="44">
        <f t="shared" si="42"/>
        <v>52500</v>
      </c>
      <c r="J39" s="44">
        <f t="shared" si="42"/>
        <v>0</v>
      </c>
      <c r="K39" s="44">
        <f t="shared" si="42"/>
        <v>52500</v>
      </c>
      <c r="L39" s="44">
        <f aca="true" t="shared" si="43" ref="L39:Q39">SUM(L40:L41)</f>
        <v>0</v>
      </c>
      <c r="M39" s="44">
        <f t="shared" si="43"/>
        <v>52500</v>
      </c>
      <c r="N39" s="44">
        <f t="shared" si="43"/>
        <v>0</v>
      </c>
      <c r="O39" s="44">
        <f t="shared" si="43"/>
        <v>52500</v>
      </c>
      <c r="P39" s="44">
        <f t="shared" si="43"/>
        <v>0</v>
      </c>
      <c r="Q39" s="44">
        <f t="shared" si="43"/>
        <v>52500</v>
      </c>
      <c r="R39" s="44">
        <f aca="true" t="shared" si="44" ref="R39:W39">SUM(R40:R41)</f>
        <v>0</v>
      </c>
      <c r="S39" s="44">
        <f t="shared" si="44"/>
        <v>52500</v>
      </c>
      <c r="T39" s="44">
        <f t="shared" si="44"/>
        <v>0</v>
      </c>
      <c r="U39" s="44">
        <f t="shared" si="44"/>
        <v>52500</v>
      </c>
      <c r="V39" s="44">
        <f t="shared" si="44"/>
        <v>0</v>
      </c>
      <c r="W39" s="44">
        <f t="shared" si="44"/>
        <v>52500</v>
      </c>
      <c r="X39" s="44">
        <f aca="true" t="shared" si="45" ref="X39:AC39">SUM(X40:X41)</f>
        <v>0</v>
      </c>
      <c r="Y39" s="44">
        <f t="shared" si="45"/>
        <v>52500</v>
      </c>
      <c r="Z39" s="44">
        <f t="shared" si="45"/>
        <v>0</v>
      </c>
      <c r="AA39" s="44">
        <f t="shared" si="45"/>
        <v>52500</v>
      </c>
      <c r="AB39" s="44">
        <f t="shared" si="45"/>
        <v>0</v>
      </c>
      <c r="AC39" s="44">
        <f t="shared" si="45"/>
        <v>52500</v>
      </c>
      <c r="AD39" s="44">
        <f aca="true" t="shared" si="46" ref="AD39:AI39">SUM(AD40:AD41)</f>
        <v>0</v>
      </c>
      <c r="AE39" s="44">
        <f t="shared" si="46"/>
        <v>52500</v>
      </c>
      <c r="AF39" s="44">
        <f t="shared" si="46"/>
        <v>0</v>
      </c>
      <c r="AG39" s="44">
        <f t="shared" si="46"/>
        <v>52500</v>
      </c>
      <c r="AH39" s="44">
        <f t="shared" si="46"/>
        <v>0</v>
      </c>
      <c r="AI39" s="44">
        <f t="shared" si="46"/>
        <v>52500</v>
      </c>
      <c r="AJ39" s="44">
        <f>SUM(AJ40:AJ41)</f>
        <v>0</v>
      </c>
      <c r="AK39" s="44">
        <f>SUM(AK40:AK41)</f>
        <v>52500</v>
      </c>
      <c r="AL39" s="44">
        <f>SUM(AL40:AL41)</f>
        <v>0</v>
      </c>
      <c r="AM39" s="44">
        <f>SUM(AM40:AM41)</f>
        <v>52500</v>
      </c>
    </row>
    <row r="40" spans="1:39" s="20" customFormat="1" ht="24" customHeight="1">
      <c r="A40" s="45"/>
      <c r="B40" s="34"/>
      <c r="C40" s="52" t="s">
        <v>135</v>
      </c>
      <c r="D40" s="50" t="s">
        <v>28</v>
      </c>
      <c r="E40" s="44">
        <v>50000</v>
      </c>
      <c r="F40" s="44"/>
      <c r="G40" s="84">
        <f t="shared" si="5"/>
        <v>50000</v>
      </c>
      <c r="H40" s="44"/>
      <c r="I40" s="84">
        <f>SUM(G40:H40)</f>
        <v>50000</v>
      </c>
      <c r="J40" s="44"/>
      <c r="K40" s="84">
        <f>SUM(I40:J40)</f>
        <v>50000</v>
      </c>
      <c r="L40" s="44"/>
      <c r="M40" s="84">
        <f>SUM(K40:L40)</f>
        <v>50000</v>
      </c>
      <c r="N40" s="44"/>
      <c r="O40" s="84">
        <f>SUM(M40:N40)</f>
        <v>50000</v>
      </c>
      <c r="P40" s="44"/>
      <c r="Q40" s="84">
        <f>SUM(O40:P40)</f>
        <v>50000</v>
      </c>
      <c r="R40" s="44"/>
      <c r="S40" s="84">
        <f>SUM(Q40:R40)</f>
        <v>50000</v>
      </c>
      <c r="T40" s="44"/>
      <c r="U40" s="84">
        <f>SUM(S40:T40)</f>
        <v>50000</v>
      </c>
      <c r="V40" s="44"/>
      <c r="W40" s="84">
        <f>SUM(U40:V40)</f>
        <v>50000</v>
      </c>
      <c r="X40" s="44"/>
      <c r="Y40" s="84">
        <f>SUM(W40:X40)</f>
        <v>50000</v>
      </c>
      <c r="Z40" s="44"/>
      <c r="AA40" s="84">
        <f>SUM(Y40:Z40)</f>
        <v>50000</v>
      </c>
      <c r="AB40" s="44"/>
      <c r="AC40" s="84">
        <f>SUM(AA40:AB40)</f>
        <v>50000</v>
      </c>
      <c r="AD40" s="44"/>
      <c r="AE40" s="84">
        <f>SUM(AC40:AD40)</f>
        <v>50000</v>
      </c>
      <c r="AF40" s="44"/>
      <c r="AG40" s="84">
        <f>SUM(AE40:AF40)</f>
        <v>50000</v>
      </c>
      <c r="AH40" s="44"/>
      <c r="AI40" s="84">
        <f>SUM(AG40:AH40)</f>
        <v>50000</v>
      </c>
      <c r="AJ40" s="44"/>
      <c r="AK40" s="84">
        <f>SUM(AI40:AJ40)</f>
        <v>50000</v>
      </c>
      <c r="AL40" s="44"/>
      <c r="AM40" s="84">
        <f>SUM(AK40:AL40)</f>
        <v>50000</v>
      </c>
    </row>
    <row r="41" spans="1:39" s="20" customFormat="1" ht="24" customHeight="1">
      <c r="A41" s="45"/>
      <c r="B41" s="34"/>
      <c r="C41" s="52" t="s">
        <v>136</v>
      </c>
      <c r="D41" s="50" t="s">
        <v>35</v>
      </c>
      <c r="E41" s="44">
        <v>2500</v>
      </c>
      <c r="F41" s="44"/>
      <c r="G41" s="84">
        <f t="shared" si="5"/>
        <v>2500</v>
      </c>
      <c r="H41" s="44"/>
      <c r="I41" s="84">
        <f>SUM(G41:H41)</f>
        <v>2500</v>
      </c>
      <c r="J41" s="44"/>
      <c r="K41" s="84">
        <f>SUM(I41:J41)</f>
        <v>2500</v>
      </c>
      <c r="L41" s="44"/>
      <c r="M41" s="84">
        <f>SUM(K41:L41)</f>
        <v>2500</v>
      </c>
      <c r="N41" s="44"/>
      <c r="O41" s="84">
        <f>SUM(M41:N41)</f>
        <v>2500</v>
      </c>
      <c r="P41" s="44"/>
      <c r="Q41" s="84">
        <f>SUM(O41:P41)</f>
        <v>2500</v>
      </c>
      <c r="R41" s="44"/>
      <c r="S41" s="84">
        <f>SUM(Q41:R41)</f>
        <v>2500</v>
      </c>
      <c r="T41" s="44"/>
      <c r="U41" s="84">
        <f>SUM(S41:T41)</f>
        <v>2500</v>
      </c>
      <c r="V41" s="44"/>
      <c r="W41" s="84">
        <f>SUM(U41:V41)</f>
        <v>2500</v>
      </c>
      <c r="X41" s="44"/>
      <c r="Y41" s="84">
        <f>SUM(W41:X41)</f>
        <v>2500</v>
      </c>
      <c r="Z41" s="44"/>
      <c r="AA41" s="84">
        <f>SUM(Y41:Z41)</f>
        <v>2500</v>
      </c>
      <c r="AB41" s="44"/>
      <c r="AC41" s="84">
        <f>SUM(AA41:AB41)</f>
        <v>2500</v>
      </c>
      <c r="AD41" s="44"/>
      <c r="AE41" s="84">
        <f>SUM(AC41:AD41)</f>
        <v>2500</v>
      </c>
      <c r="AF41" s="44"/>
      <c r="AG41" s="84">
        <f>SUM(AE41:AF41)</f>
        <v>2500</v>
      </c>
      <c r="AH41" s="44"/>
      <c r="AI41" s="84">
        <f>SUM(AG41:AH41)</f>
        <v>2500</v>
      </c>
      <c r="AJ41" s="44"/>
      <c r="AK41" s="84">
        <f>SUM(AI41:AJ41)</f>
        <v>2500</v>
      </c>
      <c r="AL41" s="44"/>
      <c r="AM41" s="84">
        <f>SUM(AK41:AL41)</f>
        <v>2500</v>
      </c>
    </row>
    <row r="42" spans="1:39" s="20" customFormat="1" ht="56.25">
      <c r="A42" s="45"/>
      <c r="B42" s="46" t="s">
        <v>29</v>
      </c>
      <c r="C42" s="53"/>
      <c r="D42" s="50" t="s">
        <v>160</v>
      </c>
      <c r="E42" s="44">
        <f aca="true" t="shared" si="47" ref="E42:K42">SUM(E43:E49)</f>
        <v>7208496</v>
      </c>
      <c r="F42" s="44">
        <f t="shared" si="47"/>
        <v>0</v>
      </c>
      <c r="G42" s="44">
        <f t="shared" si="47"/>
        <v>7208496</v>
      </c>
      <c r="H42" s="44">
        <f t="shared" si="47"/>
        <v>0</v>
      </c>
      <c r="I42" s="44">
        <f t="shared" si="47"/>
        <v>7208496</v>
      </c>
      <c r="J42" s="44">
        <f t="shared" si="47"/>
        <v>0</v>
      </c>
      <c r="K42" s="44">
        <f t="shared" si="47"/>
        <v>7208496</v>
      </c>
      <c r="L42" s="44">
        <f aca="true" t="shared" si="48" ref="L42:Q42">SUM(L43:L49)</f>
        <v>0</v>
      </c>
      <c r="M42" s="44">
        <f t="shared" si="48"/>
        <v>7208496</v>
      </c>
      <c r="N42" s="44">
        <f t="shared" si="48"/>
        <v>0</v>
      </c>
      <c r="O42" s="44">
        <f t="shared" si="48"/>
        <v>7208496</v>
      </c>
      <c r="P42" s="44">
        <f t="shared" si="48"/>
        <v>0</v>
      </c>
      <c r="Q42" s="44">
        <f t="shared" si="48"/>
        <v>7208496</v>
      </c>
      <c r="R42" s="44">
        <f aca="true" t="shared" si="49" ref="R42:W42">SUM(R43:R49)</f>
        <v>0</v>
      </c>
      <c r="S42" s="44">
        <f t="shared" si="49"/>
        <v>7208496</v>
      </c>
      <c r="T42" s="44">
        <f t="shared" si="49"/>
        <v>0</v>
      </c>
      <c r="U42" s="44">
        <f t="shared" si="49"/>
        <v>7208496</v>
      </c>
      <c r="V42" s="44">
        <f t="shared" si="49"/>
        <v>0</v>
      </c>
      <c r="W42" s="44">
        <f t="shared" si="49"/>
        <v>7208496</v>
      </c>
      <c r="X42" s="44">
        <f aca="true" t="shared" si="50" ref="X42:AC42">SUM(X43:X49)</f>
        <v>0</v>
      </c>
      <c r="Y42" s="44">
        <f t="shared" si="50"/>
        <v>7208496</v>
      </c>
      <c r="Z42" s="44">
        <f t="shared" si="50"/>
        <v>0</v>
      </c>
      <c r="AA42" s="44">
        <f t="shared" si="50"/>
        <v>7208496</v>
      </c>
      <c r="AB42" s="44">
        <f t="shared" si="50"/>
        <v>14600</v>
      </c>
      <c r="AC42" s="44">
        <f t="shared" si="50"/>
        <v>7223096</v>
      </c>
      <c r="AD42" s="44">
        <f aca="true" t="shared" si="51" ref="AD42:AI42">SUM(AD43:AD49)</f>
        <v>0</v>
      </c>
      <c r="AE42" s="44">
        <f t="shared" si="51"/>
        <v>7223096</v>
      </c>
      <c r="AF42" s="44">
        <f t="shared" si="51"/>
        <v>-20700</v>
      </c>
      <c r="AG42" s="44">
        <f t="shared" si="51"/>
        <v>7202396</v>
      </c>
      <c r="AH42" s="44">
        <f t="shared" si="51"/>
        <v>562</v>
      </c>
      <c r="AI42" s="44">
        <f t="shared" si="51"/>
        <v>7202958</v>
      </c>
      <c r="AJ42" s="44">
        <f>SUM(AJ43:AJ49)</f>
        <v>33000</v>
      </c>
      <c r="AK42" s="44">
        <f>SUM(AK43:AK49)</f>
        <v>7235958</v>
      </c>
      <c r="AL42" s="44">
        <f>SUM(AL43:AL49)</f>
        <v>0</v>
      </c>
      <c r="AM42" s="44">
        <f>SUM(AM43:AM49)</f>
        <v>7235958</v>
      </c>
    </row>
    <row r="43" spans="1:39" s="20" customFormat="1" ht="21.75" customHeight="1">
      <c r="A43" s="45"/>
      <c r="B43" s="46"/>
      <c r="C43" s="47" t="s">
        <v>137</v>
      </c>
      <c r="D43" s="50" t="s">
        <v>30</v>
      </c>
      <c r="E43" s="44">
        <v>6458259</v>
      </c>
      <c r="F43" s="44"/>
      <c r="G43" s="84">
        <f t="shared" si="5"/>
        <v>6458259</v>
      </c>
      <c r="H43" s="44"/>
      <c r="I43" s="84">
        <f aca="true" t="shared" si="52" ref="I43:I49">SUM(G43:H43)</f>
        <v>6458259</v>
      </c>
      <c r="J43" s="44"/>
      <c r="K43" s="84">
        <f aca="true" t="shared" si="53" ref="K43:K49">SUM(I43:J43)</f>
        <v>6458259</v>
      </c>
      <c r="L43" s="44"/>
      <c r="M43" s="84">
        <f aca="true" t="shared" si="54" ref="M43:M49">SUM(K43:L43)</f>
        <v>6458259</v>
      </c>
      <c r="N43" s="44"/>
      <c r="O43" s="84">
        <f aca="true" t="shared" si="55" ref="O43:O49">SUM(M43:N43)</f>
        <v>6458259</v>
      </c>
      <c r="P43" s="44"/>
      <c r="Q43" s="84">
        <f aca="true" t="shared" si="56" ref="Q43:Q49">SUM(O43:P43)</f>
        <v>6458259</v>
      </c>
      <c r="R43" s="44"/>
      <c r="S43" s="84">
        <f aca="true" t="shared" si="57" ref="S43:S49">SUM(Q43:R43)</f>
        <v>6458259</v>
      </c>
      <c r="T43" s="44"/>
      <c r="U43" s="84">
        <f aca="true" t="shared" si="58" ref="U43:U49">SUM(S43:T43)</f>
        <v>6458259</v>
      </c>
      <c r="V43" s="44"/>
      <c r="W43" s="84">
        <f aca="true" t="shared" si="59" ref="W43:W49">SUM(U43:V43)</f>
        <v>6458259</v>
      </c>
      <c r="X43" s="44"/>
      <c r="Y43" s="84">
        <f aca="true" t="shared" si="60" ref="Y43:Y49">SUM(W43:X43)</f>
        <v>6458259</v>
      </c>
      <c r="Z43" s="44"/>
      <c r="AA43" s="84">
        <f aca="true" t="shared" si="61" ref="AA43:AA49">SUM(Y43:Z43)</f>
        <v>6458259</v>
      </c>
      <c r="AB43" s="44"/>
      <c r="AC43" s="84">
        <f aca="true" t="shared" si="62" ref="AC43:AC49">SUM(AA43:AB43)</f>
        <v>6458259</v>
      </c>
      <c r="AD43" s="44"/>
      <c r="AE43" s="84">
        <f aca="true" t="shared" si="63" ref="AE43:AE49">SUM(AC43:AD43)</f>
        <v>6458259</v>
      </c>
      <c r="AF43" s="44"/>
      <c r="AG43" s="84">
        <f aca="true" t="shared" si="64" ref="AG43:AG49">SUM(AE43:AF43)</f>
        <v>6458259</v>
      </c>
      <c r="AH43" s="44"/>
      <c r="AI43" s="84">
        <f aca="true" t="shared" si="65" ref="AI43:AI49">SUM(AG43:AH43)</f>
        <v>6458259</v>
      </c>
      <c r="AJ43" s="44"/>
      <c r="AK43" s="84">
        <f aca="true" t="shared" si="66" ref="AK43:AK49">SUM(AI43:AJ43)</f>
        <v>6458259</v>
      </c>
      <c r="AL43" s="44"/>
      <c r="AM43" s="84">
        <f aca="true" t="shared" si="67" ref="AM43:AM49">SUM(AK43:AL43)</f>
        <v>6458259</v>
      </c>
    </row>
    <row r="44" spans="1:39" s="20" customFormat="1" ht="21.75" customHeight="1">
      <c r="A44" s="45"/>
      <c r="B44" s="46"/>
      <c r="C44" s="47" t="s">
        <v>138</v>
      </c>
      <c r="D44" s="50" t="s">
        <v>31</v>
      </c>
      <c r="E44" s="44">
        <v>25000</v>
      </c>
      <c r="F44" s="44"/>
      <c r="G44" s="84">
        <f t="shared" si="5"/>
        <v>25000</v>
      </c>
      <c r="H44" s="44"/>
      <c r="I44" s="84">
        <f t="shared" si="52"/>
        <v>25000</v>
      </c>
      <c r="J44" s="44"/>
      <c r="K44" s="84">
        <f t="shared" si="53"/>
        <v>25000</v>
      </c>
      <c r="L44" s="44"/>
      <c r="M44" s="84">
        <f t="shared" si="54"/>
        <v>25000</v>
      </c>
      <c r="N44" s="44"/>
      <c r="O44" s="84">
        <f t="shared" si="55"/>
        <v>25000</v>
      </c>
      <c r="P44" s="44"/>
      <c r="Q44" s="84">
        <f t="shared" si="56"/>
        <v>25000</v>
      </c>
      <c r="R44" s="44"/>
      <c r="S44" s="84">
        <f t="shared" si="57"/>
        <v>25000</v>
      </c>
      <c r="T44" s="44"/>
      <c r="U44" s="84">
        <f t="shared" si="58"/>
        <v>25000</v>
      </c>
      <c r="V44" s="44"/>
      <c r="W44" s="84">
        <f t="shared" si="59"/>
        <v>25000</v>
      </c>
      <c r="X44" s="44"/>
      <c r="Y44" s="84">
        <f t="shared" si="60"/>
        <v>25000</v>
      </c>
      <c r="Z44" s="44"/>
      <c r="AA44" s="84">
        <f t="shared" si="61"/>
        <v>25000</v>
      </c>
      <c r="AB44" s="44"/>
      <c r="AC44" s="84">
        <f t="shared" si="62"/>
        <v>25000</v>
      </c>
      <c r="AD44" s="44"/>
      <c r="AE44" s="84">
        <f t="shared" si="63"/>
        <v>25000</v>
      </c>
      <c r="AF44" s="44">
        <v>14800</v>
      </c>
      <c r="AG44" s="84">
        <f t="shared" si="64"/>
        <v>39800</v>
      </c>
      <c r="AH44" s="44"/>
      <c r="AI44" s="84">
        <f t="shared" si="65"/>
        <v>39800</v>
      </c>
      <c r="AJ44" s="44"/>
      <c r="AK44" s="84">
        <f t="shared" si="66"/>
        <v>39800</v>
      </c>
      <c r="AL44" s="44"/>
      <c r="AM44" s="84">
        <f t="shared" si="67"/>
        <v>39800</v>
      </c>
    </row>
    <row r="45" spans="1:39" s="20" customFormat="1" ht="21.75" customHeight="1">
      <c r="A45" s="45"/>
      <c r="B45" s="46"/>
      <c r="C45" s="47" t="s">
        <v>139</v>
      </c>
      <c r="D45" s="50" t="s">
        <v>32</v>
      </c>
      <c r="E45" s="44">
        <v>350823</v>
      </c>
      <c r="F45" s="44"/>
      <c r="G45" s="84">
        <f t="shared" si="5"/>
        <v>350823</v>
      </c>
      <c r="H45" s="44"/>
      <c r="I45" s="84">
        <f t="shared" si="52"/>
        <v>350823</v>
      </c>
      <c r="J45" s="44"/>
      <c r="K45" s="84">
        <f t="shared" si="53"/>
        <v>350823</v>
      </c>
      <c r="L45" s="44"/>
      <c r="M45" s="84">
        <f t="shared" si="54"/>
        <v>350823</v>
      </c>
      <c r="N45" s="44"/>
      <c r="O45" s="84">
        <f t="shared" si="55"/>
        <v>350823</v>
      </c>
      <c r="P45" s="44"/>
      <c r="Q45" s="84">
        <f t="shared" si="56"/>
        <v>350823</v>
      </c>
      <c r="R45" s="44"/>
      <c r="S45" s="84">
        <f t="shared" si="57"/>
        <v>350823</v>
      </c>
      <c r="T45" s="44"/>
      <c r="U45" s="84">
        <f t="shared" si="58"/>
        <v>350823</v>
      </c>
      <c r="V45" s="44"/>
      <c r="W45" s="84">
        <f t="shared" si="59"/>
        <v>350823</v>
      </c>
      <c r="X45" s="44"/>
      <c r="Y45" s="84">
        <f t="shared" si="60"/>
        <v>350823</v>
      </c>
      <c r="Z45" s="44"/>
      <c r="AA45" s="84">
        <f t="shared" si="61"/>
        <v>350823</v>
      </c>
      <c r="AB45" s="44"/>
      <c r="AC45" s="84">
        <f t="shared" si="62"/>
        <v>350823</v>
      </c>
      <c r="AD45" s="44"/>
      <c r="AE45" s="84">
        <f t="shared" si="63"/>
        <v>350823</v>
      </c>
      <c r="AF45" s="44"/>
      <c r="AG45" s="84">
        <f t="shared" si="64"/>
        <v>350823</v>
      </c>
      <c r="AH45" s="44"/>
      <c r="AI45" s="84">
        <f t="shared" si="65"/>
        <v>350823</v>
      </c>
      <c r="AJ45" s="44"/>
      <c r="AK45" s="84">
        <f t="shared" si="66"/>
        <v>350823</v>
      </c>
      <c r="AL45" s="44"/>
      <c r="AM45" s="84">
        <f t="shared" si="67"/>
        <v>350823</v>
      </c>
    </row>
    <row r="46" spans="1:39" s="20" customFormat="1" ht="21.75" customHeight="1">
      <c r="A46" s="45"/>
      <c r="B46" s="46"/>
      <c r="C46" s="47" t="s">
        <v>140</v>
      </c>
      <c r="D46" s="50" t="s">
        <v>33</v>
      </c>
      <c r="E46" s="44">
        <f>65000+20000</f>
        <v>85000</v>
      </c>
      <c r="F46" s="44"/>
      <c r="G46" s="84">
        <f t="shared" si="5"/>
        <v>85000</v>
      </c>
      <c r="H46" s="44"/>
      <c r="I46" s="84">
        <f t="shared" si="52"/>
        <v>85000</v>
      </c>
      <c r="J46" s="44"/>
      <c r="K46" s="84">
        <f t="shared" si="53"/>
        <v>85000</v>
      </c>
      <c r="L46" s="44"/>
      <c r="M46" s="84">
        <f t="shared" si="54"/>
        <v>85000</v>
      </c>
      <c r="N46" s="44"/>
      <c r="O46" s="84">
        <f t="shared" si="55"/>
        <v>85000</v>
      </c>
      <c r="P46" s="44"/>
      <c r="Q46" s="84">
        <f t="shared" si="56"/>
        <v>85000</v>
      </c>
      <c r="R46" s="44"/>
      <c r="S46" s="84">
        <f t="shared" si="57"/>
        <v>85000</v>
      </c>
      <c r="T46" s="44"/>
      <c r="U46" s="84">
        <f t="shared" si="58"/>
        <v>85000</v>
      </c>
      <c r="V46" s="44"/>
      <c r="W46" s="84">
        <f t="shared" si="59"/>
        <v>85000</v>
      </c>
      <c r="X46" s="44"/>
      <c r="Y46" s="84">
        <f t="shared" si="60"/>
        <v>85000</v>
      </c>
      <c r="Z46" s="44"/>
      <c r="AA46" s="84">
        <f t="shared" si="61"/>
        <v>85000</v>
      </c>
      <c r="AB46" s="44"/>
      <c r="AC46" s="84">
        <f t="shared" si="62"/>
        <v>85000</v>
      </c>
      <c r="AD46" s="44"/>
      <c r="AE46" s="84">
        <f t="shared" si="63"/>
        <v>85000</v>
      </c>
      <c r="AF46" s="44">
        <v>-37500</v>
      </c>
      <c r="AG46" s="84">
        <f t="shared" si="64"/>
        <v>47500</v>
      </c>
      <c r="AH46" s="44"/>
      <c r="AI46" s="84">
        <f t="shared" si="65"/>
        <v>47500</v>
      </c>
      <c r="AJ46" s="44">
        <v>2000</v>
      </c>
      <c r="AK46" s="84">
        <f t="shared" si="66"/>
        <v>49500</v>
      </c>
      <c r="AL46" s="44"/>
      <c r="AM46" s="84">
        <f t="shared" si="67"/>
        <v>49500</v>
      </c>
    </row>
    <row r="47" spans="1:39" s="20" customFormat="1" ht="21.75" customHeight="1">
      <c r="A47" s="45"/>
      <c r="B47" s="46"/>
      <c r="C47" s="47" t="s">
        <v>143</v>
      </c>
      <c r="D47" s="50" t="s">
        <v>37</v>
      </c>
      <c r="E47" s="44"/>
      <c r="F47" s="44"/>
      <c r="G47" s="84"/>
      <c r="H47" s="44"/>
      <c r="I47" s="84"/>
      <c r="J47" s="44"/>
      <c r="K47" s="84"/>
      <c r="L47" s="44"/>
      <c r="M47" s="84"/>
      <c r="N47" s="44"/>
      <c r="O47" s="84"/>
      <c r="P47" s="44"/>
      <c r="Q47" s="84"/>
      <c r="R47" s="44"/>
      <c r="S47" s="84"/>
      <c r="T47" s="44"/>
      <c r="U47" s="84"/>
      <c r="V47" s="44"/>
      <c r="W47" s="84"/>
      <c r="X47" s="44"/>
      <c r="Y47" s="84"/>
      <c r="Z47" s="44"/>
      <c r="AA47" s="84">
        <v>0</v>
      </c>
      <c r="AB47" s="44">
        <v>14600</v>
      </c>
      <c r="AC47" s="84">
        <f t="shared" si="62"/>
        <v>14600</v>
      </c>
      <c r="AD47" s="44"/>
      <c r="AE47" s="84">
        <f t="shared" si="63"/>
        <v>14600</v>
      </c>
      <c r="AF47" s="44">
        <v>2000</v>
      </c>
      <c r="AG47" s="84">
        <f t="shared" si="64"/>
        <v>16600</v>
      </c>
      <c r="AH47" s="44"/>
      <c r="AI47" s="84">
        <f t="shared" si="65"/>
        <v>16600</v>
      </c>
      <c r="AJ47" s="44">
        <v>23000</v>
      </c>
      <c r="AK47" s="84">
        <f t="shared" si="66"/>
        <v>39600</v>
      </c>
      <c r="AL47" s="44"/>
      <c r="AM47" s="84">
        <f t="shared" si="67"/>
        <v>39600</v>
      </c>
    </row>
    <row r="48" spans="1:39" s="20" customFormat="1" ht="24" customHeight="1">
      <c r="A48" s="45"/>
      <c r="B48" s="46"/>
      <c r="C48" s="43" t="s">
        <v>136</v>
      </c>
      <c r="D48" s="40" t="s">
        <v>165</v>
      </c>
      <c r="E48" s="54">
        <v>25000</v>
      </c>
      <c r="F48" s="54"/>
      <c r="G48" s="84">
        <f t="shared" si="5"/>
        <v>25000</v>
      </c>
      <c r="H48" s="54"/>
      <c r="I48" s="84">
        <f t="shared" si="52"/>
        <v>25000</v>
      </c>
      <c r="J48" s="54"/>
      <c r="K48" s="84">
        <f t="shared" si="53"/>
        <v>25000</v>
      </c>
      <c r="L48" s="54"/>
      <c r="M48" s="84">
        <f t="shared" si="54"/>
        <v>25000</v>
      </c>
      <c r="N48" s="54"/>
      <c r="O48" s="84">
        <f t="shared" si="55"/>
        <v>25000</v>
      </c>
      <c r="P48" s="54"/>
      <c r="Q48" s="84">
        <f t="shared" si="56"/>
        <v>25000</v>
      </c>
      <c r="R48" s="54"/>
      <c r="S48" s="84">
        <f t="shared" si="57"/>
        <v>25000</v>
      </c>
      <c r="T48" s="54"/>
      <c r="U48" s="84">
        <f t="shared" si="58"/>
        <v>25000</v>
      </c>
      <c r="V48" s="54"/>
      <c r="W48" s="84">
        <f t="shared" si="59"/>
        <v>25000</v>
      </c>
      <c r="X48" s="54"/>
      <c r="Y48" s="84">
        <f t="shared" si="60"/>
        <v>25000</v>
      </c>
      <c r="Z48" s="54"/>
      <c r="AA48" s="84">
        <f t="shared" si="61"/>
        <v>25000</v>
      </c>
      <c r="AB48" s="54"/>
      <c r="AC48" s="84">
        <f t="shared" si="62"/>
        <v>25000</v>
      </c>
      <c r="AD48" s="54"/>
      <c r="AE48" s="84">
        <f t="shared" si="63"/>
        <v>25000</v>
      </c>
      <c r="AF48" s="54"/>
      <c r="AG48" s="84">
        <f t="shared" si="64"/>
        <v>25000</v>
      </c>
      <c r="AH48" s="54"/>
      <c r="AI48" s="84">
        <f t="shared" si="65"/>
        <v>25000</v>
      </c>
      <c r="AJ48" s="54">
        <v>8000</v>
      </c>
      <c r="AK48" s="84">
        <f t="shared" si="66"/>
        <v>33000</v>
      </c>
      <c r="AL48" s="54"/>
      <c r="AM48" s="84">
        <f t="shared" si="67"/>
        <v>33000</v>
      </c>
    </row>
    <row r="49" spans="1:39" s="20" customFormat="1" ht="24" customHeight="1">
      <c r="A49" s="45"/>
      <c r="B49" s="46"/>
      <c r="C49" s="47">
        <v>2680</v>
      </c>
      <c r="D49" s="50" t="s">
        <v>195</v>
      </c>
      <c r="E49" s="44">
        <v>264414</v>
      </c>
      <c r="F49" s="44"/>
      <c r="G49" s="84">
        <f t="shared" si="5"/>
        <v>264414</v>
      </c>
      <c r="H49" s="44"/>
      <c r="I49" s="84">
        <f t="shared" si="52"/>
        <v>264414</v>
      </c>
      <c r="J49" s="44"/>
      <c r="K49" s="84">
        <f t="shared" si="53"/>
        <v>264414</v>
      </c>
      <c r="L49" s="44"/>
      <c r="M49" s="84">
        <f t="shared" si="54"/>
        <v>264414</v>
      </c>
      <c r="N49" s="44"/>
      <c r="O49" s="84">
        <f t="shared" si="55"/>
        <v>264414</v>
      </c>
      <c r="P49" s="44"/>
      <c r="Q49" s="84">
        <f t="shared" si="56"/>
        <v>264414</v>
      </c>
      <c r="R49" s="44"/>
      <c r="S49" s="84">
        <f t="shared" si="57"/>
        <v>264414</v>
      </c>
      <c r="T49" s="44"/>
      <c r="U49" s="84">
        <f t="shared" si="58"/>
        <v>264414</v>
      </c>
      <c r="V49" s="44"/>
      <c r="W49" s="84">
        <f t="shared" si="59"/>
        <v>264414</v>
      </c>
      <c r="X49" s="44"/>
      <c r="Y49" s="84">
        <f t="shared" si="60"/>
        <v>264414</v>
      </c>
      <c r="Z49" s="44"/>
      <c r="AA49" s="84">
        <f t="shared" si="61"/>
        <v>264414</v>
      </c>
      <c r="AB49" s="44"/>
      <c r="AC49" s="84">
        <f t="shared" si="62"/>
        <v>264414</v>
      </c>
      <c r="AD49" s="44"/>
      <c r="AE49" s="84">
        <f t="shared" si="63"/>
        <v>264414</v>
      </c>
      <c r="AF49" s="44"/>
      <c r="AG49" s="84">
        <f t="shared" si="64"/>
        <v>264414</v>
      </c>
      <c r="AH49" s="44">
        <v>562</v>
      </c>
      <c r="AI49" s="84">
        <f t="shared" si="65"/>
        <v>264976</v>
      </c>
      <c r="AJ49" s="44"/>
      <c r="AK49" s="84">
        <f t="shared" si="66"/>
        <v>264976</v>
      </c>
      <c r="AL49" s="44"/>
      <c r="AM49" s="84">
        <f t="shared" si="67"/>
        <v>264976</v>
      </c>
    </row>
    <row r="50" spans="1:39" s="20" customFormat="1" ht="56.25">
      <c r="A50" s="45"/>
      <c r="B50" s="46">
        <v>75616</v>
      </c>
      <c r="C50" s="47"/>
      <c r="D50" s="50" t="s">
        <v>203</v>
      </c>
      <c r="E50" s="44">
        <f aca="true" t="shared" si="68" ref="E50:K50">SUM(E51:E59)</f>
        <v>4073240</v>
      </c>
      <c r="F50" s="44">
        <f t="shared" si="68"/>
        <v>0</v>
      </c>
      <c r="G50" s="44">
        <f t="shared" si="68"/>
        <v>4073240</v>
      </c>
      <c r="H50" s="44">
        <f t="shared" si="68"/>
        <v>0</v>
      </c>
      <c r="I50" s="44">
        <f t="shared" si="68"/>
        <v>4073240</v>
      </c>
      <c r="J50" s="44">
        <f t="shared" si="68"/>
        <v>0</v>
      </c>
      <c r="K50" s="44">
        <f t="shared" si="68"/>
        <v>4073240</v>
      </c>
      <c r="L50" s="44">
        <f aca="true" t="shared" si="69" ref="L50:Q50">SUM(L51:L59)</f>
        <v>14000</v>
      </c>
      <c r="M50" s="44">
        <f t="shared" si="69"/>
        <v>4087240</v>
      </c>
      <c r="N50" s="44">
        <f t="shared" si="69"/>
        <v>0</v>
      </c>
      <c r="O50" s="44">
        <f t="shared" si="69"/>
        <v>4087240</v>
      </c>
      <c r="P50" s="44">
        <f t="shared" si="69"/>
        <v>0</v>
      </c>
      <c r="Q50" s="44">
        <f t="shared" si="69"/>
        <v>4087240</v>
      </c>
      <c r="R50" s="44">
        <f aca="true" t="shared" si="70" ref="R50:W50">SUM(R51:R59)</f>
        <v>0</v>
      </c>
      <c r="S50" s="44">
        <f t="shared" si="70"/>
        <v>4087240</v>
      </c>
      <c r="T50" s="44">
        <f t="shared" si="70"/>
        <v>0</v>
      </c>
      <c r="U50" s="44">
        <f t="shared" si="70"/>
        <v>4087240</v>
      </c>
      <c r="V50" s="44">
        <f t="shared" si="70"/>
        <v>0</v>
      </c>
      <c r="W50" s="44">
        <f t="shared" si="70"/>
        <v>4087240</v>
      </c>
      <c r="X50" s="44">
        <f aca="true" t="shared" si="71" ref="X50:AC50">SUM(X51:X59)</f>
        <v>0</v>
      </c>
      <c r="Y50" s="44">
        <f t="shared" si="71"/>
        <v>4087240</v>
      </c>
      <c r="Z50" s="44">
        <f t="shared" si="71"/>
        <v>0</v>
      </c>
      <c r="AA50" s="44">
        <f t="shared" si="71"/>
        <v>4087240</v>
      </c>
      <c r="AB50" s="44">
        <f t="shared" si="71"/>
        <v>4400</v>
      </c>
      <c r="AC50" s="44">
        <f t="shared" si="71"/>
        <v>4091640</v>
      </c>
      <c r="AD50" s="44">
        <f aca="true" t="shared" si="72" ref="AD50:AI50">SUM(AD51:AD59)</f>
        <v>0</v>
      </c>
      <c r="AE50" s="44">
        <f t="shared" si="72"/>
        <v>4091640</v>
      </c>
      <c r="AF50" s="44">
        <f t="shared" si="72"/>
        <v>13000</v>
      </c>
      <c r="AG50" s="44">
        <f t="shared" si="72"/>
        <v>4104640</v>
      </c>
      <c r="AH50" s="44">
        <f t="shared" si="72"/>
        <v>17000</v>
      </c>
      <c r="AI50" s="44">
        <f t="shared" si="72"/>
        <v>4121640</v>
      </c>
      <c r="AJ50" s="44">
        <f>SUM(AJ51:AJ59)</f>
        <v>33000</v>
      </c>
      <c r="AK50" s="44">
        <f>SUM(AK51:AK59)</f>
        <v>4154640</v>
      </c>
      <c r="AL50" s="44">
        <f>SUM(AL51:AL59)</f>
        <v>0</v>
      </c>
      <c r="AM50" s="44">
        <f>SUM(AM51:AM59)</f>
        <v>4154640</v>
      </c>
    </row>
    <row r="51" spans="1:39" s="20" customFormat="1" ht="21.75" customHeight="1">
      <c r="A51" s="45"/>
      <c r="B51" s="46"/>
      <c r="C51" s="47" t="s">
        <v>137</v>
      </c>
      <c r="D51" s="50" t="s">
        <v>30</v>
      </c>
      <c r="E51" s="44">
        <v>2447240</v>
      </c>
      <c r="F51" s="44"/>
      <c r="G51" s="84">
        <f t="shared" si="5"/>
        <v>2447240</v>
      </c>
      <c r="H51" s="44"/>
      <c r="I51" s="84">
        <f aca="true" t="shared" si="73" ref="I51:I59">SUM(G51:H51)</f>
        <v>2447240</v>
      </c>
      <c r="J51" s="44"/>
      <c r="K51" s="84">
        <f aca="true" t="shared" si="74" ref="K51:K59">SUM(I51:J51)</f>
        <v>2447240</v>
      </c>
      <c r="L51" s="44"/>
      <c r="M51" s="84">
        <f aca="true" t="shared" si="75" ref="M51:M59">SUM(K51:L51)</f>
        <v>2447240</v>
      </c>
      <c r="N51" s="44"/>
      <c r="O51" s="84">
        <f aca="true" t="shared" si="76" ref="O51:O59">SUM(M51:N51)</f>
        <v>2447240</v>
      </c>
      <c r="P51" s="44"/>
      <c r="Q51" s="84">
        <f aca="true" t="shared" si="77" ref="Q51:Q59">SUM(O51:P51)</f>
        <v>2447240</v>
      </c>
      <c r="R51" s="44"/>
      <c r="S51" s="84">
        <f aca="true" t="shared" si="78" ref="S51:S59">SUM(Q51:R51)</f>
        <v>2447240</v>
      </c>
      <c r="T51" s="44"/>
      <c r="U51" s="84">
        <f aca="true" t="shared" si="79" ref="U51:U59">SUM(S51:T51)</f>
        <v>2447240</v>
      </c>
      <c r="V51" s="44"/>
      <c r="W51" s="84">
        <f aca="true" t="shared" si="80" ref="W51:W59">SUM(U51:V51)</f>
        <v>2447240</v>
      </c>
      <c r="X51" s="44"/>
      <c r="Y51" s="84">
        <f aca="true" t="shared" si="81" ref="Y51:Y59">SUM(W51:X51)</f>
        <v>2447240</v>
      </c>
      <c r="Z51" s="44"/>
      <c r="AA51" s="84">
        <f aca="true" t="shared" si="82" ref="AA51:AA59">SUM(Y51:Z51)</f>
        <v>2447240</v>
      </c>
      <c r="AB51" s="44"/>
      <c r="AC51" s="84">
        <f aca="true" t="shared" si="83" ref="AC51:AC59">SUM(AA51:AB51)</f>
        <v>2447240</v>
      </c>
      <c r="AD51" s="44"/>
      <c r="AE51" s="84">
        <f aca="true" t="shared" si="84" ref="AE51:AE59">SUM(AC51:AD51)</f>
        <v>2447240</v>
      </c>
      <c r="AF51" s="44"/>
      <c r="AG51" s="84">
        <f aca="true" t="shared" si="85" ref="AG51:AG59">SUM(AE51:AF51)</f>
        <v>2447240</v>
      </c>
      <c r="AH51" s="44"/>
      <c r="AI51" s="84">
        <f aca="true" t="shared" si="86" ref="AI51:AI59">SUM(AG51:AH51)</f>
        <v>2447240</v>
      </c>
      <c r="AJ51" s="44"/>
      <c r="AK51" s="84">
        <f aca="true" t="shared" si="87" ref="AK51:AK59">SUM(AI51:AJ51)</f>
        <v>2447240</v>
      </c>
      <c r="AL51" s="44"/>
      <c r="AM51" s="84">
        <f aca="true" t="shared" si="88" ref="AM51:AM59">SUM(AK51:AL51)</f>
        <v>2447240</v>
      </c>
    </row>
    <row r="52" spans="1:39" s="20" customFormat="1" ht="21.75" customHeight="1">
      <c r="A52" s="45"/>
      <c r="B52" s="46"/>
      <c r="C52" s="47" t="s">
        <v>138</v>
      </c>
      <c r="D52" s="50" t="s">
        <v>31</v>
      </c>
      <c r="E52" s="44">
        <v>575000</v>
      </c>
      <c r="F52" s="44"/>
      <c r="G52" s="84">
        <f t="shared" si="5"/>
        <v>575000</v>
      </c>
      <c r="H52" s="44"/>
      <c r="I52" s="84">
        <f t="shared" si="73"/>
        <v>575000</v>
      </c>
      <c r="J52" s="44"/>
      <c r="K52" s="84">
        <f t="shared" si="74"/>
        <v>575000</v>
      </c>
      <c r="L52" s="44"/>
      <c r="M52" s="84">
        <f t="shared" si="75"/>
        <v>575000</v>
      </c>
      <c r="N52" s="44"/>
      <c r="O52" s="84">
        <f t="shared" si="76"/>
        <v>575000</v>
      </c>
      <c r="P52" s="44"/>
      <c r="Q52" s="84">
        <f t="shared" si="77"/>
        <v>575000</v>
      </c>
      <c r="R52" s="44"/>
      <c r="S52" s="84">
        <f t="shared" si="78"/>
        <v>575000</v>
      </c>
      <c r="T52" s="44"/>
      <c r="U52" s="84">
        <f t="shared" si="79"/>
        <v>575000</v>
      </c>
      <c r="V52" s="44"/>
      <c r="W52" s="84">
        <f t="shared" si="80"/>
        <v>575000</v>
      </c>
      <c r="X52" s="44"/>
      <c r="Y52" s="84">
        <f t="shared" si="81"/>
        <v>575000</v>
      </c>
      <c r="Z52" s="44"/>
      <c r="AA52" s="84">
        <f t="shared" si="82"/>
        <v>575000</v>
      </c>
      <c r="AB52" s="44"/>
      <c r="AC52" s="84">
        <f t="shared" si="83"/>
        <v>575000</v>
      </c>
      <c r="AD52" s="44"/>
      <c r="AE52" s="84">
        <f t="shared" si="84"/>
        <v>575000</v>
      </c>
      <c r="AF52" s="44"/>
      <c r="AG52" s="84">
        <f t="shared" si="85"/>
        <v>575000</v>
      </c>
      <c r="AH52" s="44"/>
      <c r="AI52" s="84">
        <f t="shared" si="86"/>
        <v>575000</v>
      </c>
      <c r="AJ52" s="44"/>
      <c r="AK52" s="84">
        <f t="shared" si="87"/>
        <v>575000</v>
      </c>
      <c r="AL52" s="44"/>
      <c r="AM52" s="84">
        <f t="shared" si="88"/>
        <v>575000</v>
      </c>
    </row>
    <row r="53" spans="1:39" s="20" customFormat="1" ht="21.75" customHeight="1">
      <c r="A53" s="45"/>
      <c r="B53" s="46"/>
      <c r="C53" s="47" t="s">
        <v>139</v>
      </c>
      <c r="D53" s="50" t="s">
        <v>32</v>
      </c>
      <c r="E53" s="44">
        <v>9000</v>
      </c>
      <c r="F53" s="44"/>
      <c r="G53" s="84">
        <f t="shared" si="5"/>
        <v>9000</v>
      </c>
      <c r="H53" s="44"/>
      <c r="I53" s="84">
        <f t="shared" si="73"/>
        <v>9000</v>
      </c>
      <c r="J53" s="44"/>
      <c r="K53" s="84">
        <f t="shared" si="74"/>
        <v>9000</v>
      </c>
      <c r="L53" s="44"/>
      <c r="M53" s="84">
        <f t="shared" si="75"/>
        <v>9000</v>
      </c>
      <c r="N53" s="44"/>
      <c r="O53" s="84">
        <f t="shared" si="76"/>
        <v>9000</v>
      </c>
      <c r="P53" s="44"/>
      <c r="Q53" s="84">
        <f t="shared" si="77"/>
        <v>9000</v>
      </c>
      <c r="R53" s="44"/>
      <c r="S53" s="84">
        <f t="shared" si="78"/>
        <v>9000</v>
      </c>
      <c r="T53" s="44"/>
      <c r="U53" s="84">
        <f t="shared" si="79"/>
        <v>9000</v>
      </c>
      <c r="V53" s="44"/>
      <c r="W53" s="84">
        <f t="shared" si="80"/>
        <v>9000</v>
      </c>
      <c r="X53" s="44"/>
      <c r="Y53" s="84">
        <f t="shared" si="81"/>
        <v>9000</v>
      </c>
      <c r="Z53" s="44"/>
      <c r="AA53" s="84">
        <f t="shared" si="82"/>
        <v>9000</v>
      </c>
      <c r="AB53" s="44"/>
      <c r="AC53" s="84">
        <f t="shared" si="83"/>
        <v>9000</v>
      </c>
      <c r="AD53" s="44"/>
      <c r="AE53" s="84">
        <f t="shared" si="84"/>
        <v>9000</v>
      </c>
      <c r="AF53" s="44"/>
      <c r="AG53" s="84">
        <f t="shared" si="85"/>
        <v>9000</v>
      </c>
      <c r="AH53" s="44"/>
      <c r="AI53" s="84">
        <f t="shared" si="86"/>
        <v>9000</v>
      </c>
      <c r="AJ53" s="44"/>
      <c r="AK53" s="84">
        <f t="shared" si="87"/>
        <v>9000</v>
      </c>
      <c r="AL53" s="44"/>
      <c r="AM53" s="84">
        <f t="shared" si="88"/>
        <v>9000</v>
      </c>
    </row>
    <row r="54" spans="1:39" s="20" customFormat="1" ht="21.75" customHeight="1">
      <c r="A54" s="45"/>
      <c r="B54" s="46"/>
      <c r="C54" s="47" t="s">
        <v>140</v>
      </c>
      <c r="D54" s="50" t="s">
        <v>33</v>
      </c>
      <c r="E54" s="44">
        <f>160000+60000</f>
        <v>220000</v>
      </c>
      <c r="F54" s="44"/>
      <c r="G54" s="84">
        <f t="shared" si="5"/>
        <v>220000</v>
      </c>
      <c r="H54" s="44"/>
      <c r="I54" s="84">
        <f t="shared" si="73"/>
        <v>220000</v>
      </c>
      <c r="J54" s="44"/>
      <c r="K54" s="84">
        <f t="shared" si="74"/>
        <v>220000</v>
      </c>
      <c r="L54" s="44"/>
      <c r="M54" s="84">
        <f t="shared" si="75"/>
        <v>220000</v>
      </c>
      <c r="N54" s="44"/>
      <c r="O54" s="84">
        <f t="shared" si="76"/>
        <v>220000</v>
      </c>
      <c r="P54" s="44"/>
      <c r="Q54" s="84">
        <f t="shared" si="77"/>
        <v>220000</v>
      </c>
      <c r="R54" s="44"/>
      <c r="S54" s="84">
        <f t="shared" si="78"/>
        <v>220000</v>
      </c>
      <c r="T54" s="44"/>
      <c r="U54" s="84">
        <f t="shared" si="79"/>
        <v>220000</v>
      </c>
      <c r="V54" s="44"/>
      <c r="W54" s="84">
        <f t="shared" si="80"/>
        <v>220000</v>
      </c>
      <c r="X54" s="44"/>
      <c r="Y54" s="84">
        <f t="shared" si="81"/>
        <v>220000</v>
      </c>
      <c r="Z54" s="44"/>
      <c r="AA54" s="84">
        <f t="shared" si="82"/>
        <v>220000</v>
      </c>
      <c r="AB54" s="44"/>
      <c r="AC54" s="84">
        <f t="shared" si="83"/>
        <v>220000</v>
      </c>
      <c r="AD54" s="44"/>
      <c r="AE54" s="171">
        <f t="shared" si="84"/>
        <v>220000</v>
      </c>
      <c r="AF54" s="172"/>
      <c r="AG54" s="84">
        <f t="shared" si="85"/>
        <v>220000</v>
      </c>
      <c r="AH54" s="79">
        <v>15000</v>
      </c>
      <c r="AI54" s="84">
        <f t="shared" si="86"/>
        <v>235000</v>
      </c>
      <c r="AJ54" s="79">
        <v>30000</v>
      </c>
      <c r="AK54" s="84">
        <f t="shared" si="87"/>
        <v>265000</v>
      </c>
      <c r="AL54" s="79"/>
      <c r="AM54" s="84">
        <f t="shared" si="88"/>
        <v>265000</v>
      </c>
    </row>
    <row r="55" spans="1:39" s="20" customFormat="1" ht="21.75" customHeight="1">
      <c r="A55" s="45"/>
      <c r="B55" s="46"/>
      <c r="C55" s="47" t="s">
        <v>369</v>
      </c>
      <c r="D55" s="50" t="s">
        <v>370</v>
      </c>
      <c r="E55" s="44"/>
      <c r="F55" s="44"/>
      <c r="G55" s="84"/>
      <c r="H55" s="44"/>
      <c r="I55" s="84"/>
      <c r="J55" s="44"/>
      <c r="K55" s="84"/>
      <c r="L55" s="44"/>
      <c r="M55" s="84"/>
      <c r="N55" s="44"/>
      <c r="O55" s="84"/>
      <c r="P55" s="44"/>
      <c r="Q55" s="84"/>
      <c r="R55" s="44"/>
      <c r="S55" s="84"/>
      <c r="T55" s="44"/>
      <c r="U55" s="84"/>
      <c r="V55" s="44"/>
      <c r="W55" s="84"/>
      <c r="X55" s="44"/>
      <c r="Y55" s="84"/>
      <c r="Z55" s="44"/>
      <c r="AA55" s="84">
        <v>0</v>
      </c>
      <c r="AB55" s="44">
        <v>15000</v>
      </c>
      <c r="AC55" s="84">
        <f t="shared" si="83"/>
        <v>15000</v>
      </c>
      <c r="AD55" s="44"/>
      <c r="AE55" s="84">
        <f t="shared" si="84"/>
        <v>15000</v>
      </c>
      <c r="AF55" s="44">
        <v>7000</v>
      </c>
      <c r="AG55" s="84">
        <f t="shared" si="85"/>
        <v>22000</v>
      </c>
      <c r="AH55" s="79"/>
      <c r="AI55" s="84">
        <f t="shared" si="86"/>
        <v>22000</v>
      </c>
      <c r="AJ55" s="79">
        <v>3000</v>
      </c>
      <c r="AK55" s="84">
        <f t="shared" si="87"/>
        <v>25000</v>
      </c>
      <c r="AL55" s="79"/>
      <c r="AM55" s="84">
        <f t="shared" si="88"/>
        <v>25000</v>
      </c>
    </row>
    <row r="56" spans="1:39" s="20" customFormat="1" ht="21.75" customHeight="1">
      <c r="A56" s="45"/>
      <c r="B56" s="46"/>
      <c r="C56" s="47" t="s">
        <v>199</v>
      </c>
      <c r="D56" s="50" t="s">
        <v>200</v>
      </c>
      <c r="E56" s="44">
        <v>2000</v>
      </c>
      <c r="F56" s="44"/>
      <c r="G56" s="84">
        <f t="shared" si="5"/>
        <v>2000</v>
      </c>
      <c r="H56" s="44"/>
      <c r="I56" s="84">
        <f t="shared" si="73"/>
        <v>2000</v>
      </c>
      <c r="J56" s="44"/>
      <c r="K56" s="84">
        <f t="shared" si="74"/>
        <v>2000</v>
      </c>
      <c r="L56" s="44"/>
      <c r="M56" s="84">
        <f t="shared" si="75"/>
        <v>2000</v>
      </c>
      <c r="N56" s="44"/>
      <c r="O56" s="84">
        <f t="shared" si="76"/>
        <v>2000</v>
      </c>
      <c r="P56" s="44"/>
      <c r="Q56" s="84">
        <f t="shared" si="77"/>
        <v>2000</v>
      </c>
      <c r="R56" s="44"/>
      <c r="S56" s="84">
        <f t="shared" si="78"/>
        <v>2000</v>
      </c>
      <c r="T56" s="44"/>
      <c r="U56" s="84">
        <f t="shared" si="79"/>
        <v>2000</v>
      </c>
      <c r="V56" s="44"/>
      <c r="W56" s="84">
        <f t="shared" si="80"/>
        <v>2000</v>
      </c>
      <c r="X56" s="44"/>
      <c r="Y56" s="84">
        <f t="shared" si="81"/>
        <v>2000</v>
      </c>
      <c r="Z56" s="44"/>
      <c r="AA56" s="84">
        <f t="shared" si="82"/>
        <v>2000</v>
      </c>
      <c r="AB56" s="44">
        <v>4000</v>
      </c>
      <c r="AC56" s="84">
        <f t="shared" si="83"/>
        <v>6000</v>
      </c>
      <c r="AD56" s="44"/>
      <c r="AE56" s="84">
        <f t="shared" si="84"/>
        <v>6000</v>
      </c>
      <c r="AF56" s="44">
        <v>3000</v>
      </c>
      <c r="AG56" s="84">
        <f t="shared" si="85"/>
        <v>9000</v>
      </c>
      <c r="AH56" s="79"/>
      <c r="AI56" s="84">
        <f t="shared" si="86"/>
        <v>9000</v>
      </c>
      <c r="AJ56" s="79"/>
      <c r="AK56" s="84">
        <f t="shared" si="87"/>
        <v>9000</v>
      </c>
      <c r="AL56" s="79"/>
      <c r="AM56" s="84">
        <f t="shared" si="88"/>
        <v>9000</v>
      </c>
    </row>
    <row r="57" spans="1:39" s="20" customFormat="1" ht="21.75" customHeight="1">
      <c r="A57" s="45"/>
      <c r="B57" s="46"/>
      <c r="C57" s="47" t="s">
        <v>141</v>
      </c>
      <c r="D57" s="50" t="s">
        <v>36</v>
      </c>
      <c r="E57" s="44">
        <v>70000</v>
      </c>
      <c r="F57" s="44"/>
      <c r="G57" s="84">
        <f t="shared" si="5"/>
        <v>70000</v>
      </c>
      <c r="H57" s="44"/>
      <c r="I57" s="84">
        <f t="shared" si="73"/>
        <v>70000</v>
      </c>
      <c r="J57" s="44"/>
      <c r="K57" s="84">
        <f t="shared" si="74"/>
        <v>70000</v>
      </c>
      <c r="L57" s="44"/>
      <c r="M57" s="84">
        <f t="shared" si="75"/>
        <v>70000</v>
      </c>
      <c r="N57" s="44"/>
      <c r="O57" s="84">
        <f t="shared" si="76"/>
        <v>70000</v>
      </c>
      <c r="P57" s="44"/>
      <c r="Q57" s="84">
        <f t="shared" si="77"/>
        <v>70000</v>
      </c>
      <c r="R57" s="44"/>
      <c r="S57" s="84">
        <f t="shared" si="78"/>
        <v>70000</v>
      </c>
      <c r="T57" s="44"/>
      <c r="U57" s="84">
        <f t="shared" si="79"/>
        <v>70000</v>
      </c>
      <c r="V57" s="44"/>
      <c r="W57" s="84">
        <f t="shared" si="80"/>
        <v>70000</v>
      </c>
      <c r="X57" s="44"/>
      <c r="Y57" s="84">
        <f t="shared" si="81"/>
        <v>70000</v>
      </c>
      <c r="Z57" s="44"/>
      <c r="AA57" s="84">
        <f t="shared" si="82"/>
        <v>70000</v>
      </c>
      <c r="AB57" s="44"/>
      <c r="AC57" s="84">
        <f t="shared" si="83"/>
        <v>70000</v>
      </c>
      <c r="AD57" s="44"/>
      <c r="AE57" s="84">
        <f t="shared" si="84"/>
        <v>70000</v>
      </c>
      <c r="AF57" s="44"/>
      <c r="AG57" s="84">
        <f t="shared" si="85"/>
        <v>70000</v>
      </c>
      <c r="AH57" s="79"/>
      <c r="AI57" s="84">
        <f t="shared" si="86"/>
        <v>70000</v>
      </c>
      <c r="AJ57" s="79"/>
      <c r="AK57" s="84">
        <f t="shared" si="87"/>
        <v>70000</v>
      </c>
      <c r="AL57" s="79"/>
      <c r="AM57" s="84">
        <f t="shared" si="88"/>
        <v>70000</v>
      </c>
    </row>
    <row r="58" spans="1:39" s="20" customFormat="1" ht="21.75" customHeight="1">
      <c r="A58" s="45"/>
      <c r="B58" s="46"/>
      <c r="C58" s="47" t="s">
        <v>143</v>
      </c>
      <c r="D58" s="50" t="s">
        <v>37</v>
      </c>
      <c r="E58" s="44">
        <v>700000</v>
      </c>
      <c r="F58" s="44"/>
      <c r="G58" s="84">
        <f t="shared" si="5"/>
        <v>700000</v>
      </c>
      <c r="H58" s="44"/>
      <c r="I58" s="84">
        <f t="shared" si="73"/>
        <v>700000</v>
      </c>
      <c r="J58" s="44"/>
      <c r="K58" s="84">
        <f t="shared" si="74"/>
        <v>700000</v>
      </c>
      <c r="L58" s="44">
        <v>14000</v>
      </c>
      <c r="M58" s="84">
        <f t="shared" si="75"/>
        <v>714000</v>
      </c>
      <c r="N58" s="44"/>
      <c r="O58" s="84">
        <f t="shared" si="76"/>
        <v>714000</v>
      </c>
      <c r="P58" s="44"/>
      <c r="Q58" s="84">
        <f t="shared" si="77"/>
        <v>714000</v>
      </c>
      <c r="R58" s="44"/>
      <c r="S58" s="84">
        <f t="shared" si="78"/>
        <v>714000</v>
      </c>
      <c r="T58" s="44"/>
      <c r="U58" s="84">
        <f t="shared" si="79"/>
        <v>714000</v>
      </c>
      <c r="V58" s="44"/>
      <c r="W58" s="84">
        <f t="shared" si="80"/>
        <v>714000</v>
      </c>
      <c r="X58" s="44"/>
      <c r="Y58" s="84">
        <f t="shared" si="81"/>
        <v>714000</v>
      </c>
      <c r="Z58" s="44"/>
      <c r="AA58" s="84">
        <f t="shared" si="82"/>
        <v>714000</v>
      </c>
      <c r="AB58" s="44">
        <v>-14600</v>
      </c>
      <c r="AC58" s="84">
        <f t="shared" si="83"/>
        <v>699400</v>
      </c>
      <c r="AD58" s="44"/>
      <c r="AE58" s="173">
        <f t="shared" si="84"/>
        <v>699400</v>
      </c>
      <c r="AF58" s="174">
        <v>-2000</v>
      </c>
      <c r="AG58" s="175">
        <f t="shared" si="85"/>
        <v>697400</v>
      </c>
      <c r="AH58" s="176"/>
      <c r="AI58" s="175">
        <f t="shared" si="86"/>
        <v>697400</v>
      </c>
      <c r="AJ58" s="176"/>
      <c r="AK58" s="175">
        <f t="shared" si="87"/>
        <v>697400</v>
      </c>
      <c r="AL58" s="176"/>
      <c r="AM58" s="175">
        <f t="shared" si="88"/>
        <v>697400</v>
      </c>
    </row>
    <row r="59" spans="1:39" s="20" customFormat="1" ht="24" customHeight="1">
      <c r="A59" s="45"/>
      <c r="B59" s="46"/>
      <c r="C59" s="47" t="s">
        <v>136</v>
      </c>
      <c r="D59" s="50" t="s">
        <v>165</v>
      </c>
      <c r="E59" s="44">
        <v>50000</v>
      </c>
      <c r="F59" s="44"/>
      <c r="G59" s="84">
        <f t="shared" si="5"/>
        <v>50000</v>
      </c>
      <c r="H59" s="44"/>
      <c r="I59" s="84">
        <f t="shared" si="73"/>
        <v>50000</v>
      </c>
      <c r="J59" s="44"/>
      <c r="K59" s="84">
        <f t="shared" si="74"/>
        <v>50000</v>
      </c>
      <c r="L59" s="44"/>
      <c r="M59" s="84">
        <f t="shared" si="75"/>
        <v>50000</v>
      </c>
      <c r="N59" s="44"/>
      <c r="O59" s="84">
        <f t="shared" si="76"/>
        <v>50000</v>
      </c>
      <c r="P59" s="44"/>
      <c r="Q59" s="84">
        <f t="shared" si="77"/>
        <v>50000</v>
      </c>
      <c r="R59" s="44"/>
      <c r="S59" s="84">
        <f t="shared" si="78"/>
        <v>50000</v>
      </c>
      <c r="T59" s="44"/>
      <c r="U59" s="84">
        <f t="shared" si="79"/>
        <v>50000</v>
      </c>
      <c r="V59" s="44"/>
      <c r="W59" s="84">
        <f t="shared" si="80"/>
        <v>50000</v>
      </c>
      <c r="X59" s="44"/>
      <c r="Y59" s="84">
        <f t="shared" si="81"/>
        <v>50000</v>
      </c>
      <c r="Z59" s="44"/>
      <c r="AA59" s="84">
        <f t="shared" si="82"/>
        <v>50000</v>
      </c>
      <c r="AB59" s="44"/>
      <c r="AC59" s="84">
        <f t="shared" si="83"/>
        <v>50000</v>
      </c>
      <c r="AD59" s="44"/>
      <c r="AE59" s="84">
        <f t="shared" si="84"/>
        <v>50000</v>
      </c>
      <c r="AF59" s="44">
        <v>5000</v>
      </c>
      <c r="AG59" s="84">
        <f t="shared" si="85"/>
        <v>55000</v>
      </c>
      <c r="AH59" s="44">
        <v>2000</v>
      </c>
      <c r="AI59" s="84">
        <f t="shared" si="86"/>
        <v>57000</v>
      </c>
      <c r="AJ59" s="44"/>
      <c r="AK59" s="84">
        <f t="shared" si="87"/>
        <v>57000</v>
      </c>
      <c r="AL59" s="44"/>
      <c r="AM59" s="84">
        <f t="shared" si="88"/>
        <v>57000</v>
      </c>
    </row>
    <row r="60" spans="1:39" s="20" customFormat="1" ht="33.75">
      <c r="A60" s="45"/>
      <c r="B60" s="46" t="s">
        <v>38</v>
      </c>
      <c r="C60" s="53"/>
      <c r="D60" s="50" t="s">
        <v>39</v>
      </c>
      <c r="E60" s="44">
        <f aca="true" t="shared" si="89" ref="E60:K60">SUM(E61:E64)</f>
        <v>670000</v>
      </c>
      <c r="F60" s="44">
        <f t="shared" si="89"/>
        <v>0</v>
      </c>
      <c r="G60" s="44">
        <f t="shared" si="89"/>
        <v>670000</v>
      </c>
      <c r="H60" s="44">
        <f t="shared" si="89"/>
        <v>0</v>
      </c>
      <c r="I60" s="44">
        <f t="shared" si="89"/>
        <v>670000</v>
      </c>
      <c r="J60" s="44">
        <f t="shared" si="89"/>
        <v>0</v>
      </c>
      <c r="K60" s="44">
        <f t="shared" si="89"/>
        <v>670000</v>
      </c>
      <c r="L60" s="44">
        <f aca="true" t="shared" si="90" ref="L60:Q60">SUM(L61:L64)</f>
        <v>0</v>
      </c>
      <c r="M60" s="44">
        <f t="shared" si="90"/>
        <v>670000</v>
      </c>
      <c r="N60" s="44">
        <f t="shared" si="90"/>
        <v>0</v>
      </c>
      <c r="O60" s="44">
        <f t="shared" si="90"/>
        <v>670000</v>
      </c>
      <c r="P60" s="44">
        <f t="shared" si="90"/>
        <v>0</v>
      </c>
      <c r="Q60" s="44">
        <f t="shared" si="90"/>
        <v>670000</v>
      </c>
      <c r="R60" s="44">
        <f aca="true" t="shared" si="91" ref="R60:W60">SUM(R61:R64)</f>
        <v>0</v>
      </c>
      <c r="S60" s="44">
        <f t="shared" si="91"/>
        <v>670000</v>
      </c>
      <c r="T60" s="44">
        <f t="shared" si="91"/>
        <v>0</v>
      </c>
      <c r="U60" s="44">
        <f t="shared" si="91"/>
        <v>670000</v>
      </c>
      <c r="V60" s="44">
        <f t="shared" si="91"/>
        <v>0</v>
      </c>
      <c r="W60" s="44">
        <f t="shared" si="91"/>
        <v>670000</v>
      </c>
      <c r="X60" s="44">
        <f aca="true" t="shared" si="92" ref="X60:AC60">SUM(X61:X64)</f>
        <v>0</v>
      </c>
      <c r="Y60" s="44">
        <f t="shared" si="92"/>
        <v>670000</v>
      </c>
      <c r="Z60" s="44">
        <f t="shared" si="92"/>
        <v>0</v>
      </c>
      <c r="AA60" s="44">
        <f t="shared" si="92"/>
        <v>670000</v>
      </c>
      <c r="AB60" s="44">
        <f t="shared" si="92"/>
        <v>0</v>
      </c>
      <c r="AC60" s="44">
        <f t="shared" si="92"/>
        <v>670000</v>
      </c>
      <c r="AD60" s="44">
        <f>SUM(AD61:AD64)</f>
        <v>0</v>
      </c>
      <c r="AE60" s="44">
        <f aca="true" t="shared" si="93" ref="AE60:AK60">SUM(AE61:AE65)</f>
        <v>670000</v>
      </c>
      <c r="AF60" s="44">
        <f t="shared" si="93"/>
        <v>15150</v>
      </c>
      <c r="AG60" s="44">
        <f t="shared" si="93"/>
        <v>685150</v>
      </c>
      <c r="AH60" s="44">
        <f t="shared" si="93"/>
        <v>-11648</v>
      </c>
      <c r="AI60" s="44">
        <f t="shared" si="93"/>
        <v>673502</v>
      </c>
      <c r="AJ60" s="44">
        <f t="shared" si="93"/>
        <v>-136955</v>
      </c>
      <c r="AK60" s="44">
        <f t="shared" si="93"/>
        <v>536547</v>
      </c>
      <c r="AL60" s="44">
        <f>SUM(AL61:AL65)</f>
        <v>0</v>
      </c>
      <c r="AM60" s="44">
        <f>SUM(AM61:AM65)</f>
        <v>536547</v>
      </c>
    </row>
    <row r="61" spans="1:39" s="20" customFormat="1" ht="21.75" customHeight="1">
      <c r="A61" s="45"/>
      <c r="B61" s="46"/>
      <c r="C61" s="47" t="s">
        <v>144</v>
      </c>
      <c r="D61" s="50" t="s">
        <v>40</v>
      </c>
      <c r="E61" s="44">
        <v>120000</v>
      </c>
      <c r="F61" s="44"/>
      <c r="G61" s="84">
        <f t="shared" si="5"/>
        <v>120000</v>
      </c>
      <c r="H61" s="44"/>
      <c r="I61" s="84">
        <f>SUM(G61:H61)</f>
        <v>120000</v>
      </c>
      <c r="J61" s="44"/>
      <c r="K61" s="84">
        <f>SUM(I61:J61)</f>
        <v>120000</v>
      </c>
      <c r="L61" s="44"/>
      <c r="M61" s="84">
        <f>SUM(K61:L61)</f>
        <v>120000</v>
      </c>
      <c r="N61" s="44"/>
      <c r="O61" s="84">
        <f>SUM(M61:N61)</f>
        <v>120000</v>
      </c>
      <c r="P61" s="44"/>
      <c r="Q61" s="84">
        <f>SUM(O61:P61)</f>
        <v>120000</v>
      </c>
      <c r="R61" s="44"/>
      <c r="S61" s="84">
        <f>SUM(Q61:R61)</f>
        <v>120000</v>
      </c>
      <c r="T61" s="44"/>
      <c r="U61" s="84">
        <f>SUM(S61:T61)</f>
        <v>120000</v>
      </c>
      <c r="V61" s="44"/>
      <c r="W61" s="84">
        <f>SUM(U61:V61)</f>
        <v>120000</v>
      </c>
      <c r="X61" s="44"/>
      <c r="Y61" s="84">
        <f>SUM(W61:X61)</f>
        <v>120000</v>
      </c>
      <c r="Z61" s="44"/>
      <c r="AA61" s="84">
        <f>SUM(Y61:Z61)</f>
        <v>120000</v>
      </c>
      <c r="AB61" s="44"/>
      <c r="AC61" s="84">
        <f>SUM(AA61:AB61)</f>
        <v>120000</v>
      </c>
      <c r="AD61" s="44"/>
      <c r="AE61" s="84">
        <f>SUM(AC61:AD61)</f>
        <v>120000</v>
      </c>
      <c r="AF61" s="44">
        <v>30000</v>
      </c>
      <c r="AG61" s="84">
        <f>SUM(AE61:AF61)</f>
        <v>150000</v>
      </c>
      <c r="AH61" s="44"/>
      <c r="AI61" s="84">
        <f>SUM(AG61:AH61)</f>
        <v>150000</v>
      </c>
      <c r="AJ61" s="44"/>
      <c r="AK61" s="84">
        <f>SUM(AI61:AJ61)</f>
        <v>150000</v>
      </c>
      <c r="AL61" s="44"/>
      <c r="AM61" s="84">
        <f>SUM(AK61:AL61)</f>
        <v>150000</v>
      </c>
    </row>
    <row r="62" spans="1:39" s="20" customFormat="1" ht="21.75" customHeight="1">
      <c r="A62" s="45"/>
      <c r="B62" s="46"/>
      <c r="C62" s="47" t="s">
        <v>142</v>
      </c>
      <c r="D62" s="50" t="s">
        <v>34</v>
      </c>
      <c r="E62" s="44">
        <v>20000</v>
      </c>
      <c r="F62" s="44"/>
      <c r="G62" s="84">
        <f t="shared" si="5"/>
        <v>20000</v>
      </c>
      <c r="H62" s="44"/>
      <c r="I62" s="84">
        <f>SUM(G62:H62)</f>
        <v>20000</v>
      </c>
      <c r="J62" s="44"/>
      <c r="K62" s="84">
        <f>SUM(I62:J62)</f>
        <v>20000</v>
      </c>
      <c r="L62" s="44"/>
      <c r="M62" s="84">
        <f>SUM(K62:L62)</f>
        <v>20000</v>
      </c>
      <c r="N62" s="44"/>
      <c r="O62" s="84">
        <f>SUM(M62:N62)</f>
        <v>20000</v>
      </c>
      <c r="P62" s="44"/>
      <c r="Q62" s="84">
        <f>SUM(O62:P62)</f>
        <v>20000</v>
      </c>
      <c r="R62" s="44"/>
      <c r="S62" s="84">
        <f>SUM(Q62:R62)</f>
        <v>20000</v>
      </c>
      <c r="T62" s="44"/>
      <c r="U62" s="84">
        <f>SUM(S62:T62)</f>
        <v>20000</v>
      </c>
      <c r="V62" s="44"/>
      <c r="W62" s="84">
        <f>SUM(U62:V62)</f>
        <v>20000</v>
      </c>
      <c r="X62" s="44"/>
      <c r="Y62" s="84">
        <f>SUM(W62:X62)</f>
        <v>20000</v>
      </c>
      <c r="Z62" s="44"/>
      <c r="AA62" s="84">
        <f>SUM(Y62:Z62)</f>
        <v>20000</v>
      </c>
      <c r="AB62" s="44"/>
      <c r="AC62" s="84">
        <f>SUM(AA62:AB62)</f>
        <v>20000</v>
      </c>
      <c r="AD62" s="44"/>
      <c r="AE62" s="84">
        <f>SUM(AC62:AD62)</f>
        <v>20000</v>
      </c>
      <c r="AF62" s="44">
        <v>-15000</v>
      </c>
      <c r="AG62" s="84">
        <f>SUM(AE62:AF62)</f>
        <v>5000</v>
      </c>
      <c r="AH62" s="44"/>
      <c r="AI62" s="84">
        <f>SUM(AG62:AH62)</f>
        <v>5000</v>
      </c>
      <c r="AJ62" s="44"/>
      <c r="AK62" s="84">
        <f>SUM(AI62:AJ62)</f>
        <v>5000</v>
      </c>
      <c r="AL62" s="44"/>
      <c r="AM62" s="84">
        <f>SUM(AK62:AL62)</f>
        <v>5000</v>
      </c>
    </row>
    <row r="63" spans="1:39" s="20" customFormat="1" ht="24" customHeight="1">
      <c r="A63" s="45"/>
      <c r="B63" s="46"/>
      <c r="C63" s="47" t="s">
        <v>148</v>
      </c>
      <c r="D63" s="50" t="s">
        <v>180</v>
      </c>
      <c r="E63" s="44">
        <v>330000</v>
      </c>
      <c r="F63" s="44"/>
      <c r="G63" s="84">
        <f t="shared" si="5"/>
        <v>330000</v>
      </c>
      <c r="H63" s="44"/>
      <c r="I63" s="84">
        <f>SUM(G63:H63)</f>
        <v>330000</v>
      </c>
      <c r="J63" s="44"/>
      <c r="K63" s="84">
        <f>SUM(I63:J63)</f>
        <v>330000</v>
      </c>
      <c r="L63" s="44"/>
      <c r="M63" s="84">
        <f>SUM(K63:L63)</f>
        <v>330000</v>
      </c>
      <c r="N63" s="44"/>
      <c r="O63" s="84">
        <f>SUM(M63:N63)</f>
        <v>330000</v>
      </c>
      <c r="P63" s="44"/>
      <c r="Q63" s="84">
        <f>SUM(O63:P63)</f>
        <v>330000</v>
      </c>
      <c r="R63" s="44"/>
      <c r="S63" s="84">
        <f>SUM(Q63:R63)</f>
        <v>330000</v>
      </c>
      <c r="T63" s="44"/>
      <c r="U63" s="84">
        <f>SUM(S63:T63)</f>
        <v>330000</v>
      </c>
      <c r="V63" s="44"/>
      <c r="W63" s="84">
        <f>SUM(U63:V63)</f>
        <v>330000</v>
      </c>
      <c r="X63" s="44"/>
      <c r="Y63" s="84">
        <f>SUM(W63:X63)</f>
        <v>330000</v>
      </c>
      <c r="Z63" s="44"/>
      <c r="AA63" s="84">
        <f>SUM(Y63:Z63)</f>
        <v>330000</v>
      </c>
      <c r="AB63" s="44"/>
      <c r="AC63" s="84">
        <f>SUM(AA63:AB63)</f>
        <v>330000</v>
      </c>
      <c r="AD63" s="44"/>
      <c r="AE63" s="84">
        <f>SUM(AC63:AD63)</f>
        <v>330000</v>
      </c>
      <c r="AF63" s="44"/>
      <c r="AG63" s="84">
        <f>SUM(AE63:AF63)</f>
        <v>330000</v>
      </c>
      <c r="AH63" s="44">
        <v>20714</v>
      </c>
      <c r="AI63" s="84">
        <f>SUM(AG63:AH63)</f>
        <v>350714</v>
      </c>
      <c r="AJ63" s="44"/>
      <c r="AK63" s="84">
        <f>SUM(AI63:AJ63)</f>
        <v>350714</v>
      </c>
      <c r="AL63" s="44"/>
      <c r="AM63" s="84">
        <f>SUM(AK63:AL63)</f>
        <v>350714</v>
      </c>
    </row>
    <row r="64" spans="1:39" s="20" customFormat="1" ht="45">
      <c r="A64" s="45"/>
      <c r="B64" s="46"/>
      <c r="C64" s="47" t="s">
        <v>129</v>
      </c>
      <c r="D64" s="50" t="s">
        <v>7</v>
      </c>
      <c r="E64" s="44">
        <f>170000+30000</f>
        <v>200000</v>
      </c>
      <c r="F64" s="44"/>
      <c r="G64" s="84">
        <f t="shared" si="5"/>
        <v>200000</v>
      </c>
      <c r="H64" s="44"/>
      <c r="I64" s="84">
        <f>SUM(G64:H64)</f>
        <v>200000</v>
      </c>
      <c r="J64" s="44"/>
      <c r="K64" s="84">
        <f>SUM(I64:J64)</f>
        <v>200000</v>
      </c>
      <c r="L64" s="44"/>
      <c r="M64" s="84">
        <f>SUM(K64:L64)</f>
        <v>200000</v>
      </c>
      <c r="N64" s="44"/>
      <c r="O64" s="84">
        <f>SUM(M64:N64)</f>
        <v>200000</v>
      </c>
      <c r="P64" s="44"/>
      <c r="Q64" s="84">
        <f>SUM(O64:P64)</f>
        <v>200000</v>
      </c>
      <c r="R64" s="44"/>
      <c r="S64" s="84">
        <f>SUM(Q64:R64)</f>
        <v>200000</v>
      </c>
      <c r="T64" s="44"/>
      <c r="U64" s="84">
        <f>SUM(S64:T64)</f>
        <v>200000</v>
      </c>
      <c r="V64" s="44"/>
      <c r="W64" s="84">
        <f>SUM(U64:V64)</f>
        <v>200000</v>
      </c>
      <c r="X64" s="44"/>
      <c r="Y64" s="84">
        <f>SUM(W64:X64)</f>
        <v>200000</v>
      </c>
      <c r="Z64" s="44"/>
      <c r="AA64" s="84">
        <f>SUM(Y64:Z64)</f>
        <v>200000</v>
      </c>
      <c r="AB64" s="44"/>
      <c r="AC64" s="84">
        <f>SUM(AA64:AB64)</f>
        <v>200000</v>
      </c>
      <c r="AD64" s="44"/>
      <c r="AE64" s="84">
        <f>SUM(AC64:AD64)</f>
        <v>200000</v>
      </c>
      <c r="AF64" s="44"/>
      <c r="AG64" s="84">
        <f>SUM(AE64:AF64)</f>
        <v>200000</v>
      </c>
      <c r="AH64" s="44">
        <v>-32362</v>
      </c>
      <c r="AI64" s="84">
        <f>SUM(AG64:AH64)</f>
        <v>167638</v>
      </c>
      <c r="AJ64" s="44">
        <f>-70200-66755</f>
        <v>-136955</v>
      </c>
      <c r="AK64" s="84">
        <f>SUM(AI64:AJ64)</f>
        <v>30683</v>
      </c>
      <c r="AL64" s="44"/>
      <c r="AM64" s="84">
        <f>SUM(AK64:AL64)</f>
        <v>30683</v>
      </c>
    </row>
    <row r="65" spans="1:39" s="20" customFormat="1" ht="24.75" customHeight="1">
      <c r="A65" s="45"/>
      <c r="B65" s="46"/>
      <c r="C65" s="47" t="s">
        <v>136</v>
      </c>
      <c r="D65" s="50" t="s">
        <v>165</v>
      </c>
      <c r="E65" s="44"/>
      <c r="F65" s="44"/>
      <c r="G65" s="84"/>
      <c r="H65" s="44"/>
      <c r="I65" s="84"/>
      <c r="J65" s="44"/>
      <c r="K65" s="84"/>
      <c r="L65" s="44"/>
      <c r="M65" s="84"/>
      <c r="N65" s="44"/>
      <c r="O65" s="84"/>
      <c r="P65" s="44"/>
      <c r="Q65" s="84"/>
      <c r="R65" s="44"/>
      <c r="S65" s="84"/>
      <c r="T65" s="44"/>
      <c r="U65" s="84"/>
      <c r="V65" s="44"/>
      <c r="W65" s="84"/>
      <c r="X65" s="44"/>
      <c r="Y65" s="84"/>
      <c r="Z65" s="44"/>
      <c r="AA65" s="84"/>
      <c r="AB65" s="44"/>
      <c r="AC65" s="84"/>
      <c r="AD65" s="44"/>
      <c r="AE65" s="84">
        <v>0</v>
      </c>
      <c r="AF65" s="44">
        <v>150</v>
      </c>
      <c r="AG65" s="84">
        <f>SUM(AE65:AF65)</f>
        <v>150</v>
      </c>
      <c r="AH65" s="44"/>
      <c r="AI65" s="84">
        <f>SUM(AG65:AH65)</f>
        <v>150</v>
      </c>
      <c r="AJ65" s="44"/>
      <c r="AK65" s="84">
        <f>SUM(AI65:AJ65)</f>
        <v>150</v>
      </c>
      <c r="AL65" s="44"/>
      <c r="AM65" s="84">
        <f>SUM(AK65:AL65)</f>
        <v>150</v>
      </c>
    </row>
    <row r="66" spans="1:39" s="20" customFormat="1" ht="24" customHeight="1">
      <c r="A66" s="45"/>
      <c r="B66" s="46" t="s">
        <v>41</v>
      </c>
      <c r="C66" s="53"/>
      <c r="D66" s="50" t="s">
        <v>42</v>
      </c>
      <c r="E66" s="44">
        <f aca="true" t="shared" si="94" ref="E66:K66">SUM(E67:E68)</f>
        <v>11030735</v>
      </c>
      <c r="F66" s="44">
        <f t="shared" si="94"/>
        <v>0</v>
      </c>
      <c r="G66" s="44">
        <f t="shared" si="94"/>
        <v>11030735</v>
      </c>
      <c r="H66" s="44">
        <f t="shared" si="94"/>
        <v>0</v>
      </c>
      <c r="I66" s="44">
        <f t="shared" si="94"/>
        <v>11030735</v>
      </c>
      <c r="J66" s="44">
        <f t="shared" si="94"/>
        <v>-329</v>
      </c>
      <c r="K66" s="44">
        <f t="shared" si="94"/>
        <v>11030406</v>
      </c>
      <c r="L66" s="44">
        <f aca="true" t="shared" si="95" ref="L66:Q66">SUM(L67:L68)</f>
        <v>0</v>
      </c>
      <c r="M66" s="44">
        <f t="shared" si="95"/>
        <v>11030406</v>
      </c>
      <c r="N66" s="44">
        <f t="shared" si="95"/>
        <v>0</v>
      </c>
      <c r="O66" s="44">
        <f t="shared" si="95"/>
        <v>11030406</v>
      </c>
      <c r="P66" s="44">
        <f t="shared" si="95"/>
        <v>0</v>
      </c>
      <c r="Q66" s="44">
        <f t="shared" si="95"/>
        <v>11030406</v>
      </c>
      <c r="R66" s="44">
        <f aca="true" t="shared" si="96" ref="R66:W66">SUM(R67:R68)</f>
        <v>0</v>
      </c>
      <c r="S66" s="44">
        <f t="shared" si="96"/>
        <v>11030406</v>
      </c>
      <c r="T66" s="44">
        <f t="shared" si="96"/>
        <v>0</v>
      </c>
      <c r="U66" s="44">
        <f t="shared" si="96"/>
        <v>11030406</v>
      </c>
      <c r="V66" s="44">
        <f t="shared" si="96"/>
        <v>0</v>
      </c>
      <c r="W66" s="44">
        <f t="shared" si="96"/>
        <v>11030406</v>
      </c>
      <c r="X66" s="44">
        <f aca="true" t="shared" si="97" ref="X66:AC66">SUM(X67:X68)</f>
        <v>0</v>
      </c>
      <c r="Y66" s="44">
        <f t="shared" si="97"/>
        <v>11030406</v>
      </c>
      <c r="Z66" s="44">
        <f t="shared" si="97"/>
        <v>0</v>
      </c>
      <c r="AA66" s="44">
        <f t="shared" si="97"/>
        <v>11030406</v>
      </c>
      <c r="AB66" s="44">
        <f t="shared" si="97"/>
        <v>0</v>
      </c>
      <c r="AC66" s="44">
        <f t="shared" si="97"/>
        <v>11030406</v>
      </c>
      <c r="AD66" s="44">
        <f aca="true" t="shared" si="98" ref="AD66:AI66">SUM(AD67:AD68)</f>
        <v>0</v>
      </c>
      <c r="AE66" s="44">
        <f t="shared" si="98"/>
        <v>11030406</v>
      </c>
      <c r="AF66" s="44">
        <f t="shared" si="98"/>
        <v>-1000000</v>
      </c>
      <c r="AG66" s="44">
        <f t="shared" si="98"/>
        <v>10030406</v>
      </c>
      <c r="AH66" s="44">
        <f t="shared" si="98"/>
        <v>0</v>
      </c>
      <c r="AI66" s="44">
        <f t="shared" si="98"/>
        <v>10030406</v>
      </c>
      <c r="AJ66" s="44">
        <f>SUM(AJ67:AJ68)</f>
        <v>0</v>
      </c>
      <c r="AK66" s="44">
        <f>SUM(AK67:AK68)</f>
        <v>10030406</v>
      </c>
      <c r="AL66" s="44">
        <f>SUM(AL67:AL68)</f>
        <v>0</v>
      </c>
      <c r="AM66" s="44">
        <f>SUM(AM67:AM68)</f>
        <v>10030406</v>
      </c>
    </row>
    <row r="67" spans="1:39" s="20" customFormat="1" ht="21.75" customHeight="1">
      <c r="A67" s="45"/>
      <c r="B67" s="46"/>
      <c r="C67" s="47" t="s">
        <v>145</v>
      </c>
      <c r="D67" s="50" t="s">
        <v>43</v>
      </c>
      <c r="E67" s="44">
        <v>10030735</v>
      </c>
      <c r="F67" s="44"/>
      <c r="G67" s="84">
        <f t="shared" si="5"/>
        <v>10030735</v>
      </c>
      <c r="H67" s="44"/>
      <c r="I67" s="84">
        <f>SUM(G67:H67)</f>
        <v>10030735</v>
      </c>
      <c r="J67" s="44">
        <v>-329</v>
      </c>
      <c r="K67" s="84">
        <f>SUM(I67:J67)</f>
        <v>10030406</v>
      </c>
      <c r="L67" s="44"/>
      <c r="M67" s="84">
        <f>SUM(K67:L67)</f>
        <v>10030406</v>
      </c>
      <c r="N67" s="44"/>
      <c r="O67" s="84">
        <f>SUM(M67:N67)</f>
        <v>10030406</v>
      </c>
      <c r="P67" s="44"/>
      <c r="Q67" s="84">
        <f>SUM(O67:P67)</f>
        <v>10030406</v>
      </c>
      <c r="R67" s="44"/>
      <c r="S67" s="84">
        <f>SUM(Q67:R67)</f>
        <v>10030406</v>
      </c>
      <c r="T67" s="44"/>
      <c r="U67" s="84">
        <f>SUM(S67:T67)</f>
        <v>10030406</v>
      </c>
      <c r="V67" s="44"/>
      <c r="W67" s="84">
        <f>SUM(U67:V67)</f>
        <v>10030406</v>
      </c>
      <c r="X67" s="44"/>
      <c r="Y67" s="84">
        <f>SUM(W67:X67)</f>
        <v>10030406</v>
      </c>
      <c r="Z67" s="44"/>
      <c r="AA67" s="84">
        <f>SUM(Y67:Z67)</f>
        <v>10030406</v>
      </c>
      <c r="AB67" s="44"/>
      <c r="AC67" s="84">
        <f>SUM(AA67:AB67)</f>
        <v>10030406</v>
      </c>
      <c r="AD67" s="44"/>
      <c r="AE67" s="84">
        <f>SUM(AC67:AD67)</f>
        <v>10030406</v>
      </c>
      <c r="AF67" s="44">
        <v>-1000000</v>
      </c>
      <c r="AG67" s="84">
        <f>SUM(AE67:AF67)</f>
        <v>9030406</v>
      </c>
      <c r="AH67" s="44"/>
      <c r="AI67" s="84">
        <f>SUM(AG67:AH67)</f>
        <v>9030406</v>
      </c>
      <c r="AJ67" s="44"/>
      <c r="AK67" s="84">
        <f>SUM(AI67:AJ67)</f>
        <v>9030406</v>
      </c>
      <c r="AL67" s="44"/>
      <c r="AM67" s="84">
        <f>SUM(AK67:AL67)</f>
        <v>9030406</v>
      </c>
    </row>
    <row r="68" spans="1:39" s="20" customFormat="1" ht="21.75" customHeight="1">
      <c r="A68" s="45"/>
      <c r="B68" s="46"/>
      <c r="C68" s="47" t="s">
        <v>146</v>
      </c>
      <c r="D68" s="50" t="s">
        <v>44</v>
      </c>
      <c r="E68" s="44">
        <v>1000000</v>
      </c>
      <c r="F68" s="44"/>
      <c r="G68" s="84">
        <f t="shared" si="5"/>
        <v>1000000</v>
      </c>
      <c r="H68" s="44"/>
      <c r="I68" s="84">
        <f>SUM(G68:H68)</f>
        <v>1000000</v>
      </c>
      <c r="J68" s="44"/>
      <c r="K68" s="84">
        <f>SUM(I68:J68)</f>
        <v>1000000</v>
      </c>
      <c r="L68" s="44"/>
      <c r="M68" s="84">
        <f>SUM(K68:L68)</f>
        <v>1000000</v>
      </c>
      <c r="N68" s="44"/>
      <c r="O68" s="84">
        <f>SUM(M68:N68)</f>
        <v>1000000</v>
      </c>
      <c r="P68" s="44"/>
      <c r="Q68" s="84">
        <f>SUM(O68:P68)</f>
        <v>1000000</v>
      </c>
      <c r="R68" s="44"/>
      <c r="S68" s="84">
        <f>SUM(Q68:R68)</f>
        <v>1000000</v>
      </c>
      <c r="T68" s="44"/>
      <c r="U68" s="84">
        <f>SUM(S68:T68)</f>
        <v>1000000</v>
      </c>
      <c r="V68" s="44"/>
      <c r="W68" s="84">
        <f>SUM(U68:V68)</f>
        <v>1000000</v>
      </c>
      <c r="X68" s="44"/>
      <c r="Y68" s="84">
        <f>SUM(W68:X68)</f>
        <v>1000000</v>
      </c>
      <c r="Z68" s="44"/>
      <c r="AA68" s="84">
        <f>SUM(Y68:Z68)</f>
        <v>1000000</v>
      </c>
      <c r="AB68" s="44"/>
      <c r="AC68" s="84">
        <f>SUM(AA68:AB68)</f>
        <v>1000000</v>
      </c>
      <c r="AD68" s="44"/>
      <c r="AE68" s="84">
        <f>SUM(AC68:AD68)</f>
        <v>1000000</v>
      </c>
      <c r="AF68" s="44"/>
      <c r="AG68" s="84">
        <f>SUM(AE68:AF68)</f>
        <v>1000000</v>
      </c>
      <c r="AH68" s="44"/>
      <c r="AI68" s="84">
        <f>SUM(AG68:AH68)</f>
        <v>1000000</v>
      </c>
      <c r="AJ68" s="44"/>
      <c r="AK68" s="84">
        <f>SUM(AI68:AJ68)</f>
        <v>1000000</v>
      </c>
      <c r="AL68" s="44"/>
      <c r="AM68" s="84">
        <f>SUM(AK68:AL68)</f>
        <v>1000000</v>
      </c>
    </row>
    <row r="69" spans="1:39" s="5" customFormat="1" ht="24" customHeight="1">
      <c r="A69" s="23" t="s">
        <v>45</v>
      </c>
      <c r="B69" s="1"/>
      <c r="C69" s="2"/>
      <c r="D69" s="24" t="s">
        <v>46</v>
      </c>
      <c r="E69" s="39">
        <f>SUM(E70,E72,E74,E76)</f>
        <v>19119259</v>
      </c>
      <c r="F69" s="39">
        <f>SUM(F70,F72,F74,F76)</f>
        <v>0</v>
      </c>
      <c r="G69" s="17">
        <f t="shared" si="5"/>
        <v>19119259</v>
      </c>
      <c r="H69" s="39">
        <f>SUM(H70,H72,H74,H76)</f>
        <v>0</v>
      </c>
      <c r="I69" s="17">
        <f>SUM(G69:H69)</f>
        <v>19119259</v>
      </c>
      <c r="J69" s="39">
        <f>SUM(J70,J72,J74,J76)</f>
        <v>-175597</v>
      </c>
      <c r="K69" s="17">
        <f>SUM(I69:J69)</f>
        <v>18943662</v>
      </c>
      <c r="L69" s="39">
        <f>SUM(L70,L72,L74,L76)</f>
        <v>0</v>
      </c>
      <c r="M69" s="17">
        <f>SUM(K69:L69)</f>
        <v>18943662</v>
      </c>
      <c r="N69" s="39">
        <f>SUM(N70,N72,N74,N76)</f>
        <v>0</v>
      </c>
      <c r="O69" s="17">
        <f>SUM(M69:N69)</f>
        <v>18943662</v>
      </c>
      <c r="P69" s="39">
        <f>SUM(P70,P72,P74,P76)</f>
        <v>0</v>
      </c>
      <c r="Q69" s="17">
        <f>SUM(O69:P69)</f>
        <v>18943662</v>
      </c>
      <c r="R69" s="39">
        <f>SUM(R70,R72,R74,R76)</f>
        <v>0</v>
      </c>
      <c r="S69" s="17">
        <f>SUM(Q69:R69)</f>
        <v>18943662</v>
      </c>
      <c r="T69" s="39">
        <f>SUM(T70,T72,T74,T76)</f>
        <v>0</v>
      </c>
      <c r="U69" s="17">
        <f>SUM(S69:T69)</f>
        <v>18943662</v>
      </c>
      <c r="V69" s="39">
        <f>SUM(V70,V72,V74,V76)</f>
        <v>0</v>
      </c>
      <c r="W69" s="17">
        <f>SUM(U69:V69)</f>
        <v>18943662</v>
      </c>
      <c r="X69" s="39">
        <f>SUM(X70,X72,X74,X76)</f>
        <v>0</v>
      </c>
      <c r="Y69" s="17">
        <f>SUM(W69:X69)</f>
        <v>18943662</v>
      </c>
      <c r="Z69" s="39">
        <f>SUM(Z70,Z72,Z74,Z76)</f>
        <v>0</v>
      </c>
      <c r="AA69" s="17">
        <f>SUM(Y69:Z69)</f>
        <v>18943662</v>
      </c>
      <c r="AB69" s="39">
        <f>SUM(AB70,AB72,AB74,AB76)</f>
        <v>0</v>
      </c>
      <c r="AC69" s="17">
        <f>SUM(AA69:AB69)</f>
        <v>18943662</v>
      </c>
      <c r="AD69" s="39">
        <f>SUM(AD70,AD72,AD74,AD76)</f>
        <v>0</v>
      </c>
      <c r="AE69" s="17">
        <f>SUM(AC69:AD69)</f>
        <v>18943662</v>
      </c>
      <c r="AF69" s="39">
        <f>SUM(AF70,AF72,AF74,AF76)</f>
        <v>-40000</v>
      </c>
      <c r="AG69" s="17">
        <f>SUM(AE69:AF69)</f>
        <v>18903662</v>
      </c>
      <c r="AH69" s="39">
        <f>SUM(AH70,AH72,AH74,AH76)</f>
        <v>4000</v>
      </c>
      <c r="AI69" s="17">
        <f>SUM(AG69:AH69)</f>
        <v>18907662</v>
      </c>
      <c r="AJ69" s="39">
        <f>SUM(AJ70,AJ72,AJ74,AJ76)</f>
        <v>8120</v>
      </c>
      <c r="AK69" s="17">
        <f>SUM(AI69:AJ69)</f>
        <v>18915782</v>
      </c>
      <c r="AL69" s="39">
        <f>SUM(AL70,AL72,AL74,AL76)</f>
        <v>0</v>
      </c>
      <c r="AM69" s="17">
        <f>SUM(AK69:AL69)</f>
        <v>18915782</v>
      </c>
    </row>
    <row r="70" spans="1:39" s="20" customFormat="1" ht="24" customHeight="1">
      <c r="A70" s="45"/>
      <c r="B70" s="46" t="s">
        <v>47</v>
      </c>
      <c r="C70" s="53"/>
      <c r="D70" s="50" t="s">
        <v>48</v>
      </c>
      <c r="E70" s="44">
        <f aca="true" t="shared" si="99" ref="E70:AM70">SUM(E71)</f>
        <v>14073448</v>
      </c>
      <c r="F70" s="44">
        <f t="shared" si="99"/>
        <v>0</v>
      </c>
      <c r="G70" s="44">
        <f t="shared" si="99"/>
        <v>14073448</v>
      </c>
      <c r="H70" s="44">
        <f t="shared" si="99"/>
        <v>0</v>
      </c>
      <c r="I70" s="44">
        <f t="shared" si="99"/>
        <v>14073448</v>
      </c>
      <c r="J70" s="44">
        <f t="shared" si="99"/>
        <v>-175597</v>
      </c>
      <c r="K70" s="44">
        <f t="shared" si="99"/>
        <v>13897851</v>
      </c>
      <c r="L70" s="44">
        <f t="shared" si="99"/>
        <v>0</v>
      </c>
      <c r="M70" s="44">
        <f t="shared" si="99"/>
        <v>13897851</v>
      </c>
      <c r="N70" s="44">
        <f t="shared" si="99"/>
        <v>0</v>
      </c>
      <c r="O70" s="44">
        <f t="shared" si="99"/>
        <v>13897851</v>
      </c>
      <c r="P70" s="44">
        <f t="shared" si="99"/>
        <v>0</v>
      </c>
      <c r="Q70" s="44">
        <f t="shared" si="99"/>
        <v>13897851</v>
      </c>
      <c r="R70" s="44">
        <f t="shared" si="99"/>
        <v>0</v>
      </c>
      <c r="S70" s="44">
        <f t="shared" si="99"/>
        <v>13897851</v>
      </c>
      <c r="T70" s="44">
        <f t="shared" si="99"/>
        <v>0</v>
      </c>
      <c r="U70" s="44">
        <f t="shared" si="99"/>
        <v>13897851</v>
      </c>
      <c r="V70" s="44">
        <f t="shared" si="99"/>
        <v>0</v>
      </c>
      <c r="W70" s="44">
        <f t="shared" si="99"/>
        <v>13897851</v>
      </c>
      <c r="X70" s="44">
        <f t="shared" si="99"/>
        <v>0</v>
      </c>
      <c r="Y70" s="44">
        <f t="shared" si="99"/>
        <v>13897851</v>
      </c>
      <c r="Z70" s="44">
        <f t="shared" si="99"/>
        <v>0</v>
      </c>
      <c r="AA70" s="44">
        <f t="shared" si="99"/>
        <v>13897851</v>
      </c>
      <c r="AB70" s="44">
        <f t="shared" si="99"/>
        <v>0</v>
      </c>
      <c r="AC70" s="44">
        <f t="shared" si="99"/>
        <v>13897851</v>
      </c>
      <c r="AD70" s="44">
        <f t="shared" si="99"/>
        <v>0</v>
      </c>
      <c r="AE70" s="44">
        <f t="shared" si="99"/>
        <v>13897851</v>
      </c>
      <c r="AF70" s="44">
        <f t="shared" si="99"/>
        <v>0</v>
      </c>
      <c r="AG70" s="44">
        <f t="shared" si="99"/>
        <v>13897851</v>
      </c>
      <c r="AH70" s="44">
        <f t="shared" si="99"/>
        <v>0</v>
      </c>
      <c r="AI70" s="44">
        <f t="shared" si="99"/>
        <v>13897851</v>
      </c>
      <c r="AJ70" s="44">
        <f t="shared" si="99"/>
        <v>8120</v>
      </c>
      <c r="AK70" s="44">
        <f t="shared" si="99"/>
        <v>13905971</v>
      </c>
      <c r="AL70" s="44">
        <f t="shared" si="99"/>
        <v>0</v>
      </c>
      <c r="AM70" s="44">
        <f t="shared" si="99"/>
        <v>13905971</v>
      </c>
    </row>
    <row r="71" spans="1:39" s="20" customFormat="1" ht="21.75" customHeight="1">
      <c r="A71" s="45"/>
      <c r="B71" s="46"/>
      <c r="C71" s="47">
        <v>2920</v>
      </c>
      <c r="D71" s="50" t="s">
        <v>49</v>
      </c>
      <c r="E71" s="44">
        <v>14073448</v>
      </c>
      <c r="F71" s="44"/>
      <c r="G71" s="84">
        <f t="shared" si="5"/>
        <v>14073448</v>
      </c>
      <c r="H71" s="44"/>
      <c r="I71" s="84">
        <f>SUM(G71:H71)</f>
        <v>14073448</v>
      </c>
      <c r="J71" s="44">
        <v>-175597</v>
      </c>
      <c r="K71" s="84">
        <f>SUM(I71:J71)</f>
        <v>13897851</v>
      </c>
      <c r="L71" s="44"/>
      <c r="M71" s="84">
        <f>SUM(K71:L71)</f>
        <v>13897851</v>
      </c>
      <c r="N71" s="44"/>
      <c r="O71" s="84">
        <f>SUM(M71:N71)</f>
        <v>13897851</v>
      </c>
      <c r="P71" s="44"/>
      <c r="Q71" s="84">
        <f>SUM(O71:P71)</f>
        <v>13897851</v>
      </c>
      <c r="R71" s="44"/>
      <c r="S71" s="84">
        <f>SUM(Q71:R71)</f>
        <v>13897851</v>
      </c>
      <c r="T71" s="44"/>
      <c r="U71" s="84">
        <f>SUM(S71:T71)</f>
        <v>13897851</v>
      </c>
      <c r="V71" s="44"/>
      <c r="W71" s="84">
        <f>SUM(U71:V71)</f>
        <v>13897851</v>
      </c>
      <c r="X71" s="44"/>
      <c r="Y71" s="84">
        <f>SUM(W71:X71)</f>
        <v>13897851</v>
      </c>
      <c r="Z71" s="44"/>
      <c r="AA71" s="84">
        <f>SUM(Y71:Z71)</f>
        <v>13897851</v>
      </c>
      <c r="AB71" s="44"/>
      <c r="AC71" s="84">
        <f>SUM(AA71:AB71)</f>
        <v>13897851</v>
      </c>
      <c r="AD71" s="44"/>
      <c r="AE71" s="84">
        <f>SUM(AC71:AD71)</f>
        <v>13897851</v>
      </c>
      <c r="AF71" s="44"/>
      <c r="AG71" s="84">
        <f>SUM(AE71:AF71)</f>
        <v>13897851</v>
      </c>
      <c r="AH71" s="44"/>
      <c r="AI71" s="84">
        <f>SUM(AG71:AH71)</f>
        <v>13897851</v>
      </c>
      <c r="AJ71" s="44">
        <v>8120</v>
      </c>
      <c r="AK71" s="84">
        <f>SUM(AI71:AJ71)</f>
        <v>13905971</v>
      </c>
      <c r="AL71" s="44"/>
      <c r="AM71" s="84">
        <f>SUM(AK71:AL71)</f>
        <v>13905971</v>
      </c>
    </row>
    <row r="72" spans="1:39" s="20" customFormat="1" ht="21.75" customHeight="1">
      <c r="A72" s="45"/>
      <c r="B72" s="46" t="s">
        <v>155</v>
      </c>
      <c r="C72" s="53"/>
      <c r="D72" s="50" t="s">
        <v>154</v>
      </c>
      <c r="E72" s="44">
        <f aca="true" t="shared" si="100" ref="E72:AM72">SUM(E73)</f>
        <v>4225670</v>
      </c>
      <c r="F72" s="44">
        <f t="shared" si="100"/>
        <v>0</v>
      </c>
      <c r="G72" s="44">
        <f t="shared" si="100"/>
        <v>4225670</v>
      </c>
      <c r="H72" s="44">
        <f t="shared" si="100"/>
        <v>0</v>
      </c>
      <c r="I72" s="44">
        <f t="shared" si="100"/>
        <v>4225670</v>
      </c>
      <c r="J72" s="44">
        <f t="shared" si="100"/>
        <v>0</v>
      </c>
      <c r="K72" s="44">
        <f t="shared" si="100"/>
        <v>4225670</v>
      </c>
      <c r="L72" s="44">
        <f t="shared" si="100"/>
        <v>0</v>
      </c>
      <c r="M72" s="44">
        <f t="shared" si="100"/>
        <v>4225670</v>
      </c>
      <c r="N72" s="44">
        <f t="shared" si="100"/>
        <v>0</v>
      </c>
      <c r="O72" s="44">
        <f t="shared" si="100"/>
        <v>4225670</v>
      </c>
      <c r="P72" s="44">
        <f t="shared" si="100"/>
        <v>0</v>
      </c>
      <c r="Q72" s="44">
        <f t="shared" si="100"/>
        <v>4225670</v>
      </c>
      <c r="R72" s="44">
        <f t="shared" si="100"/>
        <v>0</v>
      </c>
      <c r="S72" s="44">
        <f t="shared" si="100"/>
        <v>4225670</v>
      </c>
      <c r="T72" s="44">
        <f t="shared" si="100"/>
        <v>0</v>
      </c>
      <c r="U72" s="44">
        <f t="shared" si="100"/>
        <v>4225670</v>
      </c>
      <c r="V72" s="44">
        <f t="shared" si="100"/>
        <v>0</v>
      </c>
      <c r="W72" s="44">
        <f t="shared" si="100"/>
        <v>4225670</v>
      </c>
      <c r="X72" s="44">
        <f t="shared" si="100"/>
        <v>0</v>
      </c>
      <c r="Y72" s="44">
        <f t="shared" si="100"/>
        <v>4225670</v>
      </c>
      <c r="Z72" s="44">
        <f t="shared" si="100"/>
        <v>0</v>
      </c>
      <c r="AA72" s="44">
        <f t="shared" si="100"/>
        <v>4225670</v>
      </c>
      <c r="AB72" s="44">
        <f t="shared" si="100"/>
        <v>0</v>
      </c>
      <c r="AC72" s="44">
        <f t="shared" si="100"/>
        <v>4225670</v>
      </c>
      <c r="AD72" s="44">
        <f t="shared" si="100"/>
        <v>0</v>
      </c>
      <c r="AE72" s="44">
        <f t="shared" si="100"/>
        <v>4225670</v>
      </c>
      <c r="AF72" s="44">
        <f t="shared" si="100"/>
        <v>0</v>
      </c>
      <c r="AG72" s="44">
        <f t="shared" si="100"/>
        <v>4225670</v>
      </c>
      <c r="AH72" s="44">
        <f t="shared" si="100"/>
        <v>0</v>
      </c>
      <c r="AI72" s="44">
        <f t="shared" si="100"/>
        <v>4225670</v>
      </c>
      <c r="AJ72" s="44">
        <f t="shared" si="100"/>
        <v>0</v>
      </c>
      <c r="AK72" s="44">
        <f t="shared" si="100"/>
        <v>4225670</v>
      </c>
      <c r="AL72" s="44">
        <f t="shared" si="100"/>
        <v>0</v>
      </c>
      <c r="AM72" s="44">
        <f t="shared" si="100"/>
        <v>4225670</v>
      </c>
    </row>
    <row r="73" spans="1:39" s="20" customFormat="1" ht="21.75" customHeight="1">
      <c r="A73" s="45"/>
      <c r="B73" s="46"/>
      <c r="C73" s="47">
        <v>2920</v>
      </c>
      <c r="D73" s="50" t="s">
        <v>49</v>
      </c>
      <c r="E73" s="44">
        <v>4225670</v>
      </c>
      <c r="F73" s="44"/>
      <c r="G73" s="86">
        <f t="shared" si="5"/>
        <v>4225670</v>
      </c>
      <c r="H73" s="44"/>
      <c r="I73" s="86">
        <f>SUM(G73:H73)</f>
        <v>4225670</v>
      </c>
      <c r="J73" s="44"/>
      <c r="K73" s="86">
        <f>SUM(I73:J73)</f>
        <v>4225670</v>
      </c>
      <c r="L73" s="44"/>
      <c r="M73" s="86">
        <f>SUM(K73:L73)</f>
        <v>4225670</v>
      </c>
      <c r="N73" s="44"/>
      <c r="O73" s="86">
        <f>SUM(M73:N73)</f>
        <v>4225670</v>
      </c>
      <c r="P73" s="44"/>
      <c r="Q73" s="86">
        <f>SUM(O73:P73)</f>
        <v>4225670</v>
      </c>
      <c r="R73" s="44"/>
      <c r="S73" s="86">
        <f>SUM(Q73:R73)</f>
        <v>4225670</v>
      </c>
      <c r="T73" s="44"/>
      <c r="U73" s="86">
        <f>SUM(S73:T73)</f>
        <v>4225670</v>
      </c>
      <c r="V73" s="44"/>
      <c r="W73" s="86">
        <f>SUM(U73:V73)</f>
        <v>4225670</v>
      </c>
      <c r="X73" s="44"/>
      <c r="Y73" s="86">
        <f>SUM(W73:X73)</f>
        <v>4225670</v>
      </c>
      <c r="Z73" s="44"/>
      <c r="AA73" s="86">
        <f>SUM(Y73:Z73)</f>
        <v>4225670</v>
      </c>
      <c r="AB73" s="44"/>
      <c r="AC73" s="86">
        <f>SUM(AA73:AB73)</f>
        <v>4225670</v>
      </c>
      <c r="AD73" s="44"/>
      <c r="AE73" s="86">
        <f>SUM(AC73:AD73)</f>
        <v>4225670</v>
      </c>
      <c r="AF73" s="44"/>
      <c r="AG73" s="86">
        <f>SUM(AE73:AF73)</f>
        <v>4225670</v>
      </c>
      <c r="AH73" s="44"/>
      <c r="AI73" s="84">
        <f>SUM(AG73:AH73)</f>
        <v>4225670</v>
      </c>
      <c r="AJ73" s="79"/>
      <c r="AK73" s="84">
        <f>SUM(AI73:AJ73)</f>
        <v>4225670</v>
      </c>
      <c r="AL73" s="79"/>
      <c r="AM73" s="84">
        <f>SUM(AK73:AL73)</f>
        <v>4225670</v>
      </c>
    </row>
    <row r="74" spans="1:39" s="20" customFormat="1" ht="21" customHeight="1">
      <c r="A74" s="45"/>
      <c r="B74" s="46">
        <v>75814</v>
      </c>
      <c r="C74" s="53"/>
      <c r="D74" s="50" t="s">
        <v>50</v>
      </c>
      <c r="E74" s="44">
        <f aca="true" t="shared" si="101" ref="E74:AM74">SUM(E75)</f>
        <v>50000</v>
      </c>
      <c r="F74" s="44">
        <f t="shared" si="101"/>
        <v>0</v>
      </c>
      <c r="G74" s="44">
        <f t="shared" si="101"/>
        <v>50000</v>
      </c>
      <c r="H74" s="44">
        <f t="shared" si="101"/>
        <v>0</v>
      </c>
      <c r="I74" s="44">
        <f t="shared" si="101"/>
        <v>50000</v>
      </c>
      <c r="J74" s="44">
        <f t="shared" si="101"/>
        <v>0</v>
      </c>
      <c r="K74" s="44">
        <f t="shared" si="101"/>
        <v>50000</v>
      </c>
      <c r="L74" s="44">
        <f t="shared" si="101"/>
        <v>0</v>
      </c>
      <c r="M74" s="44">
        <f t="shared" si="101"/>
        <v>50000</v>
      </c>
      <c r="N74" s="44">
        <f t="shared" si="101"/>
        <v>0</v>
      </c>
      <c r="O74" s="44">
        <f t="shared" si="101"/>
        <v>50000</v>
      </c>
      <c r="P74" s="44">
        <f t="shared" si="101"/>
        <v>0</v>
      </c>
      <c r="Q74" s="44">
        <f t="shared" si="101"/>
        <v>50000</v>
      </c>
      <c r="R74" s="44">
        <f t="shared" si="101"/>
        <v>0</v>
      </c>
      <c r="S74" s="44">
        <f t="shared" si="101"/>
        <v>50000</v>
      </c>
      <c r="T74" s="44">
        <f t="shared" si="101"/>
        <v>0</v>
      </c>
      <c r="U74" s="44">
        <f t="shared" si="101"/>
        <v>50000</v>
      </c>
      <c r="V74" s="44">
        <f t="shared" si="101"/>
        <v>0</v>
      </c>
      <c r="W74" s="44">
        <f t="shared" si="101"/>
        <v>50000</v>
      </c>
      <c r="X74" s="44">
        <f t="shared" si="101"/>
        <v>0</v>
      </c>
      <c r="Y74" s="44">
        <f t="shared" si="101"/>
        <v>50000</v>
      </c>
      <c r="Z74" s="44">
        <f t="shared" si="101"/>
        <v>0</v>
      </c>
      <c r="AA74" s="44">
        <f t="shared" si="101"/>
        <v>50000</v>
      </c>
      <c r="AB74" s="44">
        <f t="shared" si="101"/>
        <v>0</v>
      </c>
      <c r="AC74" s="44">
        <f t="shared" si="101"/>
        <v>50000</v>
      </c>
      <c r="AD74" s="44">
        <f t="shared" si="101"/>
        <v>0</v>
      </c>
      <c r="AE74" s="44">
        <f t="shared" si="101"/>
        <v>50000</v>
      </c>
      <c r="AF74" s="44">
        <f t="shared" si="101"/>
        <v>-40000</v>
      </c>
      <c r="AG74" s="44">
        <f t="shared" si="101"/>
        <v>10000</v>
      </c>
      <c r="AH74" s="44">
        <f t="shared" si="101"/>
        <v>4000</v>
      </c>
      <c r="AI74" s="44">
        <f t="shared" si="101"/>
        <v>14000</v>
      </c>
      <c r="AJ74" s="44">
        <f t="shared" si="101"/>
        <v>0</v>
      </c>
      <c r="AK74" s="44">
        <f t="shared" si="101"/>
        <v>14000</v>
      </c>
      <c r="AL74" s="44">
        <f t="shared" si="101"/>
        <v>0</v>
      </c>
      <c r="AM74" s="44">
        <f t="shared" si="101"/>
        <v>14000</v>
      </c>
    </row>
    <row r="75" spans="1:39" s="20" customFormat="1" ht="21.75" customHeight="1">
      <c r="A75" s="45"/>
      <c r="B75" s="46"/>
      <c r="C75" s="47" t="s">
        <v>132</v>
      </c>
      <c r="D75" s="50" t="s">
        <v>11</v>
      </c>
      <c r="E75" s="44">
        <v>50000</v>
      </c>
      <c r="F75" s="44"/>
      <c r="G75" s="84">
        <f t="shared" si="5"/>
        <v>50000</v>
      </c>
      <c r="H75" s="44"/>
      <c r="I75" s="84">
        <f>SUM(G75:H75)</f>
        <v>50000</v>
      </c>
      <c r="J75" s="44"/>
      <c r="K75" s="84">
        <f>SUM(I75:J75)</f>
        <v>50000</v>
      </c>
      <c r="L75" s="44"/>
      <c r="M75" s="84">
        <f>SUM(K75:L75)</f>
        <v>50000</v>
      </c>
      <c r="N75" s="44"/>
      <c r="O75" s="84">
        <f>SUM(M75:N75)</f>
        <v>50000</v>
      </c>
      <c r="P75" s="44"/>
      <c r="Q75" s="84">
        <f>SUM(O75:P75)</f>
        <v>50000</v>
      </c>
      <c r="R75" s="44"/>
      <c r="S75" s="84">
        <f>SUM(Q75:R75)</f>
        <v>50000</v>
      </c>
      <c r="T75" s="44"/>
      <c r="U75" s="84">
        <f>SUM(S75:T75)</f>
        <v>50000</v>
      </c>
      <c r="V75" s="44"/>
      <c r="W75" s="84">
        <f>SUM(U75:V75)</f>
        <v>50000</v>
      </c>
      <c r="X75" s="44"/>
      <c r="Y75" s="84">
        <f>SUM(W75:X75)</f>
        <v>50000</v>
      </c>
      <c r="Z75" s="44"/>
      <c r="AA75" s="84">
        <f>SUM(Y75:Z75)</f>
        <v>50000</v>
      </c>
      <c r="AB75" s="44"/>
      <c r="AC75" s="84">
        <f>SUM(AA75:AB75)</f>
        <v>50000</v>
      </c>
      <c r="AD75" s="44"/>
      <c r="AE75" s="84">
        <f>SUM(AC75:AD75)</f>
        <v>50000</v>
      </c>
      <c r="AF75" s="44">
        <v>-40000</v>
      </c>
      <c r="AG75" s="84">
        <f>SUM(AE75:AF75)</f>
        <v>10000</v>
      </c>
      <c r="AH75" s="44">
        <v>4000</v>
      </c>
      <c r="AI75" s="84">
        <f>SUM(AG75:AH75)</f>
        <v>14000</v>
      </c>
      <c r="AJ75" s="44"/>
      <c r="AK75" s="84">
        <f>SUM(AI75:AJ75)</f>
        <v>14000</v>
      </c>
      <c r="AL75" s="44"/>
      <c r="AM75" s="84">
        <f>SUM(AK75:AL75)</f>
        <v>14000</v>
      </c>
    </row>
    <row r="76" spans="1:39" s="20" customFormat="1" ht="22.5">
      <c r="A76" s="45"/>
      <c r="B76" s="46" t="s">
        <v>175</v>
      </c>
      <c r="C76" s="53"/>
      <c r="D76" s="50" t="s">
        <v>176</v>
      </c>
      <c r="E76" s="44">
        <f aca="true" t="shared" si="102" ref="E76:AM76">SUM(E77)</f>
        <v>770141</v>
      </c>
      <c r="F76" s="44">
        <f t="shared" si="102"/>
        <v>0</v>
      </c>
      <c r="G76" s="44">
        <f t="shared" si="102"/>
        <v>770141</v>
      </c>
      <c r="H76" s="44">
        <f t="shared" si="102"/>
        <v>0</v>
      </c>
      <c r="I76" s="44">
        <f t="shared" si="102"/>
        <v>770141</v>
      </c>
      <c r="J76" s="44">
        <f t="shared" si="102"/>
        <v>0</v>
      </c>
      <c r="K76" s="44">
        <f t="shared" si="102"/>
        <v>770141</v>
      </c>
      <c r="L76" s="44">
        <f t="shared" si="102"/>
        <v>0</v>
      </c>
      <c r="M76" s="44">
        <f t="shared" si="102"/>
        <v>770141</v>
      </c>
      <c r="N76" s="44">
        <f t="shared" si="102"/>
        <v>0</v>
      </c>
      <c r="O76" s="44">
        <f t="shared" si="102"/>
        <v>770141</v>
      </c>
      <c r="P76" s="44">
        <f t="shared" si="102"/>
        <v>0</v>
      </c>
      <c r="Q76" s="44">
        <f t="shared" si="102"/>
        <v>770141</v>
      </c>
      <c r="R76" s="44">
        <f t="shared" si="102"/>
        <v>0</v>
      </c>
      <c r="S76" s="44">
        <f t="shared" si="102"/>
        <v>770141</v>
      </c>
      <c r="T76" s="44">
        <f t="shared" si="102"/>
        <v>0</v>
      </c>
      <c r="U76" s="44">
        <f t="shared" si="102"/>
        <v>770141</v>
      </c>
      <c r="V76" s="44">
        <f t="shared" si="102"/>
        <v>0</v>
      </c>
      <c r="W76" s="44">
        <f t="shared" si="102"/>
        <v>770141</v>
      </c>
      <c r="X76" s="44">
        <f t="shared" si="102"/>
        <v>0</v>
      </c>
      <c r="Y76" s="44">
        <f t="shared" si="102"/>
        <v>770141</v>
      </c>
      <c r="Z76" s="44">
        <f t="shared" si="102"/>
        <v>0</v>
      </c>
      <c r="AA76" s="44">
        <f t="shared" si="102"/>
        <v>770141</v>
      </c>
      <c r="AB76" s="44">
        <f t="shared" si="102"/>
        <v>0</v>
      </c>
      <c r="AC76" s="44">
        <f t="shared" si="102"/>
        <v>770141</v>
      </c>
      <c r="AD76" s="44">
        <f t="shared" si="102"/>
        <v>0</v>
      </c>
      <c r="AE76" s="44">
        <f t="shared" si="102"/>
        <v>770141</v>
      </c>
      <c r="AF76" s="44">
        <f t="shared" si="102"/>
        <v>0</v>
      </c>
      <c r="AG76" s="44">
        <f t="shared" si="102"/>
        <v>770141</v>
      </c>
      <c r="AH76" s="44">
        <f t="shared" si="102"/>
        <v>0</v>
      </c>
      <c r="AI76" s="44">
        <f t="shared" si="102"/>
        <v>770141</v>
      </c>
      <c r="AJ76" s="44">
        <f t="shared" si="102"/>
        <v>0</v>
      </c>
      <c r="AK76" s="44">
        <f t="shared" si="102"/>
        <v>770141</v>
      </c>
      <c r="AL76" s="44">
        <f t="shared" si="102"/>
        <v>0</v>
      </c>
      <c r="AM76" s="44">
        <f t="shared" si="102"/>
        <v>770141</v>
      </c>
    </row>
    <row r="77" spans="1:39" s="20" customFormat="1" ht="21.75" customHeight="1">
      <c r="A77" s="45"/>
      <c r="B77" s="46"/>
      <c r="C77" s="47">
        <v>2920</v>
      </c>
      <c r="D77" s="50" t="s">
        <v>49</v>
      </c>
      <c r="E77" s="44">
        <v>770141</v>
      </c>
      <c r="F77" s="44"/>
      <c r="G77" s="84">
        <f t="shared" si="5"/>
        <v>770141</v>
      </c>
      <c r="H77" s="44"/>
      <c r="I77" s="84">
        <f>SUM(G77:H77)</f>
        <v>770141</v>
      </c>
      <c r="J77" s="44"/>
      <c r="K77" s="84">
        <f>SUM(I77:J77)</f>
        <v>770141</v>
      </c>
      <c r="L77" s="44"/>
      <c r="M77" s="84">
        <f>SUM(K77:L77)</f>
        <v>770141</v>
      </c>
      <c r="N77" s="44"/>
      <c r="O77" s="84">
        <f>SUM(M77:N77)</f>
        <v>770141</v>
      </c>
      <c r="P77" s="44"/>
      <c r="Q77" s="84">
        <f>SUM(O77:P77)</f>
        <v>770141</v>
      </c>
      <c r="R77" s="44"/>
      <c r="S77" s="84">
        <f>SUM(Q77:R77)</f>
        <v>770141</v>
      </c>
      <c r="T77" s="44"/>
      <c r="U77" s="84">
        <f>SUM(S77:T77)</f>
        <v>770141</v>
      </c>
      <c r="V77" s="44"/>
      <c r="W77" s="84">
        <f>SUM(U77:V77)</f>
        <v>770141</v>
      </c>
      <c r="X77" s="44"/>
      <c r="Y77" s="84">
        <f>SUM(W77:X77)</f>
        <v>770141</v>
      </c>
      <c r="Z77" s="44"/>
      <c r="AA77" s="84">
        <f>SUM(Y77:Z77)</f>
        <v>770141</v>
      </c>
      <c r="AB77" s="44"/>
      <c r="AC77" s="84">
        <f>SUM(AA77:AB77)</f>
        <v>770141</v>
      </c>
      <c r="AD77" s="44"/>
      <c r="AE77" s="84">
        <f>SUM(AC77:AD77)</f>
        <v>770141</v>
      </c>
      <c r="AF77" s="44"/>
      <c r="AG77" s="84">
        <f>SUM(AE77:AF77)</f>
        <v>770141</v>
      </c>
      <c r="AH77" s="44"/>
      <c r="AI77" s="84">
        <f>SUM(AG77:AH77)</f>
        <v>770141</v>
      </c>
      <c r="AJ77" s="44"/>
      <c r="AK77" s="84">
        <f>SUM(AI77:AJ77)</f>
        <v>770141</v>
      </c>
      <c r="AL77" s="44"/>
      <c r="AM77" s="84">
        <f>SUM(AK77:AL77)</f>
        <v>770141</v>
      </c>
    </row>
    <row r="78" spans="1:39" s="20" customFormat="1" ht="24" customHeight="1">
      <c r="A78" s="27" t="s">
        <v>94</v>
      </c>
      <c r="B78" s="28"/>
      <c r="C78" s="29"/>
      <c r="D78" s="30" t="s">
        <v>95</v>
      </c>
      <c r="E78" s="39">
        <f aca="true" t="shared" si="103" ref="E78:K78">SUM(E79,E88,E90,E98,E95)</f>
        <v>268995</v>
      </c>
      <c r="F78" s="39">
        <f t="shared" si="103"/>
        <v>0</v>
      </c>
      <c r="G78" s="39">
        <f t="shared" si="103"/>
        <v>268995</v>
      </c>
      <c r="H78" s="39">
        <f t="shared" si="103"/>
        <v>0</v>
      </c>
      <c r="I78" s="39">
        <f t="shared" si="103"/>
        <v>268995</v>
      </c>
      <c r="J78" s="39">
        <f t="shared" si="103"/>
        <v>0</v>
      </c>
      <c r="K78" s="39">
        <f t="shared" si="103"/>
        <v>268995</v>
      </c>
      <c r="L78" s="39">
        <f aca="true" t="shared" si="104" ref="L78:Q78">SUM(L79,L88,L90,L98,L95)</f>
        <v>0</v>
      </c>
      <c r="M78" s="39">
        <f t="shared" si="104"/>
        <v>268995</v>
      </c>
      <c r="N78" s="39">
        <f t="shared" si="104"/>
        <v>0</v>
      </c>
      <c r="O78" s="39">
        <f t="shared" si="104"/>
        <v>268995</v>
      </c>
      <c r="P78" s="39">
        <f t="shared" si="104"/>
        <v>0</v>
      </c>
      <c r="Q78" s="39">
        <f t="shared" si="104"/>
        <v>268995</v>
      </c>
      <c r="R78" s="39">
        <f aca="true" t="shared" si="105" ref="R78:W78">SUM(R79,R88,R90,R98,R95)</f>
        <v>6100</v>
      </c>
      <c r="S78" s="39">
        <f t="shared" si="105"/>
        <v>275095</v>
      </c>
      <c r="T78" s="39">
        <f t="shared" si="105"/>
        <v>0</v>
      </c>
      <c r="U78" s="39">
        <f t="shared" si="105"/>
        <v>275095</v>
      </c>
      <c r="V78" s="39">
        <f t="shared" si="105"/>
        <v>1251</v>
      </c>
      <c r="W78" s="39">
        <f t="shared" si="105"/>
        <v>276346</v>
      </c>
      <c r="X78" s="39">
        <f aca="true" t="shared" si="106" ref="X78:AC78">SUM(X79,X88,X90,X98,X95)</f>
        <v>0</v>
      </c>
      <c r="Y78" s="39">
        <f t="shared" si="106"/>
        <v>276346</v>
      </c>
      <c r="Z78" s="39">
        <f t="shared" si="106"/>
        <v>44050</v>
      </c>
      <c r="AA78" s="39">
        <f t="shared" si="106"/>
        <v>320396</v>
      </c>
      <c r="AB78" s="39">
        <f t="shared" si="106"/>
        <v>0</v>
      </c>
      <c r="AC78" s="39">
        <f t="shared" si="106"/>
        <v>320396</v>
      </c>
      <c r="AD78" s="39">
        <f aca="true" t="shared" si="107" ref="AD78:AI78">SUM(AD79,AD88,AD90,AD98,AD95)</f>
        <v>-50986</v>
      </c>
      <c r="AE78" s="39">
        <f t="shared" si="107"/>
        <v>269410</v>
      </c>
      <c r="AF78" s="39">
        <f t="shared" si="107"/>
        <v>48495</v>
      </c>
      <c r="AG78" s="39">
        <f t="shared" si="107"/>
        <v>317905</v>
      </c>
      <c r="AH78" s="39">
        <f t="shared" si="107"/>
        <v>0</v>
      </c>
      <c r="AI78" s="39">
        <f t="shared" si="107"/>
        <v>317905</v>
      </c>
      <c r="AJ78" s="39">
        <f>SUM(AJ79,AJ88,AJ90,AJ98,AJ95)</f>
        <v>480</v>
      </c>
      <c r="AK78" s="39">
        <f>SUM(AK79,AK88,AK90,AK98,AK95)</f>
        <v>318385</v>
      </c>
      <c r="AL78" s="39">
        <f>SUM(AL79,AL88,AL90,AL98,AL95)</f>
        <v>0</v>
      </c>
      <c r="AM78" s="39">
        <f>SUM(AM79,AM88,AM90,AM98,AM95)</f>
        <v>318385</v>
      </c>
    </row>
    <row r="79" spans="1:39" s="20" customFormat="1" ht="24" customHeight="1">
      <c r="A79" s="41"/>
      <c r="B79" s="55" t="s">
        <v>96</v>
      </c>
      <c r="C79" s="58"/>
      <c r="D79" s="31" t="s">
        <v>51</v>
      </c>
      <c r="E79" s="44">
        <f aca="true" t="shared" si="108" ref="E79:K79">SUM(E80:E86)</f>
        <v>77684</v>
      </c>
      <c r="F79" s="44">
        <f t="shared" si="108"/>
        <v>0</v>
      </c>
      <c r="G79" s="44">
        <f t="shared" si="108"/>
        <v>77684</v>
      </c>
      <c r="H79" s="44">
        <f t="shared" si="108"/>
        <v>0</v>
      </c>
      <c r="I79" s="44">
        <f t="shared" si="108"/>
        <v>77684</v>
      </c>
      <c r="J79" s="44">
        <f t="shared" si="108"/>
        <v>0</v>
      </c>
      <c r="K79" s="44">
        <f t="shared" si="108"/>
        <v>77684</v>
      </c>
      <c r="L79" s="44">
        <f aca="true" t="shared" si="109" ref="L79:Q79">SUM(L80:L86)</f>
        <v>0</v>
      </c>
      <c r="M79" s="44">
        <f t="shared" si="109"/>
        <v>77684</v>
      </c>
      <c r="N79" s="44">
        <f t="shared" si="109"/>
        <v>0</v>
      </c>
      <c r="O79" s="44">
        <f t="shared" si="109"/>
        <v>77684</v>
      </c>
      <c r="P79" s="44">
        <f t="shared" si="109"/>
        <v>0</v>
      </c>
      <c r="Q79" s="44">
        <f t="shared" si="109"/>
        <v>77684</v>
      </c>
      <c r="R79" s="44">
        <f>SUM(R80:R86)</f>
        <v>6100</v>
      </c>
      <c r="S79" s="44">
        <f>SUM(S80:S86)</f>
        <v>83784</v>
      </c>
      <c r="T79" s="44">
        <f>SUM(T80:T86)</f>
        <v>0</v>
      </c>
      <c r="U79" s="44">
        <f aca="true" t="shared" si="110" ref="U79:AA79">SUM(U80:U87)</f>
        <v>83784</v>
      </c>
      <c r="V79" s="44">
        <f t="shared" si="110"/>
        <v>930</v>
      </c>
      <c r="W79" s="44">
        <f t="shared" si="110"/>
        <v>84714</v>
      </c>
      <c r="X79" s="44">
        <f t="shared" si="110"/>
        <v>0</v>
      </c>
      <c r="Y79" s="44">
        <f t="shared" si="110"/>
        <v>84714</v>
      </c>
      <c r="Z79" s="44">
        <f t="shared" si="110"/>
        <v>44050</v>
      </c>
      <c r="AA79" s="44">
        <f t="shared" si="110"/>
        <v>128764</v>
      </c>
      <c r="AB79" s="44">
        <f aca="true" t="shared" si="111" ref="AB79:AG79">SUM(AB80:AB87)</f>
        <v>0</v>
      </c>
      <c r="AC79" s="44">
        <f t="shared" si="111"/>
        <v>128764</v>
      </c>
      <c r="AD79" s="44">
        <f t="shared" si="111"/>
        <v>0</v>
      </c>
      <c r="AE79" s="44">
        <f t="shared" si="111"/>
        <v>128764</v>
      </c>
      <c r="AF79" s="44">
        <f t="shared" si="111"/>
        <v>47967</v>
      </c>
      <c r="AG79" s="44">
        <f t="shared" si="111"/>
        <v>176731</v>
      </c>
      <c r="AH79" s="44">
        <f aca="true" t="shared" si="112" ref="AH79:AM79">SUM(AH80:AH87)</f>
        <v>0</v>
      </c>
      <c r="AI79" s="44">
        <f t="shared" si="112"/>
        <v>176731</v>
      </c>
      <c r="AJ79" s="44">
        <f t="shared" si="112"/>
        <v>250</v>
      </c>
      <c r="AK79" s="44">
        <f t="shared" si="112"/>
        <v>176981</v>
      </c>
      <c r="AL79" s="44">
        <f t="shared" si="112"/>
        <v>0</v>
      </c>
      <c r="AM79" s="44">
        <f t="shared" si="112"/>
        <v>176981</v>
      </c>
    </row>
    <row r="80" spans="1:39" s="20" customFormat="1" ht="24" customHeight="1">
      <c r="A80" s="55"/>
      <c r="B80" s="55"/>
      <c r="C80" s="56" t="s">
        <v>152</v>
      </c>
      <c r="D80" s="31" t="s">
        <v>118</v>
      </c>
      <c r="E80" s="44">
        <v>400</v>
      </c>
      <c r="F80" s="44"/>
      <c r="G80" s="84">
        <f t="shared" si="5"/>
        <v>400</v>
      </c>
      <c r="H80" s="44"/>
      <c r="I80" s="84">
        <f>SUM(G80:H80)</f>
        <v>400</v>
      </c>
      <c r="J80" s="44"/>
      <c r="K80" s="84">
        <f>SUM(I80:J80)</f>
        <v>400</v>
      </c>
      <c r="L80" s="44"/>
      <c r="M80" s="84">
        <f>SUM(K80:L80)</f>
        <v>400</v>
      </c>
      <c r="N80" s="44"/>
      <c r="O80" s="84">
        <f>SUM(M80:N80)</f>
        <v>400</v>
      </c>
      <c r="P80" s="44"/>
      <c r="Q80" s="84">
        <f>SUM(O80:P80)</f>
        <v>400</v>
      </c>
      <c r="R80" s="44"/>
      <c r="S80" s="84">
        <f>SUM(Q80:R80)</f>
        <v>400</v>
      </c>
      <c r="T80" s="44"/>
      <c r="U80" s="84">
        <f>SUM(S80:T80)</f>
        <v>400</v>
      </c>
      <c r="V80" s="44"/>
      <c r="W80" s="84">
        <f aca="true" t="shared" si="113" ref="W80:W87">SUM(U80:V80)</f>
        <v>400</v>
      </c>
      <c r="X80" s="44"/>
      <c r="Y80" s="84">
        <f aca="true" t="shared" si="114" ref="Y80:Y87">SUM(W80:X80)</f>
        <v>400</v>
      </c>
      <c r="Z80" s="44"/>
      <c r="AA80" s="84">
        <f aca="true" t="shared" si="115" ref="AA80:AA87">SUM(Y80:Z80)</f>
        <v>400</v>
      </c>
      <c r="AB80" s="44"/>
      <c r="AC80" s="84">
        <f aca="true" t="shared" si="116" ref="AC80:AC87">SUM(AA80:AB80)</f>
        <v>400</v>
      </c>
      <c r="AD80" s="44"/>
      <c r="AE80" s="84">
        <f aca="true" t="shared" si="117" ref="AE80:AE87">SUM(AC80:AD80)</f>
        <v>400</v>
      </c>
      <c r="AF80" s="44"/>
      <c r="AG80" s="84">
        <f aca="true" t="shared" si="118" ref="AG80:AG87">SUM(AE80:AF80)</f>
        <v>400</v>
      </c>
      <c r="AH80" s="44"/>
      <c r="AI80" s="84">
        <f aca="true" t="shared" si="119" ref="AI80:AI87">SUM(AG80:AH80)</f>
        <v>400</v>
      </c>
      <c r="AJ80" s="44"/>
      <c r="AK80" s="84">
        <f aca="true" t="shared" si="120" ref="AK80:AK87">SUM(AI80:AJ80)</f>
        <v>400</v>
      </c>
      <c r="AL80" s="44"/>
      <c r="AM80" s="84">
        <f aca="true" t="shared" si="121" ref="AM80:AM87">SUM(AK80:AL80)</f>
        <v>400</v>
      </c>
    </row>
    <row r="81" spans="1:39" s="20" customFormat="1" ht="67.5">
      <c r="A81" s="55"/>
      <c r="B81" s="41"/>
      <c r="C81" s="56" t="s">
        <v>131</v>
      </c>
      <c r="D81" s="31" t="s">
        <v>55</v>
      </c>
      <c r="E81" s="44">
        <v>48899</v>
      </c>
      <c r="F81" s="44"/>
      <c r="G81" s="84">
        <f t="shared" si="5"/>
        <v>48899</v>
      </c>
      <c r="H81" s="44"/>
      <c r="I81" s="84">
        <f>SUM(G81:H81)</f>
        <v>48899</v>
      </c>
      <c r="J81" s="44"/>
      <c r="K81" s="84">
        <f>SUM(I81:J81)</f>
        <v>48899</v>
      </c>
      <c r="L81" s="44"/>
      <c r="M81" s="84">
        <f>SUM(K81:L81)</f>
        <v>48899</v>
      </c>
      <c r="N81" s="44"/>
      <c r="O81" s="84">
        <f>SUM(M81:N81)</f>
        <v>48899</v>
      </c>
      <c r="P81" s="44"/>
      <c r="Q81" s="84">
        <f>SUM(O81:P81)</f>
        <v>48899</v>
      </c>
      <c r="R81" s="44"/>
      <c r="S81" s="84">
        <f>SUM(Q81:R81)</f>
        <v>48899</v>
      </c>
      <c r="T81" s="44"/>
      <c r="U81" s="84">
        <f>SUM(S81:T81)</f>
        <v>48899</v>
      </c>
      <c r="V81" s="44"/>
      <c r="W81" s="84">
        <f t="shared" si="113"/>
        <v>48899</v>
      </c>
      <c r="X81" s="44"/>
      <c r="Y81" s="84">
        <f t="shared" si="114"/>
        <v>48899</v>
      </c>
      <c r="Z81" s="44"/>
      <c r="AA81" s="84">
        <f t="shared" si="115"/>
        <v>48899</v>
      </c>
      <c r="AB81" s="44"/>
      <c r="AC81" s="84">
        <f t="shared" si="116"/>
        <v>48899</v>
      </c>
      <c r="AD81" s="44"/>
      <c r="AE81" s="84">
        <f t="shared" si="117"/>
        <v>48899</v>
      </c>
      <c r="AF81" s="44"/>
      <c r="AG81" s="84">
        <f t="shared" si="118"/>
        <v>48899</v>
      </c>
      <c r="AH81" s="44"/>
      <c r="AI81" s="84">
        <f t="shared" si="119"/>
        <v>48899</v>
      </c>
      <c r="AJ81" s="44">
        <v>250</v>
      </c>
      <c r="AK81" s="84">
        <f t="shared" si="120"/>
        <v>49149</v>
      </c>
      <c r="AL81" s="44"/>
      <c r="AM81" s="84">
        <f t="shared" si="121"/>
        <v>49149</v>
      </c>
    </row>
    <row r="82" spans="1:39" s="20" customFormat="1" ht="23.25" customHeight="1">
      <c r="A82" s="55"/>
      <c r="B82" s="41"/>
      <c r="C82" s="69" t="s">
        <v>132</v>
      </c>
      <c r="D82" s="40" t="s">
        <v>11</v>
      </c>
      <c r="E82" s="44">
        <v>853</v>
      </c>
      <c r="F82" s="44"/>
      <c r="G82" s="84">
        <f>SUM(E82:F82)</f>
        <v>853</v>
      </c>
      <c r="H82" s="44"/>
      <c r="I82" s="84">
        <f>SUM(G82:H82)</f>
        <v>853</v>
      </c>
      <c r="J82" s="44"/>
      <c r="K82" s="84">
        <f>SUM(I82:J82)</f>
        <v>853</v>
      </c>
      <c r="L82" s="44"/>
      <c r="M82" s="84">
        <f>SUM(K82:L82)</f>
        <v>853</v>
      </c>
      <c r="N82" s="44"/>
      <c r="O82" s="84">
        <f>SUM(M82:N82)</f>
        <v>853</v>
      </c>
      <c r="P82" s="44"/>
      <c r="Q82" s="84">
        <f>SUM(O82:P82)</f>
        <v>853</v>
      </c>
      <c r="R82" s="44"/>
      <c r="S82" s="84">
        <f>SUM(Q82:R82)</f>
        <v>853</v>
      </c>
      <c r="T82" s="44"/>
      <c r="U82" s="84">
        <f>SUM(S82:T82)</f>
        <v>853</v>
      </c>
      <c r="V82" s="44"/>
      <c r="W82" s="84">
        <f t="shared" si="113"/>
        <v>853</v>
      </c>
      <c r="X82" s="44"/>
      <c r="Y82" s="84">
        <f t="shared" si="114"/>
        <v>853</v>
      </c>
      <c r="Z82" s="44"/>
      <c r="AA82" s="84">
        <f t="shared" si="115"/>
        <v>853</v>
      </c>
      <c r="AB82" s="44"/>
      <c r="AC82" s="84">
        <f t="shared" si="116"/>
        <v>853</v>
      </c>
      <c r="AD82" s="44"/>
      <c r="AE82" s="84">
        <f t="shared" si="117"/>
        <v>853</v>
      </c>
      <c r="AF82" s="44"/>
      <c r="AG82" s="84">
        <f t="shared" si="118"/>
        <v>853</v>
      </c>
      <c r="AH82" s="44"/>
      <c r="AI82" s="84">
        <f t="shared" si="119"/>
        <v>853</v>
      </c>
      <c r="AJ82" s="44"/>
      <c r="AK82" s="84">
        <f t="shared" si="120"/>
        <v>853</v>
      </c>
      <c r="AL82" s="44"/>
      <c r="AM82" s="84">
        <f t="shared" si="121"/>
        <v>853</v>
      </c>
    </row>
    <row r="83" spans="1:39" s="20" customFormat="1" ht="22.5" customHeight="1">
      <c r="A83" s="55"/>
      <c r="B83" s="41"/>
      <c r="C83" s="69" t="s">
        <v>133</v>
      </c>
      <c r="D83" s="31" t="s">
        <v>12</v>
      </c>
      <c r="E83" s="44">
        <v>22750</v>
      </c>
      <c r="F83" s="44"/>
      <c r="G83" s="84">
        <f>SUM(E83:F83)</f>
        <v>22750</v>
      </c>
      <c r="H83" s="44"/>
      <c r="I83" s="84">
        <f>SUM(G83:H83)</f>
        <v>22750</v>
      </c>
      <c r="J83" s="44"/>
      <c r="K83" s="84">
        <f>SUM(I83:J83)</f>
        <v>22750</v>
      </c>
      <c r="L83" s="44"/>
      <c r="M83" s="84">
        <f>SUM(K83:L83)</f>
        <v>22750</v>
      </c>
      <c r="N83" s="44"/>
      <c r="O83" s="84">
        <f>SUM(M83:N83)</f>
        <v>22750</v>
      </c>
      <c r="P83" s="44"/>
      <c r="Q83" s="84">
        <f>SUM(O83:P83)</f>
        <v>22750</v>
      </c>
      <c r="R83" s="44">
        <v>6100</v>
      </c>
      <c r="S83" s="84">
        <f>SUM(Q83:R83)</f>
        <v>28850</v>
      </c>
      <c r="T83" s="44"/>
      <c r="U83" s="84">
        <f>SUM(S83:T83)</f>
        <v>28850</v>
      </c>
      <c r="V83" s="44">
        <v>600</v>
      </c>
      <c r="W83" s="84">
        <f t="shared" si="113"/>
        <v>29450</v>
      </c>
      <c r="X83" s="44"/>
      <c r="Y83" s="84">
        <f t="shared" si="114"/>
        <v>29450</v>
      </c>
      <c r="Z83" s="44"/>
      <c r="AA83" s="84">
        <f t="shared" si="115"/>
        <v>29450</v>
      </c>
      <c r="AB83" s="44"/>
      <c r="AC83" s="84">
        <f t="shared" si="116"/>
        <v>29450</v>
      </c>
      <c r="AD83" s="44"/>
      <c r="AE83" s="84">
        <f t="shared" si="117"/>
        <v>29450</v>
      </c>
      <c r="AF83" s="44"/>
      <c r="AG83" s="84">
        <f t="shared" si="118"/>
        <v>29450</v>
      </c>
      <c r="AH83" s="44"/>
      <c r="AI83" s="84">
        <f t="shared" si="119"/>
        <v>29450</v>
      </c>
      <c r="AJ83" s="44"/>
      <c r="AK83" s="84">
        <f t="shared" si="120"/>
        <v>29450</v>
      </c>
      <c r="AL83" s="44"/>
      <c r="AM83" s="84">
        <f t="shared" si="121"/>
        <v>29450</v>
      </c>
    </row>
    <row r="84" spans="1:41" s="20" customFormat="1" ht="56.25">
      <c r="A84" s="55"/>
      <c r="B84" s="41"/>
      <c r="C84" s="69">
        <v>2010</v>
      </c>
      <c r="D84" s="50" t="s">
        <v>172</v>
      </c>
      <c r="E84" s="44"/>
      <c r="F84" s="44"/>
      <c r="G84" s="84"/>
      <c r="H84" s="44"/>
      <c r="I84" s="84"/>
      <c r="J84" s="44"/>
      <c r="K84" s="84"/>
      <c r="L84" s="44"/>
      <c r="M84" s="84"/>
      <c r="N84" s="44"/>
      <c r="O84" s="84"/>
      <c r="P84" s="44"/>
      <c r="Q84" s="84"/>
      <c r="R84" s="44"/>
      <c r="S84" s="84"/>
      <c r="T84" s="44"/>
      <c r="U84" s="84"/>
      <c r="V84" s="44"/>
      <c r="W84" s="84"/>
      <c r="X84" s="44"/>
      <c r="Y84" s="84">
        <v>0</v>
      </c>
      <c r="Z84" s="44">
        <v>44050</v>
      </c>
      <c r="AA84" s="84">
        <f t="shared" si="115"/>
        <v>44050</v>
      </c>
      <c r="AB84" s="44"/>
      <c r="AC84" s="84">
        <f t="shared" si="116"/>
        <v>44050</v>
      </c>
      <c r="AD84" s="44"/>
      <c r="AE84" s="84">
        <f t="shared" si="117"/>
        <v>44050</v>
      </c>
      <c r="AF84" s="44"/>
      <c r="AG84" s="84">
        <f t="shared" si="118"/>
        <v>44050</v>
      </c>
      <c r="AH84" s="44"/>
      <c r="AI84" s="84">
        <f t="shared" si="119"/>
        <v>44050</v>
      </c>
      <c r="AJ84" s="44"/>
      <c r="AK84" s="84">
        <f t="shared" si="120"/>
        <v>44050</v>
      </c>
      <c r="AL84" s="44"/>
      <c r="AM84" s="84">
        <f t="shared" si="121"/>
        <v>44050</v>
      </c>
      <c r="AN84" s="67"/>
      <c r="AO84" s="67"/>
    </row>
    <row r="85" spans="1:41" s="20" customFormat="1" ht="33.75">
      <c r="A85" s="55"/>
      <c r="B85" s="41"/>
      <c r="C85" s="69">
        <v>2030</v>
      </c>
      <c r="D85" s="50" t="s">
        <v>173</v>
      </c>
      <c r="E85" s="44"/>
      <c r="F85" s="44"/>
      <c r="G85" s="84"/>
      <c r="H85" s="44"/>
      <c r="I85" s="84"/>
      <c r="J85" s="44"/>
      <c r="K85" s="84"/>
      <c r="L85" s="44"/>
      <c r="M85" s="84"/>
      <c r="N85" s="44"/>
      <c r="O85" s="84"/>
      <c r="P85" s="44"/>
      <c r="Q85" s="84"/>
      <c r="R85" s="44"/>
      <c r="S85" s="84"/>
      <c r="T85" s="44"/>
      <c r="U85" s="84"/>
      <c r="V85" s="44"/>
      <c r="W85" s="84"/>
      <c r="X85" s="44"/>
      <c r="Y85" s="84"/>
      <c r="Z85" s="44"/>
      <c r="AA85" s="84"/>
      <c r="AB85" s="44"/>
      <c r="AC85" s="84"/>
      <c r="AD85" s="44"/>
      <c r="AE85" s="84">
        <v>0</v>
      </c>
      <c r="AF85" s="44">
        <v>47967</v>
      </c>
      <c r="AG85" s="84">
        <f t="shared" si="118"/>
        <v>47967</v>
      </c>
      <c r="AH85" s="44"/>
      <c r="AI85" s="84">
        <f t="shared" si="119"/>
        <v>47967</v>
      </c>
      <c r="AJ85" s="44"/>
      <c r="AK85" s="84">
        <f t="shared" si="120"/>
        <v>47967</v>
      </c>
      <c r="AL85" s="44"/>
      <c r="AM85" s="84">
        <f t="shared" si="121"/>
        <v>47967</v>
      </c>
      <c r="AN85" s="67"/>
      <c r="AO85" s="67"/>
    </row>
    <row r="86" spans="1:41" s="20" customFormat="1" ht="45">
      <c r="A86" s="55"/>
      <c r="B86" s="41"/>
      <c r="C86" s="69">
        <v>2310</v>
      </c>
      <c r="D86" s="31" t="s">
        <v>185</v>
      </c>
      <c r="E86" s="44">
        <v>4782</v>
      </c>
      <c r="F86" s="44"/>
      <c r="G86" s="84">
        <f>SUM(E86:F86)</f>
        <v>4782</v>
      </c>
      <c r="H86" s="44"/>
      <c r="I86" s="84">
        <f>SUM(G86:H86)</f>
        <v>4782</v>
      </c>
      <c r="J86" s="44"/>
      <c r="K86" s="84">
        <f>SUM(I86:J86)</f>
        <v>4782</v>
      </c>
      <c r="L86" s="44"/>
      <c r="M86" s="84">
        <f>SUM(K86:L86)</f>
        <v>4782</v>
      </c>
      <c r="N86" s="44"/>
      <c r="O86" s="84">
        <f>SUM(M86:N86)</f>
        <v>4782</v>
      </c>
      <c r="P86" s="44"/>
      <c r="Q86" s="84">
        <f>SUM(O86:P86)</f>
        <v>4782</v>
      </c>
      <c r="R86" s="44"/>
      <c r="S86" s="84">
        <f>SUM(Q86:R86)</f>
        <v>4782</v>
      </c>
      <c r="T86" s="44"/>
      <c r="U86" s="84">
        <f>SUM(S86:T86)</f>
        <v>4782</v>
      </c>
      <c r="V86" s="44"/>
      <c r="W86" s="84">
        <f t="shared" si="113"/>
        <v>4782</v>
      </c>
      <c r="X86" s="44"/>
      <c r="Y86" s="84">
        <f t="shared" si="114"/>
        <v>4782</v>
      </c>
      <c r="Z86" s="44"/>
      <c r="AA86" s="84">
        <f t="shared" si="115"/>
        <v>4782</v>
      </c>
      <c r="AB86" s="44"/>
      <c r="AC86" s="84">
        <f t="shared" si="116"/>
        <v>4782</v>
      </c>
      <c r="AD86" s="44"/>
      <c r="AE86" s="84">
        <f t="shared" si="117"/>
        <v>4782</v>
      </c>
      <c r="AF86" s="44"/>
      <c r="AG86" s="84">
        <f t="shared" si="118"/>
        <v>4782</v>
      </c>
      <c r="AH86" s="44"/>
      <c r="AI86" s="84">
        <f t="shared" si="119"/>
        <v>4782</v>
      </c>
      <c r="AJ86" s="44"/>
      <c r="AK86" s="84">
        <f t="shared" si="120"/>
        <v>4782</v>
      </c>
      <c r="AL86" s="44"/>
      <c r="AM86" s="84">
        <f t="shared" si="121"/>
        <v>4782</v>
      </c>
      <c r="AN86" s="67"/>
      <c r="AO86" s="67"/>
    </row>
    <row r="87" spans="1:39" s="20" customFormat="1" ht="21.75" customHeight="1">
      <c r="A87" s="55"/>
      <c r="B87" s="41"/>
      <c r="C87" s="69">
        <v>2400</v>
      </c>
      <c r="D87" s="31" t="s">
        <v>259</v>
      </c>
      <c r="E87" s="44"/>
      <c r="F87" s="44"/>
      <c r="G87" s="84"/>
      <c r="H87" s="44"/>
      <c r="I87" s="84"/>
      <c r="J87" s="44"/>
      <c r="K87" s="84"/>
      <c r="L87" s="44"/>
      <c r="M87" s="84"/>
      <c r="N87" s="44"/>
      <c r="O87" s="84"/>
      <c r="P87" s="44"/>
      <c r="Q87" s="84"/>
      <c r="R87" s="44"/>
      <c r="S87" s="84"/>
      <c r="T87" s="44"/>
      <c r="U87" s="84">
        <v>0</v>
      </c>
      <c r="V87" s="44">
        <v>330</v>
      </c>
      <c r="W87" s="84">
        <f t="shared" si="113"/>
        <v>330</v>
      </c>
      <c r="X87" s="44"/>
      <c r="Y87" s="84">
        <f t="shared" si="114"/>
        <v>330</v>
      </c>
      <c r="Z87" s="44"/>
      <c r="AA87" s="84">
        <f t="shared" si="115"/>
        <v>330</v>
      </c>
      <c r="AB87" s="44"/>
      <c r="AC87" s="84">
        <f t="shared" si="116"/>
        <v>330</v>
      </c>
      <c r="AD87" s="44"/>
      <c r="AE87" s="84">
        <f t="shared" si="117"/>
        <v>330</v>
      </c>
      <c r="AF87" s="44"/>
      <c r="AG87" s="84">
        <f t="shared" si="118"/>
        <v>330</v>
      </c>
      <c r="AH87" s="44"/>
      <c r="AI87" s="84">
        <f t="shared" si="119"/>
        <v>330</v>
      </c>
      <c r="AJ87" s="44"/>
      <c r="AK87" s="84">
        <f t="shared" si="120"/>
        <v>330</v>
      </c>
      <c r="AL87" s="44"/>
      <c r="AM87" s="84">
        <f t="shared" si="121"/>
        <v>330</v>
      </c>
    </row>
    <row r="88" spans="1:39" s="20" customFormat="1" ht="24" customHeight="1">
      <c r="A88" s="45"/>
      <c r="B88" s="46">
        <v>80104</v>
      </c>
      <c r="C88" s="47"/>
      <c r="D88" s="31" t="s">
        <v>102</v>
      </c>
      <c r="E88" s="44">
        <f aca="true" t="shared" si="122" ref="E88:AM88">SUM(E89)</f>
        <v>2000</v>
      </c>
      <c r="F88" s="44">
        <f t="shared" si="122"/>
        <v>0</v>
      </c>
      <c r="G88" s="44">
        <f t="shared" si="122"/>
        <v>2000</v>
      </c>
      <c r="H88" s="44">
        <f t="shared" si="122"/>
        <v>0</v>
      </c>
      <c r="I88" s="44">
        <f t="shared" si="122"/>
        <v>2000</v>
      </c>
      <c r="J88" s="44">
        <f t="shared" si="122"/>
        <v>0</v>
      </c>
      <c r="K88" s="44">
        <f t="shared" si="122"/>
        <v>2000</v>
      </c>
      <c r="L88" s="44">
        <f t="shared" si="122"/>
        <v>0</v>
      </c>
      <c r="M88" s="44">
        <f t="shared" si="122"/>
        <v>2000</v>
      </c>
      <c r="N88" s="44">
        <f t="shared" si="122"/>
        <v>0</v>
      </c>
      <c r="O88" s="44">
        <f t="shared" si="122"/>
        <v>2000</v>
      </c>
      <c r="P88" s="44">
        <f t="shared" si="122"/>
        <v>0</v>
      </c>
      <c r="Q88" s="44">
        <f t="shared" si="122"/>
        <v>2000</v>
      </c>
      <c r="R88" s="44">
        <f t="shared" si="122"/>
        <v>0</v>
      </c>
      <c r="S88" s="44">
        <f t="shared" si="122"/>
        <v>2000</v>
      </c>
      <c r="T88" s="44">
        <f t="shared" si="122"/>
        <v>0</v>
      </c>
      <c r="U88" s="44">
        <f t="shared" si="122"/>
        <v>2000</v>
      </c>
      <c r="V88" s="44">
        <f t="shared" si="122"/>
        <v>0</v>
      </c>
      <c r="W88" s="44">
        <f t="shared" si="122"/>
        <v>2000</v>
      </c>
      <c r="X88" s="44">
        <f t="shared" si="122"/>
        <v>0</v>
      </c>
      <c r="Y88" s="44">
        <f t="shared" si="122"/>
        <v>2000</v>
      </c>
      <c r="Z88" s="44">
        <f t="shared" si="122"/>
        <v>0</v>
      </c>
      <c r="AA88" s="44">
        <f t="shared" si="122"/>
        <v>2000</v>
      </c>
      <c r="AB88" s="44">
        <f t="shared" si="122"/>
        <v>0</v>
      </c>
      <c r="AC88" s="44">
        <f t="shared" si="122"/>
        <v>2000</v>
      </c>
      <c r="AD88" s="44">
        <f t="shared" si="122"/>
        <v>0</v>
      </c>
      <c r="AE88" s="44">
        <f t="shared" si="122"/>
        <v>2000</v>
      </c>
      <c r="AF88" s="44">
        <f t="shared" si="122"/>
        <v>0</v>
      </c>
      <c r="AG88" s="44">
        <f t="shared" si="122"/>
        <v>2000</v>
      </c>
      <c r="AH88" s="44">
        <f t="shared" si="122"/>
        <v>0</v>
      </c>
      <c r="AI88" s="44">
        <f t="shared" si="122"/>
        <v>2000</v>
      </c>
      <c r="AJ88" s="44">
        <f t="shared" si="122"/>
        <v>0</v>
      </c>
      <c r="AK88" s="44">
        <f t="shared" si="122"/>
        <v>2000</v>
      </c>
      <c r="AL88" s="44">
        <f t="shared" si="122"/>
        <v>0</v>
      </c>
      <c r="AM88" s="44">
        <f t="shared" si="122"/>
        <v>2000</v>
      </c>
    </row>
    <row r="89" spans="1:39" s="20" customFormat="1" ht="67.5">
      <c r="A89" s="45"/>
      <c r="B89" s="46"/>
      <c r="C89" s="47" t="s">
        <v>131</v>
      </c>
      <c r="D89" s="31" t="s">
        <v>55</v>
      </c>
      <c r="E89" s="44">
        <v>2000</v>
      </c>
      <c r="F89" s="44"/>
      <c r="G89" s="84">
        <f>SUM(E89:F89)</f>
        <v>2000</v>
      </c>
      <c r="H89" s="44"/>
      <c r="I89" s="84">
        <f>SUM(G89:H89)</f>
        <v>2000</v>
      </c>
      <c r="J89" s="44"/>
      <c r="K89" s="84">
        <f>SUM(I89:J89)</f>
        <v>2000</v>
      </c>
      <c r="L89" s="44"/>
      <c r="M89" s="84">
        <f>SUM(K89:L89)</f>
        <v>2000</v>
      </c>
      <c r="N89" s="44"/>
      <c r="O89" s="84">
        <f>SUM(M89:N89)</f>
        <v>2000</v>
      </c>
      <c r="P89" s="44"/>
      <c r="Q89" s="84">
        <f>SUM(O89:P89)</f>
        <v>2000</v>
      </c>
      <c r="R89" s="44"/>
      <c r="S89" s="84">
        <f>SUM(Q89:R89)</f>
        <v>2000</v>
      </c>
      <c r="T89" s="44"/>
      <c r="U89" s="84">
        <f>SUM(S89:T89)</f>
        <v>2000</v>
      </c>
      <c r="V89" s="44"/>
      <c r="W89" s="84">
        <f>SUM(U89:V89)</f>
        <v>2000</v>
      </c>
      <c r="X89" s="44"/>
      <c r="Y89" s="84">
        <f>SUM(W89:X89)</f>
        <v>2000</v>
      </c>
      <c r="Z89" s="44"/>
      <c r="AA89" s="84">
        <f>SUM(Y89:Z89)</f>
        <v>2000</v>
      </c>
      <c r="AB89" s="44"/>
      <c r="AC89" s="84">
        <f>SUM(AA89:AB89)</f>
        <v>2000</v>
      </c>
      <c r="AD89" s="44"/>
      <c r="AE89" s="84">
        <f>SUM(AC89:AD89)</f>
        <v>2000</v>
      </c>
      <c r="AF89" s="44"/>
      <c r="AG89" s="84">
        <f>SUM(AE89:AF89)</f>
        <v>2000</v>
      </c>
      <c r="AH89" s="44"/>
      <c r="AI89" s="84">
        <f>SUM(AG89:AH89)</f>
        <v>2000</v>
      </c>
      <c r="AJ89" s="44"/>
      <c r="AK89" s="84">
        <f>SUM(AI89:AJ89)</f>
        <v>2000</v>
      </c>
      <c r="AL89" s="44"/>
      <c r="AM89" s="84">
        <f>SUM(AK89:AL89)</f>
        <v>2000</v>
      </c>
    </row>
    <row r="90" spans="1:39" s="20" customFormat="1" ht="24" customHeight="1">
      <c r="A90" s="45"/>
      <c r="B90" s="46">
        <v>80110</v>
      </c>
      <c r="C90" s="47"/>
      <c r="D90" s="31" t="s">
        <v>52</v>
      </c>
      <c r="E90" s="44">
        <f aca="true" t="shared" si="123" ref="E90:K90">SUM(E91:E92)</f>
        <v>8519</v>
      </c>
      <c r="F90" s="44">
        <f t="shared" si="123"/>
        <v>0</v>
      </c>
      <c r="G90" s="44">
        <f t="shared" si="123"/>
        <v>8519</v>
      </c>
      <c r="H90" s="44">
        <f t="shared" si="123"/>
        <v>0</v>
      </c>
      <c r="I90" s="44">
        <f t="shared" si="123"/>
        <v>8519</v>
      </c>
      <c r="J90" s="44">
        <f t="shared" si="123"/>
        <v>0</v>
      </c>
      <c r="K90" s="44">
        <f t="shared" si="123"/>
        <v>8519</v>
      </c>
      <c r="L90" s="44">
        <f aca="true" t="shared" si="124" ref="L90:Q90">SUM(L91:L92)</f>
        <v>0</v>
      </c>
      <c r="M90" s="44">
        <f t="shared" si="124"/>
        <v>8519</v>
      </c>
      <c r="N90" s="44">
        <f t="shared" si="124"/>
        <v>0</v>
      </c>
      <c r="O90" s="44">
        <f t="shared" si="124"/>
        <v>8519</v>
      </c>
      <c r="P90" s="44">
        <f t="shared" si="124"/>
        <v>0</v>
      </c>
      <c r="Q90" s="44">
        <f t="shared" si="124"/>
        <v>8519</v>
      </c>
      <c r="R90" s="44">
        <f>SUM(R91:R92)</f>
        <v>0</v>
      </c>
      <c r="S90" s="44">
        <f>SUM(S91:S92)</f>
        <v>8519</v>
      </c>
      <c r="T90" s="44">
        <f>SUM(T91:T92)</f>
        <v>0</v>
      </c>
      <c r="U90" s="44">
        <f aca="true" t="shared" si="125" ref="U90:AA90">SUM(U91:U94)</f>
        <v>8519</v>
      </c>
      <c r="V90" s="44">
        <f t="shared" si="125"/>
        <v>321</v>
      </c>
      <c r="W90" s="44">
        <f t="shared" si="125"/>
        <v>8840</v>
      </c>
      <c r="X90" s="44">
        <f t="shared" si="125"/>
        <v>0</v>
      </c>
      <c r="Y90" s="44">
        <f t="shared" si="125"/>
        <v>8840</v>
      </c>
      <c r="Z90" s="44">
        <f t="shared" si="125"/>
        <v>0</v>
      </c>
      <c r="AA90" s="44">
        <f t="shared" si="125"/>
        <v>8840</v>
      </c>
      <c r="AB90" s="44">
        <f aca="true" t="shared" si="126" ref="AB90:AG90">SUM(AB91:AB94)</f>
        <v>0</v>
      </c>
      <c r="AC90" s="44">
        <f t="shared" si="126"/>
        <v>8840</v>
      </c>
      <c r="AD90" s="44">
        <f t="shared" si="126"/>
        <v>0</v>
      </c>
      <c r="AE90" s="44">
        <f t="shared" si="126"/>
        <v>8840</v>
      </c>
      <c r="AF90" s="44">
        <f t="shared" si="126"/>
        <v>0</v>
      </c>
      <c r="AG90" s="44">
        <f t="shared" si="126"/>
        <v>8840</v>
      </c>
      <c r="AH90" s="44">
        <f aca="true" t="shared" si="127" ref="AH90:AM90">SUM(AH91:AH94)</f>
        <v>0</v>
      </c>
      <c r="AI90" s="44">
        <f t="shared" si="127"/>
        <v>8840</v>
      </c>
      <c r="AJ90" s="44">
        <f t="shared" si="127"/>
        <v>0</v>
      </c>
      <c r="AK90" s="44">
        <f t="shared" si="127"/>
        <v>8840</v>
      </c>
      <c r="AL90" s="44">
        <f t="shared" si="127"/>
        <v>0</v>
      </c>
      <c r="AM90" s="44">
        <f t="shared" si="127"/>
        <v>8840</v>
      </c>
    </row>
    <row r="91" spans="1:39" s="20" customFormat="1" ht="67.5">
      <c r="A91" s="45"/>
      <c r="B91" s="46"/>
      <c r="C91" s="47" t="s">
        <v>131</v>
      </c>
      <c r="D91" s="31" t="s">
        <v>55</v>
      </c>
      <c r="E91" s="44">
        <v>8510</v>
      </c>
      <c r="F91" s="44"/>
      <c r="G91" s="84">
        <f>SUM(E91:F91)</f>
        <v>8510</v>
      </c>
      <c r="H91" s="44"/>
      <c r="I91" s="84">
        <f>SUM(G91:H91)</f>
        <v>8510</v>
      </c>
      <c r="J91" s="44"/>
      <c r="K91" s="84">
        <f>SUM(I91:J91)</f>
        <v>8510</v>
      </c>
      <c r="L91" s="44"/>
      <c r="M91" s="84">
        <f>SUM(K91:L91)</f>
        <v>8510</v>
      </c>
      <c r="N91" s="44"/>
      <c r="O91" s="84">
        <f>SUM(M91:N91)</f>
        <v>8510</v>
      </c>
      <c r="P91" s="44"/>
      <c r="Q91" s="84">
        <f>SUM(O91:P91)</f>
        <v>8510</v>
      </c>
      <c r="R91" s="44"/>
      <c r="S91" s="84">
        <f>SUM(Q91:R91)</f>
        <v>8510</v>
      </c>
      <c r="T91" s="44"/>
      <c r="U91" s="84">
        <f>SUM(S91:T91)</f>
        <v>8510</v>
      </c>
      <c r="V91" s="44"/>
      <c r="W91" s="84">
        <f>SUM(U91:V91)</f>
        <v>8510</v>
      </c>
      <c r="X91" s="44"/>
      <c r="Y91" s="84">
        <f>SUM(W91:X91)</f>
        <v>8510</v>
      </c>
      <c r="Z91" s="44"/>
      <c r="AA91" s="84">
        <f>SUM(Y91:Z91)</f>
        <v>8510</v>
      </c>
      <c r="AB91" s="44"/>
      <c r="AC91" s="84">
        <f>SUM(AA91:AB91)</f>
        <v>8510</v>
      </c>
      <c r="AD91" s="44"/>
      <c r="AE91" s="84">
        <f>SUM(AC91:AD91)</f>
        <v>8510</v>
      </c>
      <c r="AF91" s="44"/>
      <c r="AG91" s="84">
        <f>SUM(AE91:AF91)</f>
        <v>8510</v>
      </c>
      <c r="AH91" s="44"/>
      <c r="AI91" s="84">
        <f>SUM(AG91:AH91)</f>
        <v>8510</v>
      </c>
      <c r="AJ91" s="44"/>
      <c r="AK91" s="84">
        <f>SUM(AI91:AJ91)</f>
        <v>8510</v>
      </c>
      <c r="AL91" s="44"/>
      <c r="AM91" s="84">
        <f>SUM(AK91:AL91)</f>
        <v>8510</v>
      </c>
    </row>
    <row r="92" spans="1:39" s="20" customFormat="1" ht="22.5" customHeight="1">
      <c r="A92" s="45"/>
      <c r="B92" s="46"/>
      <c r="C92" s="47" t="s">
        <v>132</v>
      </c>
      <c r="D92" s="40" t="s">
        <v>11</v>
      </c>
      <c r="E92" s="44">
        <v>9</v>
      </c>
      <c r="F92" s="44"/>
      <c r="G92" s="84">
        <f>SUM(E92:F92)</f>
        <v>9</v>
      </c>
      <c r="H92" s="44"/>
      <c r="I92" s="84">
        <f>SUM(G92:H92)</f>
        <v>9</v>
      </c>
      <c r="J92" s="44"/>
      <c r="K92" s="84">
        <f>SUM(I92:J92)</f>
        <v>9</v>
      </c>
      <c r="L92" s="44"/>
      <c r="M92" s="84">
        <f>SUM(K92:L92)</f>
        <v>9</v>
      </c>
      <c r="N92" s="44"/>
      <c r="O92" s="84">
        <f>SUM(M92:N92)</f>
        <v>9</v>
      </c>
      <c r="P92" s="44"/>
      <c r="Q92" s="84">
        <f>SUM(O92:P92)</f>
        <v>9</v>
      </c>
      <c r="R92" s="44"/>
      <c r="S92" s="84">
        <f>SUM(Q92:R92)</f>
        <v>9</v>
      </c>
      <c r="T92" s="44"/>
      <c r="U92" s="84">
        <f>SUM(S92:T92)</f>
        <v>9</v>
      </c>
      <c r="V92" s="44"/>
      <c r="W92" s="84">
        <f>SUM(U92:V92)</f>
        <v>9</v>
      </c>
      <c r="X92" s="44"/>
      <c r="Y92" s="84">
        <f>SUM(W92:X92)</f>
        <v>9</v>
      </c>
      <c r="Z92" s="44"/>
      <c r="AA92" s="84">
        <f>SUM(Y92:Z92)</f>
        <v>9</v>
      </c>
      <c r="AB92" s="44"/>
      <c r="AC92" s="84">
        <f>SUM(AA92:AB92)</f>
        <v>9</v>
      </c>
      <c r="AD92" s="44"/>
      <c r="AE92" s="84">
        <f>SUM(AC92:AD92)</f>
        <v>9</v>
      </c>
      <c r="AF92" s="44"/>
      <c r="AG92" s="84">
        <f>SUM(AE92:AF92)</f>
        <v>9</v>
      </c>
      <c r="AH92" s="44"/>
      <c r="AI92" s="84">
        <f>SUM(AG92:AH92)</f>
        <v>9</v>
      </c>
      <c r="AJ92" s="44"/>
      <c r="AK92" s="84">
        <f>SUM(AI92:AJ92)</f>
        <v>9</v>
      </c>
      <c r="AL92" s="44"/>
      <c r="AM92" s="84">
        <f>SUM(AK92:AL92)</f>
        <v>9</v>
      </c>
    </row>
    <row r="93" spans="1:39" s="20" customFormat="1" ht="22.5" customHeight="1">
      <c r="A93" s="45"/>
      <c r="B93" s="46"/>
      <c r="C93" s="47" t="s">
        <v>133</v>
      </c>
      <c r="D93" s="31" t="s">
        <v>12</v>
      </c>
      <c r="E93" s="44"/>
      <c r="F93" s="44"/>
      <c r="G93" s="84"/>
      <c r="H93" s="44"/>
      <c r="I93" s="84"/>
      <c r="J93" s="44"/>
      <c r="K93" s="84"/>
      <c r="L93" s="44"/>
      <c r="M93" s="84"/>
      <c r="N93" s="44"/>
      <c r="O93" s="84"/>
      <c r="P93" s="44"/>
      <c r="Q93" s="84"/>
      <c r="R93" s="44"/>
      <c r="S93" s="84"/>
      <c r="T93" s="44"/>
      <c r="U93" s="84">
        <v>0</v>
      </c>
      <c r="V93" s="44">
        <v>320</v>
      </c>
      <c r="W93" s="84">
        <f>SUM(U93:V93)</f>
        <v>320</v>
      </c>
      <c r="X93" s="44"/>
      <c r="Y93" s="84">
        <f>SUM(W93:X93)</f>
        <v>320</v>
      </c>
      <c r="Z93" s="44"/>
      <c r="AA93" s="84">
        <f>SUM(Y93:Z93)</f>
        <v>320</v>
      </c>
      <c r="AB93" s="44"/>
      <c r="AC93" s="84">
        <f>SUM(AA93:AB93)</f>
        <v>320</v>
      </c>
      <c r="AD93" s="44"/>
      <c r="AE93" s="84">
        <f>SUM(AC93:AD93)</f>
        <v>320</v>
      </c>
      <c r="AF93" s="44"/>
      <c r="AG93" s="84">
        <f>SUM(AE93:AF93)</f>
        <v>320</v>
      </c>
      <c r="AH93" s="44"/>
      <c r="AI93" s="84">
        <f>SUM(AG93:AH93)</f>
        <v>320</v>
      </c>
      <c r="AJ93" s="44"/>
      <c r="AK93" s="84">
        <f>SUM(AI93:AJ93)</f>
        <v>320</v>
      </c>
      <c r="AL93" s="44"/>
      <c r="AM93" s="84">
        <f>SUM(AK93:AL93)</f>
        <v>320</v>
      </c>
    </row>
    <row r="94" spans="1:39" s="20" customFormat="1" ht="22.5" customHeight="1">
      <c r="A94" s="45"/>
      <c r="B94" s="46"/>
      <c r="C94" s="47">
        <v>2400</v>
      </c>
      <c r="D94" s="31" t="s">
        <v>259</v>
      </c>
      <c r="E94" s="44"/>
      <c r="F94" s="44"/>
      <c r="G94" s="84"/>
      <c r="H94" s="44"/>
      <c r="I94" s="84"/>
      <c r="J94" s="44"/>
      <c r="K94" s="84"/>
      <c r="L94" s="44"/>
      <c r="M94" s="84"/>
      <c r="N94" s="44"/>
      <c r="O94" s="84"/>
      <c r="P94" s="44"/>
      <c r="Q94" s="84"/>
      <c r="R94" s="44"/>
      <c r="S94" s="84"/>
      <c r="T94" s="44"/>
      <c r="U94" s="84">
        <v>0</v>
      </c>
      <c r="V94" s="44">
        <v>1</v>
      </c>
      <c r="W94" s="84">
        <f>SUM(U94:V94)</f>
        <v>1</v>
      </c>
      <c r="X94" s="44"/>
      <c r="Y94" s="84">
        <f>SUM(W94:X94)</f>
        <v>1</v>
      </c>
      <c r="Z94" s="44"/>
      <c r="AA94" s="84">
        <f>SUM(Y94:Z94)</f>
        <v>1</v>
      </c>
      <c r="AB94" s="44"/>
      <c r="AC94" s="84">
        <f>SUM(AA94:AB94)</f>
        <v>1</v>
      </c>
      <c r="AD94" s="44"/>
      <c r="AE94" s="84">
        <f>SUM(AC94:AD94)</f>
        <v>1</v>
      </c>
      <c r="AF94" s="44"/>
      <c r="AG94" s="84">
        <f>SUM(AE94:AF94)</f>
        <v>1</v>
      </c>
      <c r="AH94" s="44"/>
      <c r="AI94" s="84">
        <f>SUM(AG94:AH94)</f>
        <v>1</v>
      </c>
      <c r="AJ94" s="44"/>
      <c r="AK94" s="84">
        <f>SUM(AI94:AJ94)</f>
        <v>1</v>
      </c>
      <c r="AL94" s="44"/>
      <c r="AM94" s="84">
        <f>SUM(AK94:AL94)</f>
        <v>1</v>
      </c>
    </row>
    <row r="95" spans="1:39" s="20" customFormat="1" ht="22.5" customHeight="1">
      <c r="A95" s="45"/>
      <c r="B95" s="46">
        <v>80148</v>
      </c>
      <c r="C95" s="47"/>
      <c r="D95" s="40" t="s">
        <v>191</v>
      </c>
      <c r="E95" s="44">
        <f aca="true" t="shared" si="128" ref="E95:K95">SUM(E96:E97)</f>
        <v>129806</v>
      </c>
      <c r="F95" s="44">
        <f t="shared" si="128"/>
        <v>0</v>
      </c>
      <c r="G95" s="44">
        <f t="shared" si="128"/>
        <v>129806</v>
      </c>
      <c r="H95" s="44">
        <f t="shared" si="128"/>
        <v>0</v>
      </c>
      <c r="I95" s="44">
        <f t="shared" si="128"/>
        <v>129806</v>
      </c>
      <c r="J95" s="44">
        <f t="shared" si="128"/>
        <v>0</v>
      </c>
      <c r="K95" s="44">
        <f t="shared" si="128"/>
        <v>129806</v>
      </c>
      <c r="L95" s="44">
        <f aca="true" t="shared" si="129" ref="L95:Q95">SUM(L96:L97)</f>
        <v>0</v>
      </c>
      <c r="M95" s="44">
        <f t="shared" si="129"/>
        <v>129806</v>
      </c>
      <c r="N95" s="44">
        <f t="shared" si="129"/>
        <v>0</v>
      </c>
      <c r="O95" s="44">
        <f t="shared" si="129"/>
        <v>129806</v>
      </c>
      <c r="P95" s="44">
        <f t="shared" si="129"/>
        <v>0</v>
      </c>
      <c r="Q95" s="44">
        <f t="shared" si="129"/>
        <v>129806</v>
      </c>
      <c r="R95" s="44">
        <f aca="true" t="shared" si="130" ref="R95:W95">SUM(R96:R97)</f>
        <v>0</v>
      </c>
      <c r="S95" s="44">
        <f t="shared" si="130"/>
        <v>129806</v>
      </c>
      <c r="T95" s="44">
        <f t="shared" si="130"/>
        <v>0</v>
      </c>
      <c r="U95" s="44">
        <f t="shared" si="130"/>
        <v>129806</v>
      </c>
      <c r="V95" s="44">
        <f t="shared" si="130"/>
        <v>0</v>
      </c>
      <c r="W95" s="44">
        <f t="shared" si="130"/>
        <v>129806</v>
      </c>
      <c r="X95" s="44">
        <f aca="true" t="shared" si="131" ref="X95:AC95">SUM(X96:X97)</f>
        <v>0</v>
      </c>
      <c r="Y95" s="44">
        <f t="shared" si="131"/>
        <v>129806</v>
      </c>
      <c r="Z95" s="44">
        <f t="shared" si="131"/>
        <v>0</v>
      </c>
      <c r="AA95" s="44">
        <f t="shared" si="131"/>
        <v>129806</v>
      </c>
      <c r="AB95" s="44">
        <f t="shared" si="131"/>
        <v>0</v>
      </c>
      <c r="AC95" s="44">
        <f t="shared" si="131"/>
        <v>129806</v>
      </c>
      <c r="AD95" s="44">
        <f aca="true" t="shared" si="132" ref="AD95:AI95">SUM(AD96:AD97)</f>
        <v>0</v>
      </c>
      <c r="AE95" s="44">
        <f t="shared" si="132"/>
        <v>129806</v>
      </c>
      <c r="AF95" s="44">
        <f t="shared" si="132"/>
        <v>0</v>
      </c>
      <c r="AG95" s="44">
        <f t="shared" si="132"/>
        <v>129806</v>
      </c>
      <c r="AH95" s="44">
        <f t="shared" si="132"/>
        <v>0</v>
      </c>
      <c r="AI95" s="44">
        <f t="shared" si="132"/>
        <v>129806</v>
      </c>
      <c r="AJ95" s="44">
        <f>SUM(AJ96:AJ97)</f>
        <v>230</v>
      </c>
      <c r="AK95" s="44">
        <f>SUM(AK96:AK97)</f>
        <v>130036</v>
      </c>
      <c r="AL95" s="44">
        <f>SUM(AL96:AL97)</f>
        <v>0</v>
      </c>
      <c r="AM95" s="44">
        <f>SUM(AM96:AM97)</f>
        <v>130036</v>
      </c>
    </row>
    <row r="96" spans="1:39" s="20" customFormat="1" ht="22.5" customHeight="1">
      <c r="A96" s="45"/>
      <c r="B96" s="46"/>
      <c r="C96" s="47" t="s">
        <v>162</v>
      </c>
      <c r="D96" s="40" t="s">
        <v>163</v>
      </c>
      <c r="E96" s="44">
        <v>129800</v>
      </c>
      <c r="F96" s="44"/>
      <c r="G96" s="57">
        <f>SUM(E96:F96)</f>
        <v>129800</v>
      </c>
      <c r="H96" s="44"/>
      <c r="I96" s="57">
        <f>SUM(G96:H96)</f>
        <v>129800</v>
      </c>
      <c r="J96" s="44"/>
      <c r="K96" s="57">
        <f>SUM(I96:J96)</f>
        <v>129800</v>
      </c>
      <c r="L96" s="44"/>
      <c r="M96" s="57">
        <f>SUM(K96:L96)</f>
        <v>129800</v>
      </c>
      <c r="N96" s="44"/>
      <c r="O96" s="57">
        <f>SUM(M96:N96)</f>
        <v>129800</v>
      </c>
      <c r="P96" s="44"/>
      <c r="Q96" s="57">
        <f>SUM(O96:P96)</f>
        <v>129800</v>
      </c>
      <c r="R96" s="44"/>
      <c r="S96" s="57">
        <f>SUM(Q96:R96)</f>
        <v>129800</v>
      </c>
      <c r="T96" s="44"/>
      <c r="U96" s="57">
        <f>SUM(S96:T96)</f>
        <v>129800</v>
      </c>
      <c r="V96" s="44"/>
      <c r="W96" s="57">
        <f>SUM(U96:V96)</f>
        <v>129800</v>
      </c>
      <c r="X96" s="44"/>
      <c r="Y96" s="57">
        <f>SUM(W96:X96)</f>
        <v>129800</v>
      </c>
      <c r="Z96" s="44"/>
      <c r="AA96" s="57">
        <f>SUM(Y96:Z96)</f>
        <v>129800</v>
      </c>
      <c r="AB96" s="44"/>
      <c r="AC96" s="57">
        <f>SUM(AA96:AB96)</f>
        <v>129800</v>
      </c>
      <c r="AD96" s="44"/>
      <c r="AE96" s="57">
        <f>SUM(AC96:AD96)</f>
        <v>129800</v>
      </c>
      <c r="AF96" s="44"/>
      <c r="AG96" s="57">
        <f>SUM(AE96:AF96)</f>
        <v>129800</v>
      </c>
      <c r="AH96" s="44"/>
      <c r="AI96" s="57">
        <f>SUM(AG96:AH96)</f>
        <v>129800</v>
      </c>
      <c r="AJ96" s="44">
        <v>230</v>
      </c>
      <c r="AK96" s="57">
        <f>SUM(AI96:AJ96)</f>
        <v>130030</v>
      </c>
      <c r="AL96" s="44"/>
      <c r="AM96" s="57">
        <f>SUM(AK96:AL96)</f>
        <v>130030</v>
      </c>
    </row>
    <row r="97" spans="1:39" s="20" customFormat="1" ht="22.5" customHeight="1">
      <c r="A97" s="45"/>
      <c r="B97" s="46"/>
      <c r="C97" s="47" t="s">
        <v>132</v>
      </c>
      <c r="D97" s="40" t="s">
        <v>11</v>
      </c>
      <c r="E97" s="44">
        <v>6</v>
      </c>
      <c r="F97" s="44"/>
      <c r="G97" s="84">
        <f>SUM(E97:F97)</f>
        <v>6</v>
      </c>
      <c r="H97" s="44"/>
      <c r="I97" s="84">
        <f>SUM(G97:H97)</f>
        <v>6</v>
      </c>
      <c r="J97" s="44"/>
      <c r="K97" s="84">
        <f>SUM(I97:J97)</f>
        <v>6</v>
      </c>
      <c r="L97" s="44"/>
      <c r="M97" s="84">
        <f>SUM(K97:L97)</f>
        <v>6</v>
      </c>
      <c r="N97" s="44"/>
      <c r="O97" s="84">
        <f>SUM(M97:N97)</f>
        <v>6</v>
      </c>
      <c r="P97" s="44"/>
      <c r="Q97" s="84">
        <f>SUM(O97:P97)</f>
        <v>6</v>
      </c>
      <c r="R97" s="44"/>
      <c r="S97" s="84">
        <f>SUM(Q97:R97)</f>
        <v>6</v>
      </c>
      <c r="T97" s="44"/>
      <c r="U97" s="84">
        <f>SUM(S97:T97)</f>
        <v>6</v>
      </c>
      <c r="V97" s="44"/>
      <c r="W97" s="84">
        <f>SUM(U97:V97)</f>
        <v>6</v>
      </c>
      <c r="X97" s="44"/>
      <c r="Y97" s="84">
        <f>SUM(W97:X97)</f>
        <v>6</v>
      </c>
      <c r="Z97" s="44"/>
      <c r="AA97" s="84">
        <f>SUM(Y97:Z97)</f>
        <v>6</v>
      </c>
      <c r="AB97" s="44"/>
      <c r="AC97" s="84">
        <f>SUM(AA97:AB97)</f>
        <v>6</v>
      </c>
      <c r="AD97" s="44"/>
      <c r="AE97" s="84">
        <f>SUM(AC97:AD97)</f>
        <v>6</v>
      </c>
      <c r="AF97" s="44"/>
      <c r="AG97" s="84">
        <f>SUM(AE97:AF97)</f>
        <v>6</v>
      </c>
      <c r="AH97" s="44"/>
      <c r="AI97" s="84">
        <f>SUM(AG97:AH97)</f>
        <v>6</v>
      </c>
      <c r="AJ97" s="44"/>
      <c r="AK97" s="84">
        <f>SUM(AI97:AJ97)</f>
        <v>6</v>
      </c>
      <c r="AL97" s="44"/>
      <c r="AM97" s="84">
        <f>SUM(AK97:AL97)</f>
        <v>6</v>
      </c>
    </row>
    <row r="98" spans="1:39" s="20" customFormat="1" ht="24" customHeight="1">
      <c r="A98" s="45"/>
      <c r="B98" s="46">
        <v>80195</v>
      </c>
      <c r="C98" s="47"/>
      <c r="D98" s="40" t="s">
        <v>6</v>
      </c>
      <c r="E98" s="44">
        <f aca="true" t="shared" si="133" ref="E98:AM98">SUM(E99)</f>
        <v>50986</v>
      </c>
      <c r="F98" s="44">
        <f t="shared" si="133"/>
        <v>0</v>
      </c>
      <c r="G98" s="44">
        <f t="shared" si="133"/>
        <v>50986</v>
      </c>
      <c r="H98" s="44">
        <f t="shared" si="133"/>
        <v>0</v>
      </c>
      <c r="I98" s="44">
        <f t="shared" si="133"/>
        <v>50986</v>
      </c>
      <c r="J98" s="44">
        <f t="shared" si="133"/>
        <v>0</v>
      </c>
      <c r="K98" s="44">
        <f t="shared" si="133"/>
        <v>50986</v>
      </c>
      <c r="L98" s="44">
        <f t="shared" si="133"/>
        <v>0</v>
      </c>
      <c r="M98" s="44">
        <f t="shared" si="133"/>
        <v>50986</v>
      </c>
      <c r="N98" s="44">
        <f t="shared" si="133"/>
        <v>0</v>
      </c>
      <c r="O98" s="44">
        <f t="shared" si="133"/>
        <v>50986</v>
      </c>
      <c r="P98" s="44">
        <f t="shared" si="133"/>
        <v>0</v>
      </c>
      <c r="Q98" s="44">
        <f t="shared" si="133"/>
        <v>50986</v>
      </c>
      <c r="R98" s="44">
        <f t="shared" si="133"/>
        <v>0</v>
      </c>
      <c r="S98" s="44">
        <f t="shared" si="133"/>
        <v>50986</v>
      </c>
      <c r="T98" s="44">
        <f t="shared" si="133"/>
        <v>0</v>
      </c>
      <c r="U98" s="44">
        <f t="shared" si="133"/>
        <v>50986</v>
      </c>
      <c r="V98" s="44">
        <f t="shared" si="133"/>
        <v>0</v>
      </c>
      <c r="W98" s="44">
        <f t="shared" si="133"/>
        <v>50986</v>
      </c>
      <c r="X98" s="44">
        <f t="shared" si="133"/>
        <v>0</v>
      </c>
      <c r="Y98" s="44">
        <f t="shared" si="133"/>
        <v>50986</v>
      </c>
      <c r="Z98" s="44">
        <f t="shared" si="133"/>
        <v>0</v>
      </c>
      <c r="AA98" s="44">
        <f t="shared" si="133"/>
        <v>50986</v>
      </c>
      <c r="AB98" s="44">
        <f t="shared" si="133"/>
        <v>0</v>
      </c>
      <c r="AC98" s="44">
        <f t="shared" si="133"/>
        <v>50986</v>
      </c>
      <c r="AD98" s="44">
        <f t="shared" si="133"/>
        <v>-50986</v>
      </c>
      <c r="AE98" s="44">
        <f t="shared" si="133"/>
        <v>0</v>
      </c>
      <c r="AF98" s="44">
        <f t="shared" si="133"/>
        <v>528</v>
      </c>
      <c r="AG98" s="44">
        <f t="shared" si="133"/>
        <v>528</v>
      </c>
      <c r="AH98" s="44">
        <f t="shared" si="133"/>
        <v>0</v>
      </c>
      <c r="AI98" s="44">
        <f t="shared" si="133"/>
        <v>528</v>
      </c>
      <c r="AJ98" s="44">
        <f t="shared" si="133"/>
        <v>0</v>
      </c>
      <c r="AK98" s="44">
        <f t="shared" si="133"/>
        <v>528</v>
      </c>
      <c r="AL98" s="44">
        <f t="shared" si="133"/>
        <v>0</v>
      </c>
      <c r="AM98" s="44">
        <f t="shared" si="133"/>
        <v>528</v>
      </c>
    </row>
    <row r="99" spans="1:41" s="20" customFormat="1" ht="33.75">
      <c r="A99" s="45"/>
      <c r="B99" s="46"/>
      <c r="C99" s="47">
        <v>2030</v>
      </c>
      <c r="D99" s="50" t="s">
        <v>173</v>
      </c>
      <c r="E99" s="44">
        <v>50986</v>
      </c>
      <c r="F99" s="44"/>
      <c r="G99" s="84">
        <f>SUM(E99:F99)</f>
        <v>50986</v>
      </c>
      <c r="H99" s="44"/>
      <c r="I99" s="84">
        <f>SUM(G99:H99)</f>
        <v>50986</v>
      </c>
      <c r="J99" s="44"/>
      <c r="K99" s="84">
        <f>SUM(I99:J99)</f>
        <v>50986</v>
      </c>
      <c r="L99" s="44"/>
      <c r="M99" s="84">
        <f>SUM(K99:L99)</f>
        <v>50986</v>
      </c>
      <c r="N99" s="44"/>
      <c r="O99" s="84">
        <f>SUM(M99:N99)</f>
        <v>50986</v>
      </c>
      <c r="P99" s="44"/>
      <c r="Q99" s="84">
        <f>SUM(O99:P99)</f>
        <v>50986</v>
      </c>
      <c r="R99" s="44"/>
      <c r="S99" s="84">
        <f>SUM(Q99:R99)</f>
        <v>50986</v>
      </c>
      <c r="T99" s="44"/>
      <c r="U99" s="84">
        <f>SUM(S99:T99)</f>
        <v>50986</v>
      </c>
      <c r="V99" s="44"/>
      <c r="W99" s="84">
        <f>SUM(U99:V99)</f>
        <v>50986</v>
      </c>
      <c r="X99" s="44"/>
      <c r="Y99" s="84">
        <f>SUM(W99:X99)</f>
        <v>50986</v>
      </c>
      <c r="Z99" s="44"/>
      <c r="AA99" s="84">
        <f>SUM(Y99:Z99)</f>
        <v>50986</v>
      </c>
      <c r="AB99" s="44"/>
      <c r="AC99" s="84">
        <f>SUM(AA99:AB99)</f>
        <v>50986</v>
      </c>
      <c r="AD99" s="44">
        <v>-50986</v>
      </c>
      <c r="AE99" s="84">
        <f>SUM(AC99:AD99)</f>
        <v>0</v>
      </c>
      <c r="AF99" s="44">
        <v>528</v>
      </c>
      <c r="AG99" s="84">
        <f>SUM(AE99:AF99)</f>
        <v>528</v>
      </c>
      <c r="AH99" s="44"/>
      <c r="AI99" s="84">
        <f>SUM(AG99:AH99)</f>
        <v>528</v>
      </c>
      <c r="AJ99" s="44"/>
      <c r="AK99" s="84">
        <f>SUM(AI99:AJ99)</f>
        <v>528</v>
      </c>
      <c r="AL99" s="44"/>
      <c r="AM99" s="84">
        <f>SUM(AK99:AL99)</f>
        <v>528</v>
      </c>
      <c r="AN99" s="67"/>
      <c r="AO99" s="67"/>
    </row>
    <row r="100" spans="1:39" s="5" customFormat="1" ht="24.75" customHeight="1">
      <c r="A100" s="23" t="s">
        <v>125</v>
      </c>
      <c r="B100" s="1"/>
      <c r="C100" s="2"/>
      <c r="D100" s="24" t="s">
        <v>157</v>
      </c>
      <c r="E100" s="39">
        <f aca="true" t="shared" si="134" ref="E100:AE100">SUM(E101,E103,E106,E110,E115,)</f>
        <v>9133600</v>
      </c>
      <c r="F100" s="39">
        <f t="shared" si="134"/>
        <v>0</v>
      </c>
      <c r="G100" s="39">
        <f t="shared" si="134"/>
        <v>9133600</v>
      </c>
      <c r="H100" s="39">
        <f t="shared" si="134"/>
        <v>0</v>
      </c>
      <c r="I100" s="39">
        <f t="shared" si="134"/>
        <v>9133600</v>
      </c>
      <c r="J100" s="39">
        <f t="shared" si="134"/>
        <v>312600</v>
      </c>
      <c r="K100" s="39">
        <f t="shared" si="134"/>
        <v>9446200</v>
      </c>
      <c r="L100" s="39">
        <f t="shared" si="134"/>
        <v>13050</v>
      </c>
      <c r="M100" s="39">
        <f t="shared" si="134"/>
        <v>9459250</v>
      </c>
      <c r="N100" s="39">
        <f t="shared" si="134"/>
        <v>75000</v>
      </c>
      <c r="O100" s="39">
        <f t="shared" si="134"/>
        <v>9534250</v>
      </c>
      <c r="P100" s="39">
        <f t="shared" si="134"/>
        <v>0</v>
      </c>
      <c r="Q100" s="39">
        <f t="shared" si="134"/>
        <v>9534250</v>
      </c>
      <c r="R100" s="39">
        <f t="shared" si="134"/>
        <v>0</v>
      </c>
      <c r="S100" s="39">
        <f t="shared" si="134"/>
        <v>9534250</v>
      </c>
      <c r="T100" s="39">
        <f t="shared" si="134"/>
        <v>0</v>
      </c>
      <c r="U100" s="39">
        <f t="shared" si="134"/>
        <v>9534250</v>
      </c>
      <c r="V100" s="39">
        <f t="shared" si="134"/>
        <v>2750</v>
      </c>
      <c r="W100" s="39">
        <f t="shared" si="134"/>
        <v>9537000</v>
      </c>
      <c r="X100" s="39">
        <f t="shared" si="134"/>
        <v>0</v>
      </c>
      <c r="Y100" s="39">
        <f t="shared" si="134"/>
        <v>9537000</v>
      </c>
      <c r="Z100" s="39">
        <f t="shared" si="134"/>
        <v>196618</v>
      </c>
      <c r="AA100" s="39">
        <f t="shared" si="134"/>
        <v>9733618</v>
      </c>
      <c r="AB100" s="39">
        <f t="shared" si="134"/>
        <v>0</v>
      </c>
      <c r="AC100" s="39">
        <f t="shared" si="134"/>
        <v>9733618</v>
      </c>
      <c r="AD100" s="39">
        <f t="shared" si="134"/>
        <v>-803079</v>
      </c>
      <c r="AE100" s="39">
        <f t="shared" si="134"/>
        <v>8930539</v>
      </c>
      <c r="AF100" s="39">
        <f aca="true" t="shared" si="135" ref="AF100:AK100">SUM(AF101,AF103,AF106,AF110,AF115,)</f>
        <v>7150</v>
      </c>
      <c r="AG100" s="39">
        <f t="shared" si="135"/>
        <v>8937689</v>
      </c>
      <c r="AH100" s="39">
        <f t="shared" si="135"/>
        <v>0</v>
      </c>
      <c r="AI100" s="39">
        <f t="shared" si="135"/>
        <v>8937689</v>
      </c>
      <c r="AJ100" s="39">
        <f t="shared" si="135"/>
        <v>300179</v>
      </c>
      <c r="AK100" s="39">
        <f t="shared" si="135"/>
        <v>9237868</v>
      </c>
      <c r="AL100" s="39">
        <f>SUM(AL101,AL103,AL106,AL110,AL115,)</f>
        <v>0</v>
      </c>
      <c r="AM100" s="39">
        <f>SUM(AM101,AM103,AM106,AM110,AM115,)</f>
        <v>9237868</v>
      </c>
    </row>
    <row r="101" spans="1:39" s="20" customFormat="1" ht="45">
      <c r="A101" s="45"/>
      <c r="B101" s="34">
        <v>85212</v>
      </c>
      <c r="C101" s="52"/>
      <c r="D101" s="50" t="s">
        <v>216</v>
      </c>
      <c r="E101" s="44">
        <f aca="true" t="shared" si="136" ref="E101:AB101">SUM(E102:E102)</f>
        <v>6479100</v>
      </c>
      <c r="F101" s="44">
        <f t="shared" si="136"/>
        <v>0</v>
      </c>
      <c r="G101" s="44">
        <f t="shared" si="136"/>
        <v>6479100</v>
      </c>
      <c r="H101" s="44">
        <f t="shared" si="136"/>
        <v>0</v>
      </c>
      <c r="I101" s="44">
        <f t="shared" si="136"/>
        <v>6479100</v>
      </c>
      <c r="J101" s="44">
        <f t="shared" si="136"/>
        <v>334300</v>
      </c>
      <c r="K101" s="44">
        <f t="shared" si="136"/>
        <v>6813400</v>
      </c>
      <c r="L101" s="44">
        <f t="shared" si="136"/>
        <v>0</v>
      </c>
      <c r="M101" s="44">
        <f t="shared" si="136"/>
        <v>6813400</v>
      </c>
      <c r="N101" s="44">
        <f t="shared" si="136"/>
        <v>0</v>
      </c>
      <c r="O101" s="44">
        <f t="shared" si="136"/>
        <v>6813400</v>
      </c>
      <c r="P101" s="44">
        <f t="shared" si="136"/>
        <v>0</v>
      </c>
      <c r="Q101" s="44">
        <f t="shared" si="136"/>
        <v>6813400</v>
      </c>
      <c r="R101" s="44">
        <f t="shared" si="136"/>
        <v>0</v>
      </c>
      <c r="S101" s="44">
        <f t="shared" si="136"/>
        <v>6813400</v>
      </c>
      <c r="T101" s="44">
        <f t="shared" si="136"/>
        <v>0</v>
      </c>
      <c r="U101" s="44">
        <f t="shared" si="136"/>
        <v>6813400</v>
      </c>
      <c r="V101" s="44">
        <f t="shared" si="136"/>
        <v>0</v>
      </c>
      <c r="W101" s="44">
        <f t="shared" si="136"/>
        <v>6813400</v>
      </c>
      <c r="X101" s="44">
        <f t="shared" si="136"/>
        <v>0</v>
      </c>
      <c r="Y101" s="44">
        <f t="shared" si="136"/>
        <v>6813400</v>
      </c>
      <c r="Z101" s="44">
        <f t="shared" si="136"/>
        <v>0</v>
      </c>
      <c r="AA101" s="44">
        <f t="shared" si="136"/>
        <v>6813400</v>
      </c>
      <c r="AB101" s="44">
        <f t="shared" si="136"/>
        <v>0</v>
      </c>
      <c r="AC101" s="44">
        <f aca="true" t="shared" si="137" ref="AC101:AM101">SUM(AC102:AC102)</f>
        <v>6813400</v>
      </c>
      <c r="AD101" s="44">
        <f t="shared" si="137"/>
        <v>-763299</v>
      </c>
      <c r="AE101" s="44">
        <f t="shared" si="137"/>
        <v>6050101</v>
      </c>
      <c r="AF101" s="44">
        <f t="shared" si="137"/>
        <v>-300000</v>
      </c>
      <c r="AG101" s="44">
        <f t="shared" si="137"/>
        <v>5750101</v>
      </c>
      <c r="AH101" s="44">
        <f t="shared" si="137"/>
        <v>0</v>
      </c>
      <c r="AI101" s="44">
        <f t="shared" si="137"/>
        <v>5750101</v>
      </c>
      <c r="AJ101" s="44">
        <f t="shared" si="137"/>
        <v>288824</v>
      </c>
      <c r="AK101" s="44">
        <f t="shared" si="137"/>
        <v>6038925</v>
      </c>
      <c r="AL101" s="44">
        <f t="shared" si="137"/>
        <v>0</v>
      </c>
      <c r="AM101" s="44">
        <f t="shared" si="137"/>
        <v>6038925</v>
      </c>
    </row>
    <row r="102" spans="1:41" s="20" customFormat="1" ht="56.25">
      <c r="A102" s="45"/>
      <c r="B102" s="34"/>
      <c r="C102" s="52">
        <v>2010</v>
      </c>
      <c r="D102" s="50" t="s">
        <v>172</v>
      </c>
      <c r="E102" s="44">
        <v>6479100</v>
      </c>
      <c r="F102" s="44"/>
      <c r="G102" s="84">
        <f>SUM(E102:F102)</f>
        <v>6479100</v>
      </c>
      <c r="H102" s="44"/>
      <c r="I102" s="84">
        <f>SUM(G102:H102)</f>
        <v>6479100</v>
      </c>
      <c r="J102" s="44">
        <v>334300</v>
      </c>
      <c r="K102" s="84">
        <f>SUM(I102:J102)</f>
        <v>6813400</v>
      </c>
      <c r="L102" s="44"/>
      <c r="M102" s="84">
        <f>SUM(K102:L102)</f>
        <v>6813400</v>
      </c>
      <c r="N102" s="44"/>
      <c r="O102" s="84">
        <f>SUM(M102:N102)</f>
        <v>6813400</v>
      </c>
      <c r="P102" s="44"/>
      <c r="Q102" s="84">
        <f>SUM(O102:P102)</f>
        <v>6813400</v>
      </c>
      <c r="R102" s="44"/>
      <c r="S102" s="84">
        <f>SUM(Q102:R102)</f>
        <v>6813400</v>
      </c>
      <c r="T102" s="44"/>
      <c r="U102" s="84">
        <f>SUM(S102:T102)</f>
        <v>6813400</v>
      </c>
      <c r="V102" s="44"/>
      <c r="W102" s="84">
        <f>SUM(U102:V102)</f>
        <v>6813400</v>
      </c>
      <c r="X102" s="44"/>
      <c r="Y102" s="84">
        <f>SUM(W102:X102)</f>
        <v>6813400</v>
      </c>
      <c r="Z102" s="44"/>
      <c r="AA102" s="84">
        <f>SUM(Y102:Z102)</f>
        <v>6813400</v>
      </c>
      <c r="AB102" s="44"/>
      <c r="AC102" s="84">
        <f>SUM(AA102:AB102)</f>
        <v>6813400</v>
      </c>
      <c r="AD102" s="44">
        <v>-763299</v>
      </c>
      <c r="AE102" s="84">
        <f>SUM(AC102:AD102)</f>
        <v>6050101</v>
      </c>
      <c r="AF102" s="44">
        <v>-300000</v>
      </c>
      <c r="AG102" s="84">
        <f>SUM(AE102:AF102)</f>
        <v>5750101</v>
      </c>
      <c r="AH102" s="44"/>
      <c r="AI102" s="84">
        <f>SUM(AG102:AH102)</f>
        <v>5750101</v>
      </c>
      <c r="AJ102" s="44">
        <v>288824</v>
      </c>
      <c r="AK102" s="84">
        <f>SUM(AI102:AJ102)</f>
        <v>6038925</v>
      </c>
      <c r="AL102" s="44"/>
      <c r="AM102" s="84">
        <f>SUM(AK102:AL102)</f>
        <v>6038925</v>
      </c>
      <c r="AN102" s="67"/>
      <c r="AO102" s="67"/>
    </row>
    <row r="103" spans="1:39" s="20" customFormat="1" ht="46.5" customHeight="1">
      <c r="A103" s="45"/>
      <c r="B103" s="34">
        <v>85213</v>
      </c>
      <c r="C103" s="53"/>
      <c r="D103" s="50" t="s">
        <v>204</v>
      </c>
      <c r="E103" s="44">
        <f aca="true" t="shared" si="138" ref="E103:Z103">SUM(E104)</f>
        <v>59100</v>
      </c>
      <c r="F103" s="44">
        <f t="shared" si="138"/>
        <v>0</v>
      </c>
      <c r="G103" s="44">
        <f t="shared" si="138"/>
        <v>59100</v>
      </c>
      <c r="H103" s="44">
        <f t="shared" si="138"/>
        <v>0</v>
      </c>
      <c r="I103" s="44">
        <f t="shared" si="138"/>
        <v>59100</v>
      </c>
      <c r="J103" s="44">
        <f t="shared" si="138"/>
        <v>-4100</v>
      </c>
      <c r="K103" s="44">
        <f t="shared" si="138"/>
        <v>55000</v>
      </c>
      <c r="L103" s="44">
        <f t="shared" si="138"/>
        <v>0</v>
      </c>
      <c r="M103" s="44">
        <f t="shared" si="138"/>
        <v>55000</v>
      </c>
      <c r="N103" s="44">
        <f t="shared" si="138"/>
        <v>0</v>
      </c>
      <c r="O103" s="44">
        <f t="shared" si="138"/>
        <v>55000</v>
      </c>
      <c r="P103" s="44">
        <f t="shared" si="138"/>
        <v>0</v>
      </c>
      <c r="Q103" s="44">
        <f t="shared" si="138"/>
        <v>55000</v>
      </c>
      <c r="R103" s="44">
        <f t="shared" si="138"/>
        <v>0</v>
      </c>
      <c r="S103" s="44">
        <f t="shared" si="138"/>
        <v>55000</v>
      </c>
      <c r="T103" s="44">
        <f t="shared" si="138"/>
        <v>0</v>
      </c>
      <c r="U103" s="44">
        <f t="shared" si="138"/>
        <v>55000</v>
      </c>
      <c r="V103" s="44">
        <f t="shared" si="138"/>
        <v>0</v>
      </c>
      <c r="W103" s="44">
        <f t="shared" si="138"/>
        <v>55000</v>
      </c>
      <c r="X103" s="44">
        <f t="shared" si="138"/>
        <v>0</v>
      </c>
      <c r="Y103" s="44">
        <f t="shared" si="138"/>
        <v>55000</v>
      </c>
      <c r="Z103" s="44">
        <f t="shared" si="138"/>
        <v>0</v>
      </c>
      <c r="AA103" s="44">
        <f aca="true" t="shared" si="139" ref="AA103:AG103">SUM(AA104,AA105)</f>
        <v>55000</v>
      </c>
      <c r="AB103" s="44">
        <f t="shared" si="139"/>
        <v>0</v>
      </c>
      <c r="AC103" s="44">
        <f t="shared" si="139"/>
        <v>55000</v>
      </c>
      <c r="AD103" s="44">
        <f t="shared" si="139"/>
        <v>-3945</v>
      </c>
      <c r="AE103" s="44">
        <f t="shared" si="139"/>
        <v>51055</v>
      </c>
      <c r="AF103" s="44">
        <f t="shared" si="139"/>
        <v>-1550</v>
      </c>
      <c r="AG103" s="44">
        <f t="shared" si="139"/>
        <v>49505</v>
      </c>
      <c r="AH103" s="44">
        <f aca="true" t="shared" si="140" ref="AH103:AM103">SUM(AH104,AH105)</f>
        <v>0</v>
      </c>
      <c r="AI103" s="44">
        <f t="shared" si="140"/>
        <v>49505</v>
      </c>
      <c r="AJ103" s="44">
        <f t="shared" si="140"/>
        <v>0</v>
      </c>
      <c r="AK103" s="44">
        <f t="shared" si="140"/>
        <v>49505</v>
      </c>
      <c r="AL103" s="44">
        <f t="shared" si="140"/>
        <v>0</v>
      </c>
      <c r="AM103" s="44">
        <f t="shared" si="140"/>
        <v>49505</v>
      </c>
    </row>
    <row r="104" spans="1:41" s="20" customFormat="1" ht="56.25">
      <c r="A104" s="45"/>
      <c r="B104" s="34"/>
      <c r="C104" s="53">
        <v>2010</v>
      </c>
      <c r="D104" s="50" t="s">
        <v>172</v>
      </c>
      <c r="E104" s="44">
        <v>59100</v>
      </c>
      <c r="F104" s="44"/>
      <c r="G104" s="84">
        <f>SUM(E104:F104)</f>
        <v>59100</v>
      </c>
      <c r="H104" s="44"/>
      <c r="I104" s="84">
        <f>SUM(G104:H104)</f>
        <v>59100</v>
      </c>
      <c r="J104" s="44">
        <v>-4100</v>
      </c>
      <c r="K104" s="84">
        <f>SUM(I104:J104)</f>
        <v>55000</v>
      </c>
      <c r="L104" s="44"/>
      <c r="M104" s="84">
        <f>SUM(K104:L104)</f>
        <v>55000</v>
      </c>
      <c r="N104" s="44"/>
      <c r="O104" s="84">
        <f>SUM(M104:N104)</f>
        <v>55000</v>
      </c>
      <c r="P104" s="44"/>
      <c r="Q104" s="84">
        <f>SUM(O104:P104)</f>
        <v>55000</v>
      </c>
      <c r="R104" s="44"/>
      <c r="S104" s="84">
        <f>SUM(Q104:R104)</f>
        <v>55000</v>
      </c>
      <c r="T104" s="44"/>
      <c r="U104" s="84">
        <f>SUM(S104:T104)</f>
        <v>55000</v>
      </c>
      <c r="V104" s="44"/>
      <c r="W104" s="84">
        <f>SUM(U104:V104)</f>
        <v>55000</v>
      </c>
      <c r="X104" s="44"/>
      <c r="Y104" s="84">
        <f>SUM(W104:X104)</f>
        <v>55000</v>
      </c>
      <c r="Z104" s="44"/>
      <c r="AA104" s="84">
        <f>SUM(Y104:Z104)</f>
        <v>55000</v>
      </c>
      <c r="AB104" s="44">
        <v>-18550</v>
      </c>
      <c r="AC104" s="84">
        <f>SUM(AA104:AB104)</f>
        <v>36450</v>
      </c>
      <c r="AD104" s="44">
        <v>-3945</v>
      </c>
      <c r="AE104" s="84">
        <f>SUM(AC104:AD104)</f>
        <v>32505</v>
      </c>
      <c r="AF104" s="44"/>
      <c r="AG104" s="84">
        <f>SUM(AE104:AF104)</f>
        <v>32505</v>
      </c>
      <c r="AH104" s="44"/>
      <c r="AI104" s="84">
        <f>SUM(AG104:AH104)</f>
        <v>32505</v>
      </c>
      <c r="AJ104" s="44"/>
      <c r="AK104" s="84">
        <f>SUM(AI104:AJ104)</f>
        <v>32505</v>
      </c>
      <c r="AL104" s="44"/>
      <c r="AM104" s="84">
        <f>SUM(AK104:AL104)</f>
        <v>32505</v>
      </c>
      <c r="AN104" s="67"/>
      <c r="AO104" s="67"/>
    </row>
    <row r="105" spans="1:41" s="20" customFormat="1" ht="33.75">
      <c r="A105" s="45"/>
      <c r="B105" s="34"/>
      <c r="C105" s="53">
        <v>2030</v>
      </c>
      <c r="D105" s="50" t="s">
        <v>173</v>
      </c>
      <c r="E105" s="44"/>
      <c r="F105" s="44"/>
      <c r="G105" s="84"/>
      <c r="H105" s="44"/>
      <c r="I105" s="84"/>
      <c r="J105" s="44"/>
      <c r="K105" s="84"/>
      <c r="L105" s="44"/>
      <c r="M105" s="84"/>
      <c r="N105" s="44"/>
      <c r="O105" s="84"/>
      <c r="P105" s="44"/>
      <c r="Q105" s="84"/>
      <c r="R105" s="44"/>
      <c r="S105" s="84"/>
      <c r="T105" s="44"/>
      <c r="U105" s="84"/>
      <c r="V105" s="44"/>
      <c r="W105" s="84"/>
      <c r="X105" s="44"/>
      <c r="Y105" s="84"/>
      <c r="Z105" s="44"/>
      <c r="AA105" s="84">
        <v>0</v>
      </c>
      <c r="AB105" s="44">
        <v>18550</v>
      </c>
      <c r="AC105" s="84">
        <f>SUM(AA105:AB105)</f>
        <v>18550</v>
      </c>
      <c r="AD105" s="44"/>
      <c r="AE105" s="84">
        <f>SUM(AC105:AD105)</f>
        <v>18550</v>
      </c>
      <c r="AF105" s="44">
        <v>-1550</v>
      </c>
      <c r="AG105" s="84">
        <f>SUM(AE105:AF105)</f>
        <v>17000</v>
      </c>
      <c r="AH105" s="44"/>
      <c r="AI105" s="84">
        <f>SUM(AG105:AH105)</f>
        <v>17000</v>
      </c>
      <c r="AJ105" s="44"/>
      <c r="AK105" s="84">
        <f>SUM(AI105:AJ105)</f>
        <v>17000</v>
      </c>
      <c r="AL105" s="44"/>
      <c r="AM105" s="84">
        <f>SUM(AK105:AL105)</f>
        <v>17000</v>
      </c>
      <c r="AN105" s="67"/>
      <c r="AO105" s="67"/>
    </row>
    <row r="106" spans="1:39" s="20" customFormat="1" ht="26.25" customHeight="1">
      <c r="A106" s="45"/>
      <c r="B106" s="46" t="s">
        <v>126</v>
      </c>
      <c r="C106" s="53"/>
      <c r="D106" s="50" t="s">
        <v>56</v>
      </c>
      <c r="E106" s="44">
        <f aca="true" t="shared" si="141" ref="E106:K106">SUM(E107:E109)</f>
        <v>1126700</v>
      </c>
      <c r="F106" s="44">
        <f t="shared" si="141"/>
        <v>0</v>
      </c>
      <c r="G106" s="44">
        <f t="shared" si="141"/>
        <v>1126700</v>
      </c>
      <c r="H106" s="44">
        <f t="shared" si="141"/>
        <v>0</v>
      </c>
      <c r="I106" s="44">
        <f t="shared" si="141"/>
        <v>1126700</v>
      </c>
      <c r="J106" s="44">
        <f t="shared" si="141"/>
        <v>-17600</v>
      </c>
      <c r="K106" s="44">
        <f t="shared" si="141"/>
        <v>1109100</v>
      </c>
      <c r="L106" s="44">
        <f aca="true" t="shared" si="142" ref="L106:Q106">SUM(L107:L109)</f>
        <v>0</v>
      </c>
      <c r="M106" s="44">
        <f t="shared" si="142"/>
        <v>1109100</v>
      </c>
      <c r="N106" s="44">
        <f t="shared" si="142"/>
        <v>0</v>
      </c>
      <c r="O106" s="44">
        <f t="shared" si="142"/>
        <v>1109100</v>
      </c>
      <c r="P106" s="44">
        <f t="shared" si="142"/>
        <v>0</v>
      </c>
      <c r="Q106" s="44">
        <f t="shared" si="142"/>
        <v>1109100</v>
      </c>
      <c r="R106" s="44">
        <f aca="true" t="shared" si="143" ref="R106:W106">SUM(R107:R109)</f>
        <v>0</v>
      </c>
      <c r="S106" s="44">
        <f t="shared" si="143"/>
        <v>1109100</v>
      </c>
      <c r="T106" s="44">
        <f t="shared" si="143"/>
        <v>0</v>
      </c>
      <c r="U106" s="44">
        <f t="shared" si="143"/>
        <v>1109100</v>
      </c>
      <c r="V106" s="44">
        <f t="shared" si="143"/>
        <v>1400</v>
      </c>
      <c r="W106" s="44">
        <f t="shared" si="143"/>
        <v>1110500</v>
      </c>
      <c r="X106" s="44">
        <f aca="true" t="shared" si="144" ref="X106:AC106">SUM(X107:X109)</f>
        <v>0</v>
      </c>
      <c r="Y106" s="44">
        <f t="shared" si="144"/>
        <v>1110500</v>
      </c>
      <c r="Z106" s="44">
        <f t="shared" si="144"/>
        <v>110109</v>
      </c>
      <c r="AA106" s="44">
        <f t="shared" si="144"/>
        <v>1220609</v>
      </c>
      <c r="AB106" s="44">
        <f t="shared" si="144"/>
        <v>0</v>
      </c>
      <c r="AC106" s="44">
        <f t="shared" si="144"/>
        <v>1220609</v>
      </c>
      <c r="AD106" s="44">
        <f aca="true" t="shared" si="145" ref="AD106:AI106">SUM(AD107:AD109)</f>
        <v>0</v>
      </c>
      <c r="AE106" s="44">
        <f t="shared" si="145"/>
        <v>1220609</v>
      </c>
      <c r="AF106" s="44">
        <f t="shared" si="145"/>
        <v>20000</v>
      </c>
      <c r="AG106" s="44">
        <f t="shared" si="145"/>
        <v>1240609</v>
      </c>
      <c r="AH106" s="44">
        <f t="shared" si="145"/>
        <v>0</v>
      </c>
      <c r="AI106" s="44">
        <f t="shared" si="145"/>
        <v>1240609</v>
      </c>
      <c r="AJ106" s="44">
        <f>SUM(AJ107:AJ109)</f>
        <v>12120</v>
      </c>
      <c r="AK106" s="44">
        <f>SUM(AK107:AK109)</f>
        <v>1252729</v>
      </c>
      <c r="AL106" s="44">
        <f>SUM(AL107:AL109)</f>
        <v>0</v>
      </c>
      <c r="AM106" s="44">
        <f>SUM(AM107:AM109)</f>
        <v>1252729</v>
      </c>
    </row>
    <row r="107" spans="1:39" s="20" customFormat="1" ht="26.25" customHeight="1">
      <c r="A107" s="45"/>
      <c r="B107" s="46"/>
      <c r="C107" s="52" t="s">
        <v>162</v>
      </c>
      <c r="D107" s="50" t="s">
        <v>163</v>
      </c>
      <c r="E107" s="44">
        <v>2600</v>
      </c>
      <c r="F107" s="44"/>
      <c r="G107" s="84">
        <f>SUM(E107:F107)</f>
        <v>2600</v>
      </c>
      <c r="H107" s="44"/>
      <c r="I107" s="84">
        <f>SUM(G107:H107)</f>
        <v>2600</v>
      </c>
      <c r="J107" s="44"/>
      <c r="K107" s="84">
        <f>SUM(I107:J107)</f>
        <v>2600</v>
      </c>
      <c r="L107" s="44"/>
      <c r="M107" s="84">
        <f>SUM(K107:L107)</f>
        <v>2600</v>
      </c>
      <c r="N107" s="44"/>
      <c r="O107" s="84">
        <f>SUM(M107:N107)</f>
        <v>2600</v>
      </c>
      <c r="P107" s="44"/>
      <c r="Q107" s="84">
        <f>SUM(O107:P107)</f>
        <v>2600</v>
      </c>
      <c r="R107" s="44"/>
      <c r="S107" s="84">
        <f>SUM(Q107:R107)</f>
        <v>2600</v>
      </c>
      <c r="T107" s="44"/>
      <c r="U107" s="84">
        <f>SUM(S107:T107)</f>
        <v>2600</v>
      </c>
      <c r="V107" s="44">
        <v>1400</v>
      </c>
      <c r="W107" s="84">
        <f>SUM(U107:V107)</f>
        <v>4000</v>
      </c>
      <c r="X107" s="44"/>
      <c r="Y107" s="84">
        <f>SUM(W107:X107)</f>
        <v>4000</v>
      </c>
      <c r="Z107" s="44"/>
      <c r="AA107" s="84">
        <f>SUM(Y107:Z107)</f>
        <v>4000</v>
      </c>
      <c r="AB107" s="44"/>
      <c r="AC107" s="84">
        <f>SUM(AA107:AB107)</f>
        <v>4000</v>
      </c>
      <c r="AD107" s="44"/>
      <c r="AE107" s="84">
        <f>SUM(AC107:AD107)</f>
        <v>4000</v>
      </c>
      <c r="AF107" s="44"/>
      <c r="AG107" s="84">
        <f>SUM(AE107:AF107)</f>
        <v>4000</v>
      </c>
      <c r="AH107" s="44"/>
      <c r="AI107" s="84">
        <f>SUM(AG107:AH107)</f>
        <v>4000</v>
      </c>
      <c r="AJ107" s="44">
        <v>12120</v>
      </c>
      <c r="AK107" s="84">
        <f>SUM(AI107:AJ107)</f>
        <v>16120</v>
      </c>
      <c r="AL107" s="44"/>
      <c r="AM107" s="84">
        <f>SUM(AK107:AL107)</f>
        <v>16120</v>
      </c>
    </row>
    <row r="108" spans="1:41" s="20" customFormat="1" ht="67.5" customHeight="1">
      <c r="A108" s="45"/>
      <c r="B108" s="46"/>
      <c r="C108" s="47">
        <v>2010</v>
      </c>
      <c r="D108" s="50" t="s">
        <v>172</v>
      </c>
      <c r="E108" s="44">
        <v>468000</v>
      </c>
      <c r="F108" s="44"/>
      <c r="G108" s="84">
        <f>SUM(E108:F108)</f>
        <v>468000</v>
      </c>
      <c r="H108" s="44"/>
      <c r="I108" s="84">
        <f>SUM(G108:H108)</f>
        <v>468000</v>
      </c>
      <c r="J108" s="44">
        <v>50700</v>
      </c>
      <c r="K108" s="84">
        <f>SUM(I108:J108)</f>
        <v>518700</v>
      </c>
      <c r="L108" s="44"/>
      <c r="M108" s="84">
        <f>SUM(K108:L108)</f>
        <v>518700</v>
      </c>
      <c r="N108" s="44"/>
      <c r="O108" s="84">
        <f>SUM(M108:N108)</f>
        <v>518700</v>
      </c>
      <c r="P108" s="44"/>
      <c r="Q108" s="84">
        <f>SUM(O108:P108)</f>
        <v>518700</v>
      </c>
      <c r="R108" s="44"/>
      <c r="S108" s="84">
        <f>SUM(Q108:R108)</f>
        <v>518700</v>
      </c>
      <c r="T108" s="44"/>
      <c r="U108" s="84">
        <f>SUM(S108:T108)</f>
        <v>518700</v>
      </c>
      <c r="V108" s="44"/>
      <c r="W108" s="84">
        <f>SUM(U108:V108)</f>
        <v>518700</v>
      </c>
      <c r="X108" s="44"/>
      <c r="Y108" s="84">
        <f>SUM(W108:X108)</f>
        <v>518700</v>
      </c>
      <c r="Z108" s="44"/>
      <c r="AA108" s="84">
        <f>SUM(Y108:Z108)</f>
        <v>518700</v>
      </c>
      <c r="AB108" s="44">
        <v>-273035</v>
      </c>
      <c r="AC108" s="84">
        <f>SUM(AA108:AB108)</f>
        <v>245665</v>
      </c>
      <c r="AD108" s="44"/>
      <c r="AE108" s="84">
        <f>SUM(AC108:AD108)</f>
        <v>245665</v>
      </c>
      <c r="AF108" s="44"/>
      <c r="AG108" s="84">
        <f>SUM(AE108:AF108)</f>
        <v>245665</v>
      </c>
      <c r="AH108" s="44"/>
      <c r="AI108" s="84">
        <f>SUM(AG108:AH108)</f>
        <v>245665</v>
      </c>
      <c r="AJ108" s="44"/>
      <c r="AK108" s="84">
        <f>SUM(AI108:AJ108)</f>
        <v>245665</v>
      </c>
      <c r="AL108" s="44"/>
      <c r="AM108" s="84">
        <f>SUM(AK108:AL108)</f>
        <v>245665</v>
      </c>
      <c r="AN108" s="67"/>
      <c r="AO108" s="67"/>
    </row>
    <row r="109" spans="1:41" s="20" customFormat="1" ht="48.75" customHeight="1">
      <c r="A109" s="45"/>
      <c r="B109" s="46"/>
      <c r="C109" s="47">
        <v>2030</v>
      </c>
      <c r="D109" s="50" t="s">
        <v>173</v>
      </c>
      <c r="E109" s="44">
        <v>656100</v>
      </c>
      <c r="F109" s="44"/>
      <c r="G109" s="84">
        <f>SUM(E109:F109)</f>
        <v>656100</v>
      </c>
      <c r="H109" s="44"/>
      <c r="I109" s="84">
        <f>SUM(G109:H109)</f>
        <v>656100</v>
      </c>
      <c r="J109" s="44">
        <v>-68300</v>
      </c>
      <c r="K109" s="84">
        <f>SUM(I109:J109)</f>
        <v>587800</v>
      </c>
      <c r="L109" s="44"/>
      <c r="M109" s="84">
        <f>SUM(K109:L109)</f>
        <v>587800</v>
      </c>
      <c r="N109" s="44"/>
      <c r="O109" s="84">
        <f>SUM(M109:N109)</f>
        <v>587800</v>
      </c>
      <c r="P109" s="44"/>
      <c r="Q109" s="84">
        <f>SUM(O109:P109)</f>
        <v>587800</v>
      </c>
      <c r="R109" s="44"/>
      <c r="S109" s="84">
        <f>SUM(Q109:R109)</f>
        <v>587800</v>
      </c>
      <c r="T109" s="44"/>
      <c r="U109" s="84">
        <f>SUM(S109:T109)</f>
        <v>587800</v>
      </c>
      <c r="V109" s="44"/>
      <c r="W109" s="84">
        <f>SUM(U109:V109)</f>
        <v>587800</v>
      </c>
      <c r="X109" s="44"/>
      <c r="Y109" s="84">
        <f>SUM(W109:X109)</f>
        <v>587800</v>
      </c>
      <c r="Z109" s="44">
        <v>110109</v>
      </c>
      <c r="AA109" s="84">
        <f>SUM(Y109:Z109)</f>
        <v>697909</v>
      </c>
      <c r="AB109" s="44">
        <v>273035</v>
      </c>
      <c r="AC109" s="84">
        <f>SUM(AA109:AB109)</f>
        <v>970944</v>
      </c>
      <c r="AD109" s="44"/>
      <c r="AE109" s="84">
        <f>SUM(AC109:AD109)</f>
        <v>970944</v>
      </c>
      <c r="AF109" s="44">
        <f>10400+9600</f>
        <v>20000</v>
      </c>
      <c r="AG109" s="84">
        <f>SUM(AE109:AF109)</f>
        <v>990944</v>
      </c>
      <c r="AH109" s="44"/>
      <c r="AI109" s="84">
        <f>SUM(AG109:AH109)</f>
        <v>990944</v>
      </c>
      <c r="AJ109" s="44"/>
      <c r="AK109" s="84">
        <f>SUM(AI109:AJ109)</f>
        <v>990944</v>
      </c>
      <c r="AL109" s="44"/>
      <c r="AM109" s="84">
        <f>SUM(AK109:AL109)</f>
        <v>990944</v>
      </c>
      <c r="AN109" s="67"/>
      <c r="AO109" s="67"/>
    </row>
    <row r="110" spans="1:39" s="20" customFormat="1" ht="24" customHeight="1">
      <c r="A110" s="45"/>
      <c r="B110" s="46" t="s">
        <v>127</v>
      </c>
      <c r="C110" s="53"/>
      <c r="D110" s="50" t="s">
        <v>57</v>
      </c>
      <c r="E110" s="44">
        <f aca="true" t="shared" si="146" ref="E110:K110">SUM(E111:E114)</f>
        <v>602400</v>
      </c>
      <c r="F110" s="44">
        <f t="shared" si="146"/>
        <v>0</v>
      </c>
      <c r="G110" s="44">
        <f t="shared" si="146"/>
        <v>602400</v>
      </c>
      <c r="H110" s="44">
        <f t="shared" si="146"/>
        <v>0</v>
      </c>
      <c r="I110" s="44">
        <f t="shared" si="146"/>
        <v>602400</v>
      </c>
      <c r="J110" s="44">
        <f t="shared" si="146"/>
        <v>0</v>
      </c>
      <c r="K110" s="44">
        <f t="shared" si="146"/>
        <v>602400</v>
      </c>
      <c r="L110" s="44">
        <f aca="true" t="shared" si="147" ref="L110:Q110">SUM(L111:L114)</f>
        <v>13050</v>
      </c>
      <c r="M110" s="44">
        <f t="shared" si="147"/>
        <v>615450</v>
      </c>
      <c r="N110" s="44">
        <f t="shared" si="147"/>
        <v>0</v>
      </c>
      <c r="O110" s="44">
        <f t="shared" si="147"/>
        <v>615450</v>
      </c>
      <c r="P110" s="44">
        <f t="shared" si="147"/>
        <v>0</v>
      </c>
      <c r="Q110" s="44">
        <f t="shared" si="147"/>
        <v>615450</v>
      </c>
      <c r="R110" s="44">
        <f aca="true" t="shared" si="148" ref="R110:W110">SUM(R111:R114)</f>
        <v>0</v>
      </c>
      <c r="S110" s="44">
        <f t="shared" si="148"/>
        <v>615450</v>
      </c>
      <c r="T110" s="44">
        <f t="shared" si="148"/>
        <v>0</v>
      </c>
      <c r="U110" s="44">
        <f t="shared" si="148"/>
        <v>615450</v>
      </c>
      <c r="V110" s="44">
        <f t="shared" si="148"/>
        <v>1350</v>
      </c>
      <c r="W110" s="44">
        <f t="shared" si="148"/>
        <v>616800</v>
      </c>
      <c r="X110" s="44">
        <f aca="true" t="shared" si="149" ref="X110:AC110">SUM(X111:X114)</f>
        <v>0</v>
      </c>
      <c r="Y110" s="44">
        <f t="shared" si="149"/>
        <v>616800</v>
      </c>
      <c r="Z110" s="44">
        <f t="shared" si="149"/>
        <v>11509</v>
      </c>
      <c r="AA110" s="44">
        <f t="shared" si="149"/>
        <v>628309</v>
      </c>
      <c r="AB110" s="44">
        <f t="shared" si="149"/>
        <v>0</v>
      </c>
      <c r="AC110" s="44">
        <f t="shared" si="149"/>
        <v>628309</v>
      </c>
      <c r="AD110" s="44">
        <f aca="true" t="shared" si="150" ref="AD110:AI110">SUM(AD111:AD114)</f>
        <v>-35835</v>
      </c>
      <c r="AE110" s="44">
        <f t="shared" si="150"/>
        <v>592474</v>
      </c>
      <c r="AF110" s="44">
        <f t="shared" si="150"/>
        <v>0</v>
      </c>
      <c r="AG110" s="44">
        <f t="shared" si="150"/>
        <v>592474</v>
      </c>
      <c r="AH110" s="44">
        <f t="shared" si="150"/>
        <v>0</v>
      </c>
      <c r="AI110" s="44">
        <f t="shared" si="150"/>
        <v>592474</v>
      </c>
      <c r="AJ110" s="44">
        <f>SUM(AJ111:AJ114)</f>
        <v>-765</v>
      </c>
      <c r="AK110" s="44">
        <f>SUM(AK111:AK114)</f>
        <v>591709</v>
      </c>
      <c r="AL110" s="44">
        <f>SUM(AL111:AL114)</f>
        <v>0</v>
      </c>
      <c r="AM110" s="44">
        <f>SUM(AM111:AM114)</f>
        <v>591709</v>
      </c>
    </row>
    <row r="111" spans="1:39" s="20" customFormat="1" ht="76.5" customHeight="1">
      <c r="A111" s="45"/>
      <c r="B111" s="46"/>
      <c r="C111" s="52" t="s">
        <v>131</v>
      </c>
      <c r="D111" s="31" t="s">
        <v>55</v>
      </c>
      <c r="E111" s="44">
        <v>2800</v>
      </c>
      <c r="F111" s="44"/>
      <c r="G111" s="84">
        <f>SUM(E111:F111)</f>
        <v>2800</v>
      </c>
      <c r="H111" s="44"/>
      <c r="I111" s="84">
        <f>SUM(G111:H111)</f>
        <v>2800</v>
      </c>
      <c r="J111" s="44"/>
      <c r="K111" s="84">
        <f>SUM(I111:J111)</f>
        <v>2800</v>
      </c>
      <c r="L111" s="44"/>
      <c r="M111" s="84">
        <f>SUM(K111:L111)</f>
        <v>2800</v>
      </c>
      <c r="N111" s="44"/>
      <c r="O111" s="84">
        <f>SUM(M111:N111)</f>
        <v>2800</v>
      </c>
      <c r="P111" s="44"/>
      <c r="Q111" s="84">
        <f>SUM(O111:P111)</f>
        <v>2800</v>
      </c>
      <c r="R111" s="44"/>
      <c r="S111" s="84">
        <f>SUM(Q111:R111)</f>
        <v>2800</v>
      </c>
      <c r="T111" s="44"/>
      <c r="U111" s="84">
        <f>SUM(S111:T111)</f>
        <v>2800</v>
      </c>
      <c r="V111" s="44"/>
      <c r="W111" s="84">
        <f>SUM(U111:V111)</f>
        <v>2800</v>
      </c>
      <c r="X111" s="44"/>
      <c r="Y111" s="84">
        <f>SUM(W111:X111)</f>
        <v>2800</v>
      </c>
      <c r="Z111" s="44"/>
      <c r="AA111" s="84">
        <f>SUM(Y111:Z111)</f>
        <v>2800</v>
      </c>
      <c r="AB111" s="44"/>
      <c r="AC111" s="84">
        <f>SUM(AA111:AB111)</f>
        <v>2800</v>
      </c>
      <c r="AD111" s="44"/>
      <c r="AE111" s="84">
        <f>SUM(AC111:AD111)</f>
        <v>2800</v>
      </c>
      <c r="AF111" s="44"/>
      <c r="AG111" s="84">
        <f>SUM(AE111:AF111)</f>
        <v>2800</v>
      </c>
      <c r="AH111" s="44"/>
      <c r="AI111" s="84">
        <f>SUM(AG111:AH111)</f>
        <v>2800</v>
      </c>
      <c r="AJ111" s="44">
        <v>630</v>
      </c>
      <c r="AK111" s="84">
        <f>SUM(AI111:AJ111)</f>
        <v>3430</v>
      </c>
      <c r="AL111" s="44"/>
      <c r="AM111" s="84">
        <f>SUM(AK111:AL111)</f>
        <v>3430</v>
      </c>
    </row>
    <row r="112" spans="1:39" s="20" customFormat="1" ht="21.75" customHeight="1">
      <c r="A112" s="45"/>
      <c r="B112" s="46"/>
      <c r="C112" s="52" t="s">
        <v>132</v>
      </c>
      <c r="D112" s="50" t="s">
        <v>11</v>
      </c>
      <c r="E112" s="44">
        <v>1800</v>
      </c>
      <c r="F112" s="44"/>
      <c r="G112" s="84">
        <f>SUM(E112:F112)</f>
        <v>1800</v>
      </c>
      <c r="H112" s="44"/>
      <c r="I112" s="84">
        <f>SUM(G112:H112)</f>
        <v>1800</v>
      </c>
      <c r="J112" s="44"/>
      <c r="K112" s="84">
        <f>SUM(I112:J112)</f>
        <v>1800</v>
      </c>
      <c r="L112" s="44"/>
      <c r="M112" s="84">
        <f>SUM(K112:L112)</f>
        <v>1800</v>
      </c>
      <c r="N112" s="44"/>
      <c r="O112" s="84">
        <f>SUM(M112:N112)</f>
        <v>1800</v>
      </c>
      <c r="P112" s="44"/>
      <c r="Q112" s="84">
        <f>SUM(O112:P112)</f>
        <v>1800</v>
      </c>
      <c r="R112" s="44"/>
      <c r="S112" s="84">
        <f>SUM(Q112:R112)</f>
        <v>1800</v>
      </c>
      <c r="T112" s="44"/>
      <c r="U112" s="84">
        <f>SUM(S112:T112)</f>
        <v>1800</v>
      </c>
      <c r="V112" s="44"/>
      <c r="W112" s="84">
        <f>SUM(U112:V112)</f>
        <v>1800</v>
      </c>
      <c r="X112" s="44"/>
      <c r="Y112" s="84">
        <f>SUM(W112:X112)</f>
        <v>1800</v>
      </c>
      <c r="Z112" s="44"/>
      <c r="AA112" s="84">
        <f>SUM(Y112:Z112)</f>
        <v>1800</v>
      </c>
      <c r="AB112" s="44"/>
      <c r="AC112" s="84">
        <f>SUM(AA112:AB112)</f>
        <v>1800</v>
      </c>
      <c r="AD112" s="44"/>
      <c r="AE112" s="84">
        <f>SUM(AC112:AD112)</f>
        <v>1800</v>
      </c>
      <c r="AF112" s="44"/>
      <c r="AG112" s="84">
        <f>SUM(AE112:AF112)</f>
        <v>1800</v>
      </c>
      <c r="AH112" s="44"/>
      <c r="AI112" s="84">
        <f>SUM(AG112:AH112)</f>
        <v>1800</v>
      </c>
      <c r="AJ112" s="44">
        <v>-1552</v>
      </c>
      <c r="AK112" s="84">
        <f>SUM(AI112:AJ112)</f>
        <v>248</v>
      </c>
      <c r="AL112" s="44"/>
      <c r="AM112" s="84">
        <f>SUM(AK112:AL112)</f>
        <v>248</v>
      </c>
    </row>
    <row r="113" spans="1:39" s="20" customFormat="1" ht="21.75" customHeight="1">
      <c r="A113" s="45"/>
      <c r="B113" s="46"/>
      <c r="C113" s="52" t="s">
        <v>133</v>
      </c>
      <c r="D113" s="31" t="s">
        <v>12</v>
      </c>
      <c r="E113" s="44"/>
      <c r="F113" s="44"/>
      <c r="G113" s="84"/>
      <c r="H113" s="44"/>
      <c r="I113" s="84"/>
      <c r="J113" s="44"/>
      <c r="K113" s="84"/>
      <c r="L113" s="44"/>
      <c r="M113" s="84"/>
      <c r="N113" s="44"/>
      <c r="O113" s="84"/>
      <c r="P113" s="44"/>
      <c r="Q113" s="84"/>
      <c r="R113" s="44"/>
      <c r="S113" s="84"/>
      <c r="T113" s="44"/>
      <c r="U113" s="84">
        <v>0</v>
      </c>
      <c r="V113" s="44">
        <v>1350</v>
      </c>
      <c r="W113" s="84">
        <f>SUM(U113:V113)</f>
        <v>1350</v>
      </c>
      <c r="X113" s="44"/>
      <c r="Y113" s="84">
        <f>SUM(W113:X113)</f>
        <v>1350</v>
      </c>
      <c r="Z113" s="44"/>
      <c r="AA113" s="84">
        <f>SUM(Y113:Z113)</f>
        <v>1350</v>
      </c>
      <c r="AB113" s="44"/>
      <c r="AC113" s="84">
        <f>SUM(AA113:AB113)</f>
        <v>1350</v>
      </c>
      <c r="AD113" s="44"/>
      <c r="AE113" s="84">
        <f>SUM(AC113:AD113)</f>
        <v>1350</v>
      </c>
      <c r="AF113" s="44"/>
      <c r="AG113" s="84">
        <f>SUM(AE113:AF113)</f>
        <v>1350</v>
      </c>
      <c r="AH113" s="44"/>
      <c r="AI113" s="84">
        <f>SUM(AG113:AH113)</f>
        <v>1350</v>
      </c>
      <c r="AJ113" s="44">
        <v>157</v>
      </c>
      <c r="AK113" s="84">
        <f>SUM(AI113:AJ113)</f>
        <v>1507</v>
      </c>
      <c r="AL113" s="44"/>
      <c r="AM113" s="84">
        <f>SUM(AK113:AL113)</f>
        <v>1507</v>
      </c>
    </row>
    <row r="114" spans="1:41" s="20" customFormat="1" ht="33.75">
      <c r="A114" s="45"/>
      <c r="B114" s="46"/>
      <c r="C114" s="47">
        <v>2030</v>
      </c>
      <c r="D114" s="50" t="s">
        <v>173</v>
      </c>
      <c r="E114" s="44">
        <v>597800</v>
      </c>
      <c r="F114" s="44"/>
      <c r="G114" s="84">
        <f>SUM(E114:F114)</f>
        <v>597800</v>
      </c>
      <c r="H114" s="44"/>
      <c r="I114" s="84">
        <f>SUM(G114:H114)</f>
        <v>597800</v>
      </c>
      <c r="J114" s="44"/>
      <c r="K114" s="84">
        <f>SUM(I114:J114)</f>
        <v>597800</v>
      </c>
      <c r="L114" s="44">
        <v>13050</v>
      </c>
      <c r="M114" s="84">
        <f>SUM(K114:L114)</f>
        <v>610850</v>
      </c>
      <c r="N114" s="44"/>
      <c r="O114" s="84">
        <f>SUM(M114:N114)</f>
        <v>610850</v>
      </c>
      <c r="P114" s="44"/>
      <c r="Q114" s="84">
        <f>SUM(O114:P114)</f>
        <v>610850</v>
      </c>
      <c r="R114" s="44"/>
      <c r="S114" s="84">
        <f>SUM(Q114:R114)</f>
        <v>610850</v>
      </c>
      <c r="T114" s="44"/>
      <c r="U114" s="84">
        <f>SUM(S114:T114)</f>
        <v>610850</v>
      </c>
      <c r="V114" s="44"/>
      <c r="W114" s="84">
        <f>SUM(U114:V114)</f>
        <v>610850</v>
      </c>
      <c r="X114" s="44"/>
      <c r="Y114" s="84">
        <f>SUM(W114:X114)</f>
        <v>610850</v>
      </c>
      <c r="Z114" s="44">
        <v>11509</v>
      </c>
      <c r="AA114" s="84">
        <f>SUM(Y114:Z114)</f>
        <v>622359</v>
      </c>
      <c r="AB114" s="44"/>
      <c r="AC114" s="84">
        <f>SUM(AA114:AB114)</f>
        <v>622359</v>
      </c>
      <c r="AD114" s="44">
        <v>-35835</v>
      </c>
      <c r="AE114" s="84">
        <f>SUM(AC114:AD114)</f>
        <v>586524</v>
      </c>
      <c r="AF114" s="44"/>
      <c r="AG114" s="84">
        <f>SUM(AE114:AF114)</f>
        <v>586524</v>
      </c>
      <c r="AH114" s="44"/>
      <c r="AI114" s="84">
        <f>SUM(AG114:AH114)</f>
        <v>586524</v>
      </c>
      <c r="AJ114" s="44"/>
      <c r="AK114" s="84">
        <f>SUM(AI114:AJ114)</f>
        <v>586524</v>
      </c>
      <c r="AL114" s="44"/>
      <c r="AM114" s="84">
        <f>SUM(AK114:AL114)</f>
        <v>586524</v>
      </c>
      <c r="AN114" s="67"/>
      <c r="AO114" s="67"/>
    </row>
    <row r="115" spans="1:39" s="20" customFormat="1" ht="24" customHeight="1">
      <c r="A115" s="45"/>
      <c r="B115" s="46">
        <v>85295</v>
      </c>
      <c r="C115" s="47"/>
      <c r="D115" s="50" t="s">
        <v>166</v>
      </c>
      <c r="E115" s="44">
        <f aca="true" t="shared" si="151" ref="E115:K115">SUM(E116:E117)</f>
        <v>866300</v>
      </c>
      <c r="F115" s="44">
        <f t="shared" si="151"/>
        <v>0</v>
      </c>
      <c r="G115" s="44">
        <f t="shared" si="151"/>
        <v>866300</v>
      </c>
      <c r="H115" s="44">
        <f t="shared" si="151"/>
        <v>0</v>
      </c>
      <c r="I115" s="44">
        <f t="shared" si="151"/>
        <v>866300</v>
      </c>
      <c r="J115" s="44">
        <f t="shared" si="151"/>
        <v>0</v>
      </c>
      <c r="K115" s="44">
        <f t="shared" si="151"/>
        <v>866300</v>
      </c>
      <c r="L115" s="44">
        <f aca="true" t="shared" si="152" ref="L115:Q115">SUM(L116:L117)</f>
        <v>0</v>
      </c>
      <c r="M115" s="44">
        <f t="shared" si="152"/>
        <v>866300</v>
      </c>
      <c r="N115" s="44">
        <f t="shared" si="152"/>
        <v>75000</v>
      </c>
      <c r="O115" s="44">
        <f t="shared" si="152"/>
        <v>941300</v>
      </c>
      <c r="P115" s="44">
        <f t="shared" si="152"/>
        <v>0</v>
      </c>
      <c r="Q115" s="44">
        <f t="shared" si="152"/>
        <v>941300</v>
      </c>
      <c r="R115" s="44">
        <f aca="true" t="shared" si="153" ref="R115:W115">SUM(R116:R117)</f>
        <v>0</v>
      </c>
      <c r="S115" s="44">
        <f t="shared" si="153"/>
        <v>941300</v>
      </c>
      <c r="T115" s="44">
        <f t="shared" si="153"/>
        <v>0</v>
      </c>
      <c r="U115" s="44">
        <f t="shared" si="153"/>
        <v>941300</v>
      </c>
      <c r="V115" s="44">
        <f t="shared" si="153"/>
        <v>0</v>
      </c>
      <c r="W115" s="44">
        <f t="shared" si="153"/>
        <v>941300</v>
      </c>
      <c r="X115" s="44">
        <f aca="true" t="shared" si="154" ref="X115:AC115">SUM(X116:X117)</f>
        <v>0</v>
      </c>
      <c r="Y115" s="44">
        <f t="shared" si="154"/>
        <v>941300</v>
      </c>
      <c r="Z115" s="44">
        <f t="shared" si="154"/>
        <v>75000</v>
      </c>
      <c r="AA115" s="44">
        <f t="shared" si="154"/>
        <v>1016300</v>
      </c>
      <c r="AB115" s="44">
        <f t="shared" si="154"/>
        <v>0</v>
      </c>
      <c r="AC115" s="44">
        <f t="shared" si="154"/>
        <v>1016300</v>
      </c>
      <c r="AD115" s="44">
        <f aca="true" t="shared" si="155" ref="AD115:AI115">SUM(AD116:AD117)</f>
        <v>0</v>
      </c>
      <c r="AE115" s="44">
        <f t="shared" si="155"/>
        <v>1016300</v>
      </c>
      <c r="AF115" s="44">
        <f t="shared" si="155"/>
        <v>288700</v>
      </c>
      <c r="AG115" s="44">
        <f t="shared" si="155"/>
        <v>1305000</v>
      </c>
      <c r="AH115" s="44">
        <f t="shared" si="155"/>
        <v>0</v>
      </c>
      <c r="AI115" s="44">
        <f t="shared" si="155"/>
        <v>1305000</v>
      </c>
      <c r="AJ115" s="44">
        <f>SUM(AJ116:AJ117)</f>
        <v>0</v>
      </c>
      <c r="AK115" s="44">
        <f>SUM(AK116:AK117)</f>
        <v>1305000</v>
      </c>
      <c r="AL115" s="44">
        <f>SUM(AL116:AL117)</f>
        <v>0</v>
      </c>
      <c r="AM115" s="44">
        <f>SUM(AM116:AM117)</f>
        <v>1305000</v>
      </c>
    </row>
    <row r="116" spans="1:39" s="20" customFormat="1" ht="24" customHeight="1">
      <c r="A116" s="45"/>
      <c r="B116" s="46"/>
      <c r="C116" s="52" t="s">
        <v>162</v>
      </c>
      <c r="D116" s="50" t="s">
        <v>163</v>
      </c>
      <c r="E116" s="44">
        <v>325000</v>
      </c>
      <c r="F116" s="44"/>
      <c r="G116" s="84">
        <f>SUM(E116:F116)</f>
        <v>325000</v>
      </c>
      <c r="H116" s="44"/>
      <c r="I116" s="84">
        <f>SUM(G116:H116)</f>
        <v>325000</v>
      </c>
      <c r="J116" s="44"/>
      <c r="K116" s="84">
        <f>SUM(I116:J116)</f>
        <v>325000</v>
      </c>
      <c r="L116" s="44"/>
      <c r="M116" s="84">
        <f>SUM(K116:L116)</f>
        <v>325000</v>
      </c>
      <c r="N116" s="44"/>
      <c r="O116" s="84">
        <f>SUM(M116:N116)</f>
        <v>325000</v>
      </c>
      <c r="P116" s="44"/>
      <c r="Q116" s="84">
        <f>SUM(O116:P116)</f>
        <v>325000</v>
      </c>
      <c r="R116" s="44"/>
      <c r="S116" s="84">
        <f>SUM(Q116:R116)</f>
        <v>325000</v>
      </c>
      <c r="T116" s="44"/>
      <c r="U116" s="84">
        <f>SUM(S116:T116)</f>
        <v>325000</v>
      </c>
      <c r="V116" s="44"/>
      <c r="W116" s="84">
        <f>SUM(U116:V116)</f>
        <v>325000</v>
      </c>
      <c r="X116" s="44"/>
      <c r="Y116" s="84">
        <f>SUM(W116:X116)</f>
        <v>325000</v>
      </c>
      <c r="Z116" s="44"/>
      <c r="AA116" s="84">
        <f>SUM(Y116:Z116)</f>
        <v>325000</v>
      </c>
      <c r="AB116" s="44"/>
      <c r="AC116" s="84">
        <f>SUM(AA116:AB116)</f>
        <v>325000</v>
      </c>
      <c r="AD116" s="44"/>
      <c r="AE116" s="84">
        <f>SUM(AC116:AD116)</f>
        <v>325000</v>
      </c>
      <c r="AF116" s="44"/>
      <c r="AG116" s="84">
        <f>SUM(AE116:AF116)</f>
        <v>325000</v>
      </c>
      <c r="AH116" s="44"/>
      <c r="AI116" s="84">
        <f>SUM(AG116:AH116)</f>
        <v>325000</v>
      </c>
      <c r="AJ116" s="44"/>
      <c r="AK116" s="84">
        <f>SUM(AI116:AJ116)</f>
        <v>325000</v>
      </c>
      <c r="AL116" s="44"/>
      <c r="AM116" s="84">
        <f>SUM(AK116:AL116)</f>
        <v>325000</v>
      </c>
    </row>
    <row r="117" spans="1:41" s="20" customFormat="1" ht="33.75">
      <c r="A117" s="45"/>
      <c r="B117" s="46"/>
      <c r="C117" s="47">
        <v>2030</v>
      </c>
      <c r="D117" s="50" t="s">
        <v>173</v>
      </c>
      <c r="E117" s="44">
        <v>541300</v>
      </c>
      <c r="F117" s="44"/>
      <c r="G117" s="84">
        <f>SUM(E117:F117)</f>
        <v>541300</v>
      </c>
      <c r="H117" s="44"/>
      <c r="I117" s="84">
        <f>SUM(G117:H117)</f>
        <v>541300</v>
      </c>
      <c r="J117" s="44"/>
      <c r="K117" s="84">
        <f>SUM(I117:J117)</f>
        <v>541300</v>
      </c>
      <c r="L117" s="44"/>
      <c r="M117" s="84">
        <f>SUM(K117:L117)</f>
        <v>541300</v>
      </c>
      <c r="N117" s="44">
        <v>75000</v>
      </c>
      <c r="O117" s="84">
        <f>SUM(M117:N117)</f>
        <v>616300</v>
      </c>
      <c r="P117" s="44"/>
      <c r="Q117" s="84">
        <f>SUM(O117:P117)</f>
        <v>616300</v>
      </c>
      <c r="R117" s="44"/>
      <c r="S117" s="84">
        <f>SUM(Q117:R117)</f>
        <v>616300</v>
      </c>
      <c r="T117" s="44"/>
      <c r="U117" s="84">
        <f>SUM(S117:T117)</f>
        <v>616300</v>
      </c>
      <c r="V117" s="44"/>
      <c r="W117" s="84">
        <f>SUM(U117:V117)</f>
        <v>616300</v>
      </c>
      <c r="X117" s="44"/>
      <c r="Y117" s="84">
        <f>SUM(W117:X117)</f>
        <v>616300</v>
      </c>
      <c r="Z117" s="44">
        <v>75000</v>
      </c>
      <c r="AA117" s="84">
        <f>SUM(Y117:Z117)</f>
        <v>691300</v>
      </c>
      <c r="AB117" s="44"/>
      <c r="AC117" s="84">
        <f>SUM(AA117:AB117)</f>
        <v>691300</v>
      </c>
      <c r="AD117" s="44"/>
      <c r="AE117" s="84">
        <f>SUM(AC117:AD117)</f>
        <v>691300</v>
      </c>
      <c r="AF117" s="44">
        <f>288700</f>
        <v>288700</v>
      </c>
      <c r="AG117" s="84">
        <f>SUM(AE117:AF117)</f>
        <v>980000</v>
      </c>
      <c r="AH117" s="44"/>
      <c r="AI117" s="84">
        <f>SUM(AG117:AH117)</f>
        <v>980000</v>
      </c>
      <c r="AJ117" s="44"/>
      <c r="AK117" s="84">
        <f>SUM(AI117:AJ117)</f>
        <v>980000</v>
      </c>
      <c r="AL117" s="44"/>
      <c r="AM117" s="84">
        <f>SUM(AK117:AL117)</f>
        <v>980000</v>
      </c>
      <c r="AN117" s="67"/>
      <c r="AO117" s="67"/>
    </row>
    <row r="118" spans="1:39" s="73" customFormat="1" ht="24" customHeight="1">
      <c r="A118" s="88">
        <v>853</v>
      </c>
      <c r="B118" s="92"/>
      <c r="C118" s="93"/>
      <c r="D118" s="96" t="s">
        <v>201</v>
      </c>
      <c r="E118" s="94"/>
      <c r="F118" s="94"/>
      <c r="G118" s="95"/>
      <c r="H118" s="94"/>
      <c r="I118" s="95"/>
      <c r="J118" s="94"/>
      <c r="K118" s="95"/>
      <c r="L118" s="94"/>
      <c r="M118" s="95"/>
      <c r="N118" s="94"/>
      <c r="O118" s="95"/>
      <c r="P118" s="94"/>
      <c r="Q118" s="95"/>
      <c r="R118" s="94"/>
      <c r="S118" s="95"/>
      <c r="T118" s="94"/>
      <c r="U118" s="95">
        <f aca="true" t="shared" si="156" ref="U118:AM118">SUM(U119)</f>
        <v>0</v>
      </c>
      <c r="V118" s="95">
        <f t="shared" si="156"/>
        <v>175585</v>
      </c>
      <c r="W118" s="95">
        <f t="shared" si="156"/>
        <v>175585</v>
      </c>
      <c r="X118" s="95">
        <f t="shared" si="156"/>
        <v>0</v>
      </c>
      <c r="Y118" s="95">
        <f t="shared" si="156"/>
        <v>175585</v>
      </c>
      <c r="Z118" s="95">
        <f t="shared" si="156"/>
        <v>0</v>
      </c>
      <c r="AA118" s="95">
        <f t="shared" si="156"/>
        <v>175585</v>
      </c>
      <c r="AB118" s="95">
        <f t="shared" si="156"/>
        <v>0</v>
      </c>
      <c r="AC118" s="95">
        <f t="shared" si="156"/>
        <v>175585</v>
      </c>
      <c r="AD118" s="95">
        <f t="shared" si="156"/>
        <v>0</v>
      </c>
      <c r="AE118" s="95">
        <f t="shared" si="156"/>
        <v>175585</v>
      </c>
      <c r="AF118" s="95">
        <f t="shared" si="156"/>
        <v>0</v>
      </c>
      <c r="AG118" s="95">
        <f t="shared" si="156"/>
        <v>175585</v>
      </c>
      <c r="AH118" s="95">
        <f t="shared" si="156"/>
        <v>0</v>
      </c>
      <c r="AI118" s="95">
        <f t="shared" si="156"/>
        <v>175585</v>
      </c>
      <c r="AJ118" s="95">
        <f t="shared" si="156"/>
        <v>0</v>
      </c>
      <c r="AK118" s="95">
        <f t="shared" si="156"/>
        <v>175585</v>
      </c>
      <c r="AL118" s="95">
        <f t="shared" si="156"/>
        <v>0</v>
      </c>
      <c r="AM118" s="95">
        <f t="shared" si="156"/>
        <v>175585</v>
      </c>
    </row>
    <row r="119" spans="1:39" s="20" customFormat="1" ht="23.25" customHeight="1">
      <c r="A119" s="45"/>
      <c r="B119" s="46">
        <v>85395</v>
      </c>
      <c r="C119" s="47"/>
      <c r="D119" s="50" t="s">
        <v>6</v>
      </c>
      <c r="E119" s="44"/>
      <c r="F119" s="44"/>
      <c r="G119" s="84"/>
      <c r="H119" s="44"/>
      <c r="I119" s="84"/>
      <c r="J119" s="44"/>
      <c r="K119" s="84"/>
      <c r="L119" s="44"/>
      <c r="M119" s="84"/>
      <c r="N119" s="44"/>
      <c r="O119" s="84"/>
      <c r="P119" s="44"/>
      <c r="Q119" s="84"/>
      <c r="R119" s="44"/>
      <c r="S119" s="84"/>
      <c r="T119" s="44"/>
      <c r="U119" s="84">
        <f aca="true" t="shared" si="157" ref="U119:AA119">SUM(U120:U121)</f>
        <v>0</v>
      </c>
      <c r="V119" s="84">
        <f t="shared" si="157"/>
        <v>175585</v>
      </c>
      <c r="W119" s="84">
        <f t="shared" si="157"/>
        <v>175585</v>
      </c>
      <c r="X119" s="84">
        <f t="shared" si="157"/>
        <v>0</v>
      </c>
      <c r="Y119" s="84">
        <f t="shared" si="157"/>
        <v>175585</v>
      </c>
      <c r="Z119" s="84">
        <f t="shared" si="157"/>
        <v>0</v>
      </c>
      <c r="AA119" s="84">
        <f t="shared" si="157"/>
        <v>175585</v>
      </c>
      <c r="AB119" s="84">
        <f aca="true" t="shared" si="158" ref="AB119:AG119">SUM(AB120:AB121)</f>
        <v>0</v>
      </c>
      <c r="AC119" s="84">
        <f t="shared" si="158"/>
        <v>175585</v>
      </c>
      <c r="AD119" s="84">
        <f t="shared" si="158"/>
        <v>0</v>
      </c>
      <c r="AE119" s="84">
        <f t="shared" si="158"/>
        <v>175585</v>
      </c>
      <c r="AF119" s="84">
        <f t="shared" si="158"/>
        <v>0</v>
      </c>
      <c r="AG119" s="84">
        <f t="shared" si="158"/>
        <v>175585</v>
      </c>
      <c r="AH119" s="84">
        <f aca="true" t="shared" si="159" ref="AH119:AM119">SUM(AH120:AH121)</f>
        <v>0</v>
      </c>
      <c r="AI119" s="84">
        <f t="shared" si="159"/>
        <v>175585</v>
      </c>
      <c r="AJ119" s="84">
        <f t="shared" si="159"/>
        <v>0</v>
      </c>
      <c r="AK119" s="84">
        <f t="shared" si="159"/>
        <v>175585</v>
      </c>
      <c r="AL119" s="84">
        <f t="shared" si="159"/>
        <v>0</v>
      </c>
      <c r="AM119" s="84">
        <f t="shared" si="159"/>
        <v>175585</v>
      </c>
    </row>
    <row r="120" spans="1:39" s="20" customFormat="1" ht="56.25">
      <c r="A120" s="45"/>
      <c r="B120" s="46"/>
      <c r="C120" s="47">
        <v>2708</v>
      </c>
      <c r="D120" s="50" t="s">
        <v>253</v>
      </c>
      <c r="E120" s="44"/>
      <c r="F120" s="44"/>
      <c r="G120" s="84"/>
      <c r="H120" s="44"/>
      <c r="I120" s="84"/>
      <c r="J120" s="44"/>
      <c r="K120" s="84"/>
      <c r="L120" s="44"/>
      <c r="M120" s="84"/>
      <c r="N120" s="44"/>
      <c r="O120" s="84"/>
      <c r="P120" s="44"/>
      <c r="Q120" s="84"/>
      <c r="R120" s="44"/>
      <c r="S120" s="84"/>
      <c r="T120" s="44"/>
      <c r="U120" s="84">
        <v>0</v>
      </c>
      <c r="V120" s="44">
        <f>166757</f>
        <v>166757</v>
      </c>
      <c r="W120" s="84">
        <f>SUM(U120:V120)</f>
        <v>166757</v>
      </c>
      <c r="X120" s="44"/>
      <c r="Y120" s="84">
        <f>SUM(W120:X120)</f>
        <v>166757</v>
      </c>
      <c r="Z120" s="44"/>
      <c r="AA120" s="84">
        <f>SUM(Y120:Z120)</f>
        <v>166757</v>
      </c>
      <c r="AB120" s="44"/>
      <c r="AC120" s="84">
        <f>SUM(AA120:AB120)</f>
        <v>166757</v>
      </c>
      <c r="AD120" s="44"/>
      <c r="AE120" s="84">
        <f>SUM(AC120:AD120)</f>
        <v>166757</v>
      </c>
      <c r="AF120" s="44"/>
      <c r="AG120" s="84">
        <f>SUM(AE120:AF120)</f>
        <v>166757</v>
      </c>
      <c r="AH120" s="44"/>
      <c r="AI120" s="84">
        <f>SUM(AG120:AH120)</f>
        <v>166757</v>
      </c>
      <c r="AJ120" s="44"/>
      <c r="AK120" s="84">
        <f>SUM(AI120:AJ120)</f>
        <v>166757</v>
      </c>
      <c r="AL120" s="44"/>
      <c r="AM120" s="84">
        <f>SUM(AK120:AL120)</f>
        <v>166757</v>
      </c>
    </row>
    <row r="121" spans="1:39" s="20" customFormat="1" ht="56.25">
      <c r="A121" s="45"/>
      <c r="B121" s="46"/>
      <c r="C121" s="47">
        <v>2709</v>
      </c>
      <c r="D121" s="50" t="s">
        <v>253</v>
      </c>
      <c r="E121" s="44"/>
      <c r="F121" s="44"/>
      <c r="G121" s="84"/>
      <c r="H121" s="44"/>
      <c r="I121" s="84"/>
      <c r="J121" s="44"/>
      <c r="K121" s="84"/>
      <c r="L121" s="44"/>
      <c r="M121" s="84"/>
      <c r="N121" s="44"/>
      <c r="O121" s="84"/>
      <c r="P121" s="44"/>
      <c r="Q121" s="84"/>
      <c r="R121" s="44"/>
      <c r="S121" s="84"/>
      <c r="T121" s="44"/>
      <c r="U121" s="84">
        <v>0</v>
      </c>
      <c r="V121" s="44">
        <v>8828</v>
      </c>
      <c r="W121" s="84">
        <f>SUM(U121:V121)</f>
        <v>8828</v>
      </c>
      <c r="X121" s="44"/>
      <c r="Y121" s="84">
        <f>SUM(W121:X121)</f>
        <v>8828</v>
      </c>
      <c r="Z121" s="44"/>
      <c r="AA121" s="84">
        <f>SUM(Y121:Z121)</f>
        <v>8828</v>
      </c>
      <c r="AB121" s="44"/>
      <c r="AC121" s="84">
        <f>SUM(AA121:AB121)</f>
        <v>8828</v>
      </c>
      <c r="AD121" s="44"/>
      <c r="AE121" s="84">
        <f>SUM(AC121:AD121)</f>
        <v>8828</v>
      </c>
      <c r="AF121" s="44"/>
      <c r="AG121" s="84">
        <f>SUM(AE121:AF121)</f>
        <v>8828</v>
      </c>
      <c r="AH121" s="44"/>
      <c r="AI121" s="84">
        <f>SUM(AG121:AH121)</f>
        <v>8828</v>
      </c>
      <c r="AJ121" s="44"/>
      <c r="AK121" s="84">
        <f>SUM(AI121:AJ121)</f>
        <v>8828</v>
      </c>
      <c r="AL121" s="44"/>
      <c r="AM121" s="84">
        <f>SUM(AK121:AL121)</f>
        <v>8828</v>
      </c>
    </row>
    <row r="122" spans="1:39" s="73" customFormat="1" ht="22.5" customHeight="1">
      <c r="A122" s="88">
        <v>854</v>
      </c>
      <c r="B122" s="92"/>
      <c r="C122" s="93"/>
      <c r="D122" s="30" t="s">
        <v>58</v>
      </c>
      <c r="E122" s="94"/>
      <c r="F122" s="94"/>
      <c r="G122" s="95">
        <f aca="true" t="shared" si="160" ref="G122:AL123">SUM(G123)</f>
        <v>0</v>
      </c>
      <c r="H122" s="95">
        <f t="shared" si="160"/>
        <v>252163</v>
      </c>
      <c r="I122" s="95">
        <f t="shared" si="160"/>
        <v>252163</v>
      </c>
      <c r="J122" s="95">
        <f t="shared" si="160"/>
        <v>0</v>
      </c>
      <c r="K122" s="95">
        <f t="shared" si="160"/>
        <v>252163</v>
      </c>
      <c r="L122" s="95">
        <f t="shared" si="160"/>
        <v>0</v>
      </c>
      <c r="M122" s="95">
        <f t="shared" si="160"/>
        <v>252163</v>
      </c>
      <c r="N122" s="95">
        <f t="shared" si="160"/>
        <v>0</v>
      </c>
      <c r="O122" s="95">
        <f t="shared" si="160"/>
        <v>252163</v>
      </c>
      <c r="P122" s="95">
        <f t="shared" si="160"/>
        <v>0</v>
      </c>
      <c r="Q122" s="95">
        <f t="shared" si="160"/>
        <v>252163</v>
      </c>
      <c r="R122" s="95">
        <f t="shared" si="160"/>
        <v>0</v>
      </c>
      <c r="S122" s="95">
        <f t="shared" si="160"/>
        <v>252163</v>
      </c>
      <c r="T122" s="95">
        <f t="shared" si="160"/>
        <v>0</v>
      </c>
      <c r="U122" s="95">
        <f t="shared" si="160"/>
        <v>252163</v>
      </c>
      <c r="V122" s="95">
        <f t="shared" si="160"/>
        <v>0</v>
      </c>
      <c r="W122" s="95">
        <f>SUM(W123)</f>
        <v>252163</v>
      </c>
      <c r="X122" s="95">
        <f t="shared" si="160"/>
        <v>51940</v>
      </c>
      <c r="Y122" s="95">
        <f>SUM(Y123)</f>
        <v>304103</v>
      </c>
      <c r="Z122" s="95">
        <f t="shared" si="160"/>
        <v>0</v>
      </c>
      <c r="AA122" s="95">
        <f>SUM(AA123)</f>
        <v>304103</v>
      </c>
      <c r="AB122" s="95">
        <f t="shared" si="160"/>
        <v>0</v>
      </c>
      <c r="AC122" s="95">
        <f>SUM(AC123)</f>
        <v>304103</v>
      </c>
      <c r="AD122" s="95">
        <f t="shared" si="160"/>
        <v>0</v>
      </c>
      <c r="AE122" s="95">
        <f>SUM(AE123)</f>
        <v>304103</v>
      </c>
      <c r="AF122" s="95">
        <f t="shared" si="160"/>
        <v>186528</v>
      </c>
      <c r="AG122" s="95">
        <f>SUM(AG123)</f>
        <v>490631</v>
      </c>
      <c r="AH122" s="95">
        <f t="shared" si="160"/>
        <v>0</v>
      </c>
      <c r="AI122" s="95">
        <f>SUM(AI123)</f>
        <v>490631</v>
      </c>
      <c r="AJ122" s="95">
        <f t="shared" si="160"/>
        <v>0</v>
      </c>
      <c r="AK122" s="95">
        <f>SUM(AK123)</f>
        <v>490631</v>
      </c>
      <c r="AL122" s="95">
        <f t="shared" si="160"/>
        <v>0</v>
      </c>
      <c r="AM122" s="95">
        <f>SUM(AM123)</f>
        <v>490631</v>
      </c>
    </row>
    <row r="123" spans="1:39" s="20" customFormat="1" ht="22.5" customHeight="1">
      <c r="A123" s="45"/>
      <c r="B123" s="46">
        <v>85415</v>
      </c>
      <c r="C123" s="47"/>
      <c r="D123" s="31" t="s">
        <v>184</v>
      </c>
      <c r="E123" s="44"/>
      <c r="F123" s="44"/>
      <c r="G123" s="57">
        <f t="shared" si="160"/>
        <v>0</v>
      </c>
      <c r="H123" s="57">
        <f t="shared" si="160"/>
        <v>252163</v>
      </c>
      <c r="I123" s="57">
        <f t="shared" si="160"/>
        <v>252163</v>
      </c>
      <c r="J123" s="57">
        <f t="shared" si="160"/>
        <v>0</v>
      </c>
      <c r="K123" s="57">
        <f t="shared" si="160"/>
        <v>252163</v>
      </c>
      <c r="L123" s="57">
        <f t="shared" si="160"/>
        <v>0</v>
      </c>
      <c r="M123" s="57">
        <f t="shared" si="160"/>
        <v>252163</v>
      </c>
      <c r="N123" s="57">
        <f t="shared" si="160"/>
        <v>0</v>
      </c>
      <c r="O123" s="57">
        <f t="shared" si="160"/>
        <v>252163</v>
      </c>
      <c r="P123" s="57">
        <f t="shared" si="160"/>
        <v>0</v>
      </c>
      <c r="Q123" s="57">
        <f t="shared" si="160"/>
        <v>252163</v>
      </c>
      <c r="R123" s="57">
        <f t="shared" si="160"/>
        <v>0</v>
      </c>
      <c r="S123" s="57">
        <f t="shared" si="160"/>
        <v>252163</v>
      </c>
      <c r="T123" s="57">
        <f t="shared" si="160"/>
        <v>0</v>
      </c>
      <c r="U123" s="57">
        <f t="shared" si="160"/>
        <v>252163</v>
      </c>
      <c r="V123" s="57">
        <f>SUM(V124)</f>
        <v>0</v>
      </c>
      <c r="W123" s="57">
        <f>SUM(W124)</f>
        <v>252163</v>
      </c>
      <c r="X123" s="57">
        <f>SUM(X124)</f>
        <v>51940</v>
      </c>
      <c r="Y123" s="57">
        <f>SUM(Y124)</f>
        <v>304103</v>
      </c>
      <c r="Z123" s="57">
        <f>SUM(Z124)</f>
        <v>0</v>
      </c>
      <c r="AA123" s="57">
        <f>SUM(AA124)</f>
        <v>304103</v>
      </c>
      <c r="AB123" s="57">
        <f>SUM(AB124)</f>
        <v>0</v>
      </c>
      <c r="AC123" s="57">
        <f>SUM(AC124)</f>
        <v>304103</v>
      </c>
      <c r="AD123" s="57">
        <f>SUM(AD124)</f>
        <v>0</v>
      </c>
      <c r="AE123" s="57">
        <f>SUM(AE124)</f>
        <v>304103</v>
      </c>
      <c r="AF123" s="57">
        <f>SUM(AF124)</f>
        <v>186528</v>
      </c>
      <c r="AG123" s="57">
        <f>SUM(AG124)</f>
        <v>490631</v>
      </c>
      <c r="AH123" s="57">
        <f>SUM(AH124)</f>
        <v>0</v>
      </c>
      <c r="AI123" s="57">
        <f>SUM(AI124)</f>
        <v>490631</v>
      </c>
      <c r="AJ123" s="57">
        <f>SUM(AJ124)</f>
        <v>0</v>
      </c>
      <c r="AK123" s="57">
        <f>SUM(AK124)</f>
        <v>490631</v>
      </c>
      <c r="AL123" s="57">
        <f>SUM(AL124)</f>
        <v>0</v>
      </c>
      <c r="AM123" s="57">
        <f>SUM(AM124)</f>
        <v>490631</v>
      </c>
    </row>
    <row r="124" spans="1:41" s="20" customFormat="1" ht="33.75">
      <c r="A124" s="45"/>
      <c r="B124" s="46"/>
      <c r="C124" s="47">
        <v>2030</v>
      </c>
      <c r="D124" s="50" t="s">
        <v>173</v>
      </c>
      <c r="E124" s="44"/>
      <c r="F124" s="44"/>
      <c r="G124" s="57">
        <v>0</v>
      </c>
      <c r="H124" s="44">
        <v>252163</v>
      </c>
      <c r="I124" s="57">
        <f>SUM(G124:H124)</f>
        <v>252163</v>
      </c>
      <c r="J124" s="44"/>
      <c r="K124" s="57">
        <f>SUM(I124:J124)</f>
        <v>252163</v>
      </c>
      <c r="L124" s="44"/>
      <c r="M124" s="57">
        <f>SUM(K124:L124)</f>
        <v>252163</v>
      </c>
      <c r="N124" s="44"/>
      <c r="O124" s="57">
        <f>SUM(M124:N124)</f>
        <v>252163</v>
      </c>
      <c r="P124" s="44"/>
      <c r="Q124" s="57">
        <f>SUM(O124:P124)</f>
        <v>252163</v>
      </c>
      <c r="R124" s="44"/>
      <c r="S124" s="57">
        <f>SUM(Q124:R124)</f>
        <v>252163</v>
      </c>
      <c r="T124" s="44"/>
      <c r="U124" s="57">
        <f>SUM(S124:T124)</f>
        <v>252163</v>
      </c>
      <c r="V124" s="44"/>
      <c r="W124" s="57">
        <f>SUM(U124:V124)</f>
        <v>252163</v>
      </c>
      <c r="X124" s="44">
        <v>51940</v>
      </c>
      <c r="Y124" s="57">
        <f>SUM(W124:X124)</f>
        <v>304103</v>
      </c>
      <c r="Z124" s="44"/>
      <c r="AA124" s="57">
        <f>SUM(Y124:Z124)</f>
        <v>304103</v>
      </c>
      <c r="AB124" s="44"/>
      <c r="AC124" s="57">
        <f>SUM(AA124:AB124)</f>
        <v>304103</v>
      </c>
      <c r="AD124" s="44"/>
      <c r="AE124" s="57">
        <f>SUM(AC124:AD124)</f>
        <v>304103</v>
      </c>
      <c r="AF124" s="44">
        <v>186528</v>
      </c>
      <c r="AG124" s="57">
        <f>SUM(AE124:AF124)</f>
        <v>490631</v>
      </c>
      <c r="AH124" s="44"/>
      <c r="AI124" s="57">
        <f>SUM(AG124:AH124)</f>
        <v>490631</v>
      </c>
      <c r="AJ124" s="44"/>
      <c r="AK124" s="57">
        <f>SUM(AI124:AJ124)</f>
        <v>490631</v>
      </c>
      <c r="AL124" s="44"/>
      <c r="AM124" s="57">
        <f>SUM(AK124:AL124)</f>
        <v>490631</v>
      </c>
      <c r="AN124" s="67"/>
      <c r="AO124" s="67"/>
    </row>
    <row r="125" spans="1:39" s="6" customFormat="1" ht="24" customHeight="1">
      <c r="A125" s="23">
        <v>900</v>
      </c>
      <c r="B125" s="25"/>
      <c r="C125" s="26"/>
      <c r="D125" s="24" t="s">
        <v>59</v>
      </c>
      <c r="E125" s="39">
        <f aca="true" t="shared" si="161" ref="E125:Z125">SUM(E132,E126)</f>
        <v>16000</v>
      </c>
      <c r="F125" s="39">
        <f t="shared" si="161"/>
        <v>0</v>
      </c>
      <c r="G125" s="39">
        <f t="shared" si="161"/>
        <v>16000</v>
      </c>
      <c r="H125" s="39">
        <f t="shared" si="161"/>
        <v>0</v>
      </c>
      <c r="I125" s="39">
        <f t="shared" si="161"/>
        <v>16000</v>
      </c>
      <c r="J125" s="39">
        <f t="shared" si="161"/>
        <v>0</v>
      </c>
      <c r="K125" s="39">
        <f t="shared" si="161"/>
        <v>16000</v>
      </c>
      <c r="L125" s="39">
        <f t="shared" si="161"/>
        <v>0</v>
      </c>
      <c r="M125" s="39">
        <f t="shared" si="161"/>
        <v>16000</v>
      </c>
      <c r="N125" s="39">
        <f t="shared" si="161"/>
        <v>0</v>
      </c>
      <c r="O125" s="39">
        <f t="shared" si="161"/>
        <v>16000</v>
      </c>
      <c r="P125" s="39">
        <f t="shared" si="161"/>
        <v>0</v>
      </c>
      <c r="Q125" s="39">
        <f t="shared" si="161"/>
        <v>16000</v>
      </c>
      <c r="R125" s="39">
        <f t="shared" si="161"/>
        <v>0</v>
      </c>
      <c r="S125" s="39">
        <f t="shared" si="161"/>
        <v>16000</v>
      </c>
      <c r="T125" s="39">
        <f t="shared" si="161"/>
        <v>0</v>
      </c>
      <c r="U125" s="39">
        <f t="shared" si="161"/>
        <v>16000</v>
      </c>
      <c r="V125" s="39">
        <f t="shared" si="161"/>
        <v>0</v>
      </c>
      <c r="W125" s="39">
        <f t="shared" si="161"/>
        <v>16000</v>
      </c>
      <c r="X125" s="39">
        <f t="shared" si="161"/>
        <v>0</v>
      </c>
      <c r="Y125" s="39">
        <f t="shared" si="161"/>
        <v>16000</v>
      </c>
      <c r="Z125" s="39">
        <f t="shared" si="161"/>
        <v>0</v>
      </c>
      <c r="AA125" s="39">
        <f>SUM(AA132,AA126,AA128)</f>
        <v>16000</v>
      </c>
      <c r="AB125" s="39">
        <f>SUM(AB132,AB126,AB128)</f>
        <v>2700</v>
      </c>
      <c r="AC125" s="39">
        <f>SUM(AC132,AC126,AC128)</f>
        <v>18700</v>
      </c>
      <c r="AD125" s="39">
        <f>SUM(AD132,AD126,AD128)</f>
        <v>0</v>
      </c>
      <c r="AE125" s="39">
        <f aca="true" t="shared" si="162" ref="AE125:AK125">SUM(AE132,AE126,AE128,AE130)</f>
        <v>18700</v>
      </c>
      <c r="AF125" s="39">
        <f t="shared" si="162"/>
        <v>0</v>
      </c>
      <c r="AG125" s="39">
        <f t="shared" si="162"/>
        <v>18700</v>
      </c>
      <c r="AH125" s="39">
        <f t="shared" si="162"/>
        <v>5000</v>
      </c>
      <c r="AI125" s="39">
        <f t="shared" si="162"/>
        <v>23700</v>
      </c>
      <c r="AJ125" s="39">
        <f t="shared" si="162"/>
        <v>1755</v>
      </c>
      <c r="AK125" s="39">
        <f t="shared" si="162"/>
        <v>25455</v>
      </c>
      <c r="AL125" s="39">
        <f>SUM(AL132,AL126,AL128,AL130)</f>
        <v>0</v>
      </c>
      <c r="AM125" s="39">
        <f>SUM(AM132,AM126,AM128,AM130)</f>
        <v>25455</v>
      </c>
    </row>
    <row r="126" spans="1:39" s="75" customFormat="1" ht="24" customHeight="1">
      <c r="A126" s="76"/>
      <c r="B126" s="77">
        <v>90001</v>
      </c>
      <c r="C126" s="78"/>
      <c r="D126" s="31" t="s">
        <v>60</v>
      </c>
      <c r="E126" s="79">
        <f aca="true" t="shared" si="163" ref="E126:AM126">SUM(E127)</f>
        <v>10000</v>
      </c>
      <c r="F126" s="79">
        <f t="shared" si="163"/>
        <v>0</v>
      </c>
      <c r="G126" s="79">
        <f t="shared" si="163"/>
        <v>10000</v>
      </c>
      <c r="H126" s="79">
        <f t="shared" si="163"/>
        <v>0</v>
      </c>
      <c r="I126" s="79">
        <f t="shared" si="163"/>
        <v>10000</v>
      </c>
      <c r="J126" s="79">
        <f t="shared" si="163"/>
        <v>0</v>
      </c>
      <c r="K126" s="79">
        <f t="shared" si="163"/>
        <v>10000</v>
      </c>
      <c r="L126" s="79">
        <f t="shared" si="163"/>
        <v>0</v>
      </c>
      <c r="M126" s="79">
        <f t="shared" si="163"/>
        <v>10000</v>
      </c>
      <c r="N126" s="79">
        <f t="shared" si="163"/>
        <v>0</v>
      </c>
      <c r="O126" s="79">
        <f t="shared" si="163"/>
        <v>10000</v>
      </c>
      <c r="P126" s="79">
        <f t="shared" si="163"/>
        <v>0</v>
      </c>
      <c r="Q126" s="79">
        <f t="shared" si="163"/>
        <v>10000</v>
      </c>
      <c r="R126" s="79">
        <f t="shared" si="163"/>
        <v>0</v>
      </c>
      <c r="S126" s="79">
        <f t="shared" si="163"/>
        <v>10000</v>
      </c>
      <c r="T126" s="79">
        <f t="shared" si="163"/>
        <v>0</v>
      </c>
      <c r="U126" s="79">
        <f t="shared" si="163"/>
        <v>10000</v>
      </c>
      <c r="V126" s="79">
        <f t="shared" si="163"/>
        <v>0</v>
      </c>
      <c r="W126" s="79">
        <f t="shared" si="163"/>
        <v>10000</v>
      </c>
      <c r="X126" s="79">
        <f t="shared" si="163"/>
        <v>0</v>
      </c>
      <c r="Y126" s="79">
        <f t="shared" si="163"/>
        <v>10000</v>
      </c>
      <c r="Z126" s="79">
        <f t="shared" si="163"/>
        <v>0</v>
      </c>
      <c r="AA126" s="79">
        <f t="shared" si="163"/>
        <v>10000</v>
      </c>
      <c r="AB126" s="79">
        <f t="shared" si="163"/>
        <v>0</v>
      </c>
      <c r="AC126" s="79">
        <f t="shared" si="163"/>
        <v>10000</v>
      </c>
      <c r="AD126" s="79">
        <f t="shared" si="163"/>
        <v>0</v>
      </c>
      <c r="AE126" s="79">
        <f t="shared" si="163"/>
        <v>10000</v>
      </c>
      <c r="AF126" s="79">
        <f t="shared" si="163"/>
        <v>0</v>
      </c>
      <c r="AG126" s="79">
        <f t="shared" si="163"/>
        <v>10000</v>
      </c>
      <c r="AH126" s="79">
        <f t="shared" si="163"/>
        <v>5000</v>
      </c>
      <c r="AI126" s="79">
        <f t="shared" si="163"/>
        <v>15000</v>
      </c>
      <c r="AJ126" s="79">
        <f t="shared" si="163"/>
        <v>0</v>
      </c>
      <c r="AK126" s="79">
        <f t="shared" si="163"/>
        <v>15000</v>
      </c>
      <c r="AL126" s="79">
        <f t="shared" si="163"/>
        <v>0</v>
      </c>
      <c r="AM126" s="79">
        <f t="shared" si="163"/>
        <v>15000</v>
      </c>
    </row>
    <row r="127" spans="1:39" s="75" customFormat="1" ht="24" customHeight="1">
      <c r="A127" s="80"/>
      <c r="B127" s="81"/>
      <c r="C127" s="52" t="s">
        <v>133</v>
      </c>
      <c r="D127" s="50" t="s">
        <v>12</v>
      </c>
      <c r="E127" s="79">
        <v>10000</v>
      </c>
      <c r="F127" s="79"/>
      <c r="G127" s="84">
        <f>SUM(E127:F127)</f>
        <v>10000</v>
      </c>
      <c r="H127" s="79"/>
      <c r="I127" s="84">
        <f>SUM(G127:H127)</f>
        <v>10000</v>
      </c>
      <c r="J127" s="79"/>
      <c r="K127" s="84">
        <f>SUM(I127:J127)</f>
        <v>10000</v>
      </c>
      <c r="L127" s="79"/>
      <c r="M127" s="84">
        <f>SUM(K127:L127)</f>
        <v>10000</v>
      </c>
      <c r="N127" s="79"/>
      <c r="O127" s="84">
        <f>SUM(M127:N127)</f>
        <v>10000</v>
      </c>
      <c r="P127" s="79"/>
      <c r="Q127" s="84">
        <f>SUM(O127:P127)</f>
        <v>10000</v>
      </c>
      <c r="R127" s="79"/>
      <c r="S127" s="84">
        <f>SUM(Q127:R127)</f>
        <v>10000</v>
      </c>
      <c r="T127" s="79"/>
      <c r="U127" s="84">
        <f>SUM(S127:T127)</f>
        <v>10000</v>
      </c>
      <c r="V127" s="79"/>
      <c r="W127" s="84">
        <f>SUM(U127:V127)</f>
        <v>10000</v>
      </c>
      <c r="X127" s="79"/>
      <c r="Y127" s="84">
        <f>SUM(W127:X127)</f>
        <v>10000</v>
      </c>
      <c r="Z127" s="79"/>
      <c r="AA127" s="84">
        <f>SUM(Y127:Z127)</f>
        <v>10000</v>
      </c>
      <c r="AB127" s="79"/>
      <c r="AC127" s="84">
        <f>SUM(AA127:AB127)</f>
        <v>10000</v>
      </c>
      <c r="AD127" s="79"/>
      <c r="AE127" s="84">
        <f>SUM(AC127:AD127)</f>
        <v>10000</v>
      </c>
      <c r="AF127" s="79"/>
      <c r="AG127" s="84">
        <f>SUM(AE127:AF127)</f>
        <v>10000</v>
      </c>
      <c r="AH127" s="79">
        <v>5000</v>
      </c>
      <c r="AI127" s="84">
        <f>SUM(AG127:AH127)</f>
        <v>15000</v>
      </c>
      <c r="AJ127" s="79"/>
      <c r="AK127" s="84">
        <f>SUM(AI127:AJ127)</f>
        <v>15000</v>
      </c>
      <c r="AL127" s="79"/>
      <c r="AM127" s="84">
        <f>SUM(AK127:AL127)</f>
        <v>15000</v>
      </c>
    </row>
    <row r="128" spans="1:39" s="75" customFormat="1" ht="24" customHeight="1">
      <c r="A128" s="80"/>
      <c r="B128" s="77">
        <v>90002</v>
      </c>
      <c r="C128" s="52"/>
      <c r="D128" s="31" t="s">
        <v>358</v>
      </c>
      <c r="E128" s="79"/>
      <c r="F128" s="79"/>
      <c r="G128" s="84"/>
      <c r="H128" s="79"/>
      <c r="I128" s="84"/>
      <c r="J128" s="79"/>
      <c r="K128" s="84"/>
      <c r="L128" s="79"/>
      <c r="M128" s="84"/>
      <c r="N128" s="79"/>
      <c r="O128" s="84"/>
      <c r="P128" s="79"/>
      <c r="Q128" s="84"/>
      <c r="R128" s="79"/>
      <c r="S128" s="84"/>
      <c r="T128" s="79"/>
      <c r="U128" s="84"/>
      <c r="V128" s="79"/>
      <c r="W128" s="84"/>
      <c r="X128" s="79"/>
      <c r="Y128" s="84"/>
      <c r="Z128" s="79"/>
      <c r="AA128" s="84">
        <f aca="true" t="shared" si="164" ref="AA128:AM128">SUM(AA129)</f>
        <v>0</v>
      </c>
      <c r="AB128" s="84">
        <f t="shared" si="164"/>
        <v>2700</v>
      </c>
      <c r="AC128" s="84">
        <f t="shared" si="164"/>
        <v>2700</v>
      </c>
      <c r="AD128" s="84">
        <f t="shared" si="164"/>
        <v>0</v>
      </c>
      <c r="AE128" s="84">
        <f t="shared" si="164"/>
        <v>2700</v>
      </c>
      <c r="AF128" s="84">
        <f t="shared" si="164"/>
        <v>-2700</v>
      </c>
      <c r="AG128" s="84">
        <f t="shared" si="164"/>
        <v>0</v>
      </c>
      <c r="AH128" s="84">
        <f t="shared" si="164"/>
        <v>0</v>
      </c>
      <c r="AI128" s="84">
        <f t="shared" si="164"/>
        <v>0</v>
      </c>
      <c r="AJ128" s="84">
        <f t="shared" si="164"/>
        <v>0</v>
      </c>
      <c r="AK128" s="84">
        <f t="shared" si="164"/>
        <v>0</v>
      </c>
      <c r="AL128" s="84">
        <f t="shared" si="164"/>
        <v>0</v>
      </c>
      <c r="AM128" s="84">
        <f t="shared" si="164"/>
        <v>0</v>
      </c>
    </row>
    <row r="129" spans="1:39" s="75" customFormat="1" ht="24" customHeight="1">
      <c r="A129" s="80"/>
      <c r="B129" s="81"/>
      <c r="C129" s="52" t="s">
        <v>374</v>
      </c>
      <c r="D129" s="50" t="s">
        <v>395</v>
      </c>
      <c r="E129" s="79"/>
      <c r="F129" s="79"/>
      <c r="G129" s="84"/>
      <c r="H129" s="79"/>
      <c r="I129" s="84"/>
      <c r="J129" s="79"/>
      <c r="K129" s="84"/>
      <c r="L129" s="79"/>
      <c r="M129" s="84"/>
      <c r="N129" s="79"/>
      <c r="O129" s="84"/>
      <c r="P129" s="79"/>
      <c r="Q129" s="84"/>
      <c r="R129" s="79"/>
      <c r="S129" s="84"/>
      <c r="T129" s="79"/>
      <c r="U129" s="84"/>
      <c r="V129" s="79"/>
      <c r="W129" s="84"/>
      <c r="X129" s="79"/>
      <c r="Y129" s="84"/>
      <c r="Z129" s="79"/>
      <c r="AA129" s="84">
        <v>0</v>
      </c>
      <c r="AB129" s="79">
        <v>2700</v>
      </c>
      <c r="AC129" s="84">
        <f>SUM(AA129:AB129)</f>
        <v>2700</v>
      </c>
      <c r="AD129" s="79"/>
      <c r="AE129" s="84">
        <f>SUM(AC129:AD129)</f>
        <v>2700</v>
      </c>
      <c r="AF129" s="79">
        <v>-2700</v>
      </c>
      <c r="AG129" s="84">
        <f>SUM(AE129:AF129)</f>
        <v>0</v>
      </c>
      <c r="AH129" s="79"/>
      <c r="AI129" s="84">
        <f>SUM(AG129:AH129)</f>
        <v>0</v>
      </c>
      <c r="AJ129" s="79"/>
      <c r="AK129" s="84">
        <f>SUM(AI129:AJ129)</f>
        <v>0</v>
      </c>
      <c r="AL129" s="79"/>
      <c r="AM129" s="84">
        <f>SUM(AK129:AL129)</f>
        <v>0</v>
      </c>
    </row>
    <row r="130" spans="1:39" s="75" customFormat="1" ht="33.75">
      <c r="A130" s="80"/>
      <c r="B130" s="77">
        <v>90020</v>
      </c>
      <c r="C130" s="52"/>
      <c r="D130" s="50" t="s">
        <v>402</v>
      </c>
      <c r="E130" s="79"/>
      <c r="F130" s="79"/>
      <c r="G130" s="84"/>
      <c r="H130" s="79"/>
      <c r="I130" s="84"/>
      <c r="J130" s="79"/>
      <c r="K130" s="84"/>
      <c r="L130" s="79"/>
      <c r="M130" s="84"/>
      <c r="N130" s="79"/>
      <c r="O130" s="84"/>
      <c r="P130" s="79"/>
      <c r="Q130" s="84"/>
      <c r="R130" s="79"/>
      <c r="S130" s="84"/>
      <c r="T130" s="79"/>
      <c r="U130" s="84"/>
      <c r="V130" s="79"/>
      <c r="W130" s="84"/>
      <c r="X130" s="79"/>
      <c r="Y130" s="84"/>
      <c r="Z130" s="79"/>
      <c r="AA130" s="84"/>
      <c r="AB130" s="79"/>
      <c r="AC130" s="84"/>
      <c r="AD130" s="79"/>
      <c r="AE130" s="84">
        <f aca="true" t="shared" si="165" ref="AE130:AM130">SUM(AE131)</f>
        <v>0</v>
      </c>
      <c r="AF130" s="84">
        <f t="shared" si="165"/>
        <v>2700</v>
      </c>
      <c r="AG130" s="84">
        <f t="shared" si="165"/>
        <v>2700</v>
      </c>
      <c r="AH130" s="84">
        <f t="shared" si="165"/>
        <v>0</v>
      </c>
      <c r="AI130" s="84">
        <f t="shared" si="165"/>
        <v>2700</v>
      </c>
      <c r="AJ130" s="84">
        <f t="shared" si="165"/>
        <v>1755</v>
      </c>
      <c r="AK130" s="84">
        <f t="shared" si="165"/>
        <v>4455</v>
      </c>
      <c r="AL130" s="84">
        <f t="shared" si="165"/>
        <v>0</v>
      </c>
      <c r="AM130" s="84">
        <f t="shared" si="165"/>
        <v>4455</v>
      </c>
    </row>
    <row r="131" spans="1:39" s="75" customFormat="1" ht="24" customHeight="1">
      <c r="A131" s="80"/>
      <c r="B131" s="81"/>
      <c r="C131" s="52" t="s">
        <v>374</v>
      </c>
      <c r="D131" s="50" t="s">
        <v>395</v>
      </c>
      <c r="E131" s="79"/>
      <c r="F131" s="79"/>
      <c r="G131" s="84"/>
      <c r="H131" s="79"/>
      <c r="I131" s="84"/>
      <c r="J131" s="79"/>
      <c r="K131" s="84"/>
      <c r="L131" s="79"/>
      <c r="M131" s="84"/>
      <c r="N131" s="79"/>
      <c r="O131" s="84"/>
      <c r="P131" s="79"/>
      <c r="Q131" s="84"/>
      <c r="R131" s="79"/>
      <c r="S131" s="84"/>
      <c r="T131" s="79"/>
      <c r="U131" s="84"/>
      <c r="V131" s="79"/>
      <c r="W131" s="84"/>
      <c r="X131" s="79"/>
      <c r="Y131" s="84"/>
      <c r="Z131" s="79"/>
      <c r="AA131" s="84"/>
      <c r="AB131" s="79"/>
      <c r="AC131" s="84"/>
      <c r="AD131" s="79"/>
      <c r="AE131" s="84">
        <v>0</v>
      </c>
      <c r="AF131" s="79">
        <v>2700</v>
      </c>
      <c r="AG131" s="84">
        <f>SUM(AE131:AF131)</f>
        <v>2700</v>
      </c>
      <c r="AH131" s="79"/>
      <c r="AI131" s="84">
        <f>SUM(AG131:AH131)</f>
        <v>2700</v>
      </c>
      <c r="AJ131" s="79">
        <v>1755</v>
      </c>
      <c r="AK131" s="84">
        <f>SUM(AI131:AJ131)</f>
        <v>4455</v>
      </c>
      <c r="AL131" s="79"/>
      <c r="AM131" s="84">
        <f>SUM(AK131:AL131)</f>
        <v>4455</v>
      </c>
    </row>
    <row r="132" spans="1:39" s="20" customFormat="1" ht="24" customHeight="1">
      <c r="A132" s="45"/>
      <c r="B132" s="46">
        <v>90095</v>
      </c>
      <c r="C132" s="47"/>
      <c r="D132" s="50" t="s">
        <v>6</v>
      </c>
      <c r="E132" s="44">
        <f aca="true" t="shared" si="166" ref="E132:AM132">SUM(E133)</f>
        <v>6000</v>
      </c>
      <c r="F132" s="44">
        <f t="shared" si="166"/>
        <v>0</v>
      </c>
      <c r="G132" s="44">
        <f t="shared" si="166"/>
        <v>6000</v>
      </c>
      <c r="H132" s="44">
        <f t="shared" si="166"/>
        <v>0</v>
      </c>
      <c r="I132" s="44">
        <f t="shared" si="166"/>
        <v>6000</v>
      </c>
      <c r="J132" s="44">
        <f t="shared" si="166"/>
        <v>0</v>
      </c>
      <c r="K132" s="44">
        <f t="shared" si="166"/>
        <v>6000</v>
      </c>
      <c r="L132" s="44">
        <f t="shared" si="166"/>
        <v>0</v>
      </c>
      <c r="M132" s="44">
        <f t="shared" si="166"/>
        <v>6000</v>
      </c>
      <c r="N132" s="44">
        <f t="shared" si="166"/>
        <v>0</v>
      </c>
      <c r="O132" s="44">
        <f t="shared" si="166"/>
        <v>6000</v>
      </c>
      <c r="P132" s="44">
        <f t="shared" si="166"/>
        <v>0</v>
      </c>
      <c r="Q132" s="44">
        <f t="shared" si="166"/>
        <v>6000</v>
      </c>
      <c r="R132" s="44">
        <f t="shared" si="166"/>
        <v>0</v>
      </c>
      <c r="S132" s="44">
        <f t="shared" si="166"/>
        <v>6000</v>
      </c>
      <c r="T132" s="44">
        <f t="shared" si="166"/>
        <v>0</v>
      </c>
      <c r="U132" s="44">
        <f t="shared" si="166"/>
        <v>6000</v>
      </c>
      <c r="V132" s="44">
        <f t="shared" si="166"/>
        <v>0</v>
      </c>
      <c r="W132" s="44">
        <f t="shared" si="166"/>
        <v>6000</v>
      </c>
      <c r="X132" s="44">
        <f t="shared" si="166"/>
        <v>0</v>
      </c>
      <c r="Y132" s="44">
        <f t="shared" si="166"/>
        <v>6000</v>
      </c>
      <c r="Z132" s="44">
        <f t="shared" si="166"/>
        <v>0</v>
      </c>
      <c r="AA132" s="44">
        <f t="shared" si="166"/>
        <v>6000</v>
      </c>
      <c r="AB132" s="44">
        <f t="shared" si="166"/>
        <v>0</v>
      </c>
      <c r="AC132" s="44">
        <f t="shared" si="166"/>
        <v>6000</v>
      </c>
      <c r="AD132" s="44">
        <f t="shared" si="166"/>
        <v>0</v>
      </c>
      <c r="AE132" s="44">
        <f t="shared" si="166"/>
        <v>6000</v>
      </c>
      <c r="AF132" s="44">
        <f t="shared" si="166"/>
        <v>0</v>
      </c>
      <c r="AG132" s="44">
        <f t="shared" si="166"/>
        <v>6000</v>
      </c>
      <c r="AH132" s="44">
        <f t="shared" si="166"/>
        <v>0</v>
      </c>
      <c r="AI132" s="44">
        <f t="shared" si="166"/>
        <v>6000</v>
      </c>
      <c r="AJ132" s="44">
        <f t="shared" si="166"/>
        <v>0</v>
      </c>
      <c r="AK132" s="44">
        <f t="shared" si="166"/>
        <v>6000</v>
      </c>
      <c r="AL132" s="44">
        <f t="shared" si="166"/>
        <v>0</v>
      </c>
      <c r="AM132" s="44">
        <f t="shared" si="166"/>
        <v>6000</v>
      </c>
    </row>
    <row r="133" spans="1:39" s="20" customFormat="1" ht="21.75" customHeight="1">
      <c r="A133" s="45"/>
      <c r="B133" s="46"/>
      <c r="C133" s="47" t="s">
        <v>147</v>
      </c>
      <c r="D133" s="50" t="s">
        <v>190</v>
      </c>
      <c r="E133" s="44">
        <v>6000</v>
      </c>
      <c r="F133" s="44"/>
      <c r="G133" s="84">
        <f>SUM(E133:F133)</f>
        <v>6000</v>
      </c>
      <c r="H133" s="44"/>
      <c r="I133" s="84">
        <f>SUM(G133:H133)</f>
        <v>6000</v>
      </c>
      <c r="J133" s="44"/>
      <c r="K133" s="84">
        <f>SUM(I133:J133)</f>
        <v>6000</v>
      </c>
      <c r="L133" s="44"/>
      <c r="M133" s="84">
        <f>SUM(K133:L133)</f>
        <v>6000</v>
      </c>
      <c r="N133" s="44"/>
      <c r="O133" s="84">
        <f>SUM(M133:N133)</f>
        <v>6000</v>
      </c>
      <c r="P133" s="44"/>
      <c r="Q133" s="84">
        <f>SUM(O133:P133)</f>
        <v>6000</v>
      </c>
      <c r="R133" s="44"/>
      <c r="S133" s="84">
        <f>SUM(Q133:R133)</f>
        <v>6000</v>
      </c>
      <c r="T133" s="44"/>
      <c r="U133" s="84">
        <f>SUM(S133:T133)</f>
        <v>6000</v>
      </c>
      <c r="V133" s="44"/>
      <c r="W133" s="84">
        <f>SUM(U133:V133)</f>
        <v>6000</v>
      </c>
      <c r="X133" s="44"/>
      <c r="Y133" s="84">
        <f>SUM(W133:X133)</f>
        <v>6000</v>
      </c>
      <c r="Z133" s="44"/>
      <c r="AA133" s="84">
        <f>SUM(Y133:Z133)</f>
        <v>6000</v>
      </c>
      <c r="AB133" s="44"/>
      <c r="AC133" s="84">
        <f>SUM(AA133:AB133)</f>
        <v>6000</v>
      </c>
      <c r="AD133" s="44"/>
      <c r="AE133" s="84">
        <f>SUM(AC133:AD133)</f>
        <v>6000</v>
      </c>
      <c r="AF133" s="44"/>
      <c r="AG133" s="84">
        <f>SUM(AE133:AF133)</f>
        <v>6000</v>
      </c>
      <c r="AH133" s="44"/>
      <c r="AI133" s="84">
        <f>SUM(AG133:AH133)</f>
        <v>6000</v>
      </c>
      <c r="AJ133" s="44"/>
      <c r="AK133" s="84">
        <f>SUM(AI133:AJ133)</f>
        <v>6000</v>
      </c>
      <c r="AL133" s="44"/>
      <c r="AM133" s="84">
        <f>SUM(AK133:AL133)</f>
        <v>6000</v>
      </c>
    </row>
    <row r="134" spans="1:39" s="6" customFormat="1" ht="24" customHeight="1">
      <c r="A134" s="23" t="s">
        <v>61</v>
      </c>
      <c r="B134" s="1"/>
      <c r="C134" s="2"/>
      <c r="D134" s="24" t="s">
        <v>67</v>
      </c>
      <c r="E134" s="39">
        <f>SUM(E137)</f>
        <v>60000</v>
      </c>
      <c r="F134" s="39">
        <f>SUM(F137)</f>
        <v>0</v>
      </c>
      <c r="G134" s="39">
        <f>SUM(G137)</f>
        <v>60000</v>
      </c>
      <c r="H134" s="39">
        <f>SUM(H137)</f>
        <v>0</v>
      </c>
      <c r="I134" s="39">
        <f aca="true" t="shared" si="167" ref="I134:O134">SUM(I135,I137)</f>
        <v>60000</v>
      </c>
      <c r="J134" s="39">
        <f t="shared" si="167"/>
        <v>9350</v>
      </c>
      <c r="K134" s="39">
        <f t="shared" si="167"/>
        <v>69350</v>
      </c>
      <c r="L134" s="39">
        <f t="shared" si="167"/>
        <v>0</v>
      </c>
      <c r="M134" s="39">
        <f t="shared" si="167"/>
        <v>69350</v>
      </c>
      <c r="N134" s="39">
        <f t="shared" si="167"/>
        <v>0</v>
      </c>
      <c r="O134" s="39">
        <f t="shared" si="167"/>
        <v>69350</v>
      </c>
      <c r="P134" s="39">
        <f aca="true" t="shared" si="168" ref="P134:U134">SUM(P135,P137)</f>
        <v>0</v>
      </c>
      <c r="Q134" s="39">
        <f t="shared" si="168"/>
        <v>69350</v>
      </c>
      <c r="R134" s="39">
        <f t="shared" si="168"/>
        <v>0</v>
      </c>
      <c r="S134" s="39">
        <f t="shared" si="168"/>
        <v>69350</v>
      </c>
      <c r="T134" s="39">
        <f t="shared" si="168"/>
        <v>0</v>
      </c>
      <c r="U134" s="39">
        <f t="shared" si="168"/>
        <v>69350</v>
      </c>
      <c r="V134" s="39">
        <f aca="true" t="shared" si="169" ref="V134:AA134">SUM(V135,V137)</f>
        <v>0</v>
      </c>
      <c r="W134" s="39">
        <f t="shared" si="169"/>
        <v>69350</v>
      </c>
      <c r="X134" s="39">
        <f t="shared" si="169"/>
        <v>0</v>
      </c>
      <c r="Y134" s="39">
        <f t="shared" si="169"/>
        <v>69350</v>
      </c>
      <c r="Z134" s="39">
        <f t="shared" si="169"/>
        <v>0</v>
      </c>
      <c r="AA134" s="39">
        <f t="shared" si="169"/>
        <v>69350</v>
      </c>
      <c r="AB134" s="39">
        <f aca="true" t="shared" si="170" ref="AB134:AG134">SUM(AB135,AB137)</f>
        <v>0</v>
      </c>
      <c r="AC134" s="39">
        <f t="shared" si="170"/>
        <v>69350</v>
      </c>
      <c r="AD134" s="39">
        <f t="shared" si="170"/>
        <v>0</v>
      </c>
      <c r="AE134" s="39">
        <f t="shared" si="170"/>
        <v>69350</v>
      </c>
      <c r="AF134" s="39">
        <f t="shared" si="170"/>
        <v>0</v>
      </c>
      <c r="AG134" s="39">
        <f t="shared" si="170"/>
        <v>69350</v>
      </c>
      <c r="AH134" s="39">
        <f aca="true" t="shared" si="171" ref="AH134:AM134">SUM(AH135,AH137)</f>
        <v>0</v>
      </c>
      <c r="AI134" s="39">
        <f t="shared" si="171"/>
        <v>69350</v>
      </c>
      <c r="AJ134" s="39">
        <f t="shared" si="171"/>
        <v>0</v>
      </c>
      <c r="AK134" s="39">
        <f t="shared" si="171"/>
        <v>69350</v>
      </c>
      <c r="AL134" s="39">
        <f t="shared" si="171"/>
        <v>0</v>
      </c>
      <c r="AM134" s="39">
        <f t="shared" si="171"/>
        <v>69350</v>
      </c>
    </row>
    <row r="135" spans="1:39" s="75" customFormat="1" ht="24" customHeight="1">
      <c r="A135" s="76"/>
      <c r="B135" s="82">
        <v>92105</v>
      </c>
      <c r="C135" s="85"/>
      <c r="D135" s="97" t="s">
        <v>219</v>
      </c>
      <c r="E135" s="79"/>
      <c r="F135" s="79"/>
      <c r="G135" s="79"/>
      <c r="H135" s="79"/>
      <c r="I135" s="79">
        <f aca="true" t="shared" si="172" ref="I135:AM135">SUM(I136)</f>
        <v>0</v>
      </c>
      <c r="J135" s="79">
        <f t="shared" si="172"/>
        <v>9350</v>
      </c>
      <c r="K135" s="79">
        <f t="shared" si="172"/>
        <v>9350</v>
      </c>
      <c r="L135" s="79">
        <f t="shared" si="172"/>
        <v>0</v>
      </c>
      <c r="M135" s="79">
        <f t="shared" si="172"/>
        <v>9350</v>
      </c>
      <c r="N135" s="79">
        <f t="shared" si="172"/>
        <v>0</v>
      </c>
      <c r="O135" s="79">
        <f t="shared" si="172"/>
        <v>9350</v>
      </c>
      <c r="P135" s="79">
        <f t="shared" si="172"/>
        <v>0</v>
      </c>
      <c r="Q135" s="79">
        <f t="shared" si="172"/>
        <v>9350</v>
      </c>
      <c r="R135" s="79">
        <f t="shared" si="172"/>
        <v>0</v>
      </c>
      <c r="S135" s="79">
        <f t="shared" si="172"/>
        <v>9350</v>
      </c>
      <c r="T135" s="79">
        <f t="shared" si="172"/>
        <v>0</v>
      </c>
      <c r="U135" s="79">
        <f t="shared" si="172"/>
        <v>9350</v>
      </c>
      <c r="V135" s="79">
        <f t="shared" si="172"/>
        <v>0</v>
      </c>
      <c r="W135" s="79">
        <f t="shared" si="172"/>
        <v>9350</v>
      </c>
      <c r="X135" s="79">
        <f t="shared" si="172"/>
        <v>0</v>
      </c>
      <c r="Y135" s="79">
        <f t="shared" si="172"/>
        <v>9350</v>
      </c>
      <c r="Z135" s="79">
        <f t="shared" si="172"/>
        <v>0</v>
      </c>
      <c r="AA135" s="79">
        <f t="shared" si="172"/>
        <v>9350</v>
      </c>
      <c r="AB135" s="79">
        <f t="shared" si="172"/>
        <v>0</v>
      </c>
      <c r="AC135" s="79">
        <f t="shared" si="172"/>
        <v>9350</v>
      </c>
      <c r="AD135" s="79">
        <f t="shared" si="172"/>
        <v>0</v>
      </c>
      <c r="AE135" s="79">
        <f t="shared" si="172"/>
        <v>9350</v>
      </c>
      <c r="AF135" s="79">
        <f t="shared" si="172"/>
        <v>0</v>
      </c>
      <c r="AG135" s="79">
        <f t="shared" si="172"/>
        <v>9350</v>
      </c>
      <c r="AH135" s="79">
        <f t="shared" si="172"/>
        <v>0</v>
      </c>
      <c r="AI135" s="79">
        <f t="shared" si="172"/>
        <v>9350</v>
      </c>
      <c r="AJ135" s="79">
        <f t="shared" si="172"/>
        <v>0</v>
      </c>
      <c r="AK135" s="79">
        <f t="shared" si="172"/>
        <v>9350</v>
      </c>
      <c r="AL135" s="79">
        <f t="shared" si="172"/>
        <v>0</v>
      </c>
      <c r="AM135" s="79">
        <f t="shared" si="172"/>
        <v>9350</v>
      </c>
    </row>
    <row r="136" spans="1:41" s="75" customFormat="1" ht="51" customHeight="1">
      <c r="A136" s="76"/>
      <c r="B136" s="82"/>
      <c r="C136" s="85">
        <v>2320</v>
      </c>
      <c r="D136" s="50" t="s">
        <v>174</v>
      </c>
      <c r="E136" s="79"/>
      <c r="F136" s="79"/>
      <c r="G136" s="79"/>
      <c r="H136" s="79"/>
      <c r="I136" s="79">
        <v>0</v>
      </c>
      <c r="J136" s="79">
        <f>2850+6500</f>
        <v>9350</v>
      </c>
      <c r="K136" s="79">
        <f>SUM(I136:J136)</f>
        <v>9350</v>
      </c>
      <c r="L136" s="79"/>
      <c r="M136" s="79">
        <f>SUM(K136:L136)</f>
        <v>9350</v>
      </c>
      <c r="N136" s="79"/>
      <c r="O136" s="79">
        <f>SUM(M136:N136)</f>
        <v>9350</v>
      </c>
      <c r="P136" s="79"/>
      <c r="Q136" s="79">
        <f>SUM(O136:P136)</f>
        <v>9350</v>
      </c>
      <c r="R136" s="79"/>
      <c r="S136" s="79">
        <f>SUM(Q136:R136)</f>
        <v>9350</v>
      </c>
      <c r="T136" s="79"/>
      <c r="U136" s="79">
        <f>SUM(S136:T136)</f>
        <v>9350</v>
      </c>
      <c r="V136" s="79"/>
      <c r="W136" s="79">
        <f>SUM(U136:V136)</f>
        <v>9350</v>
      </c>
      <c r="X136" s="79"/>
      <c r="Y136" s="79">
        <f>SUM(W136:X136)</f>
        <v>9350</v>
      </c>
      <c r="Z136" s="79"/>
      <c r="AA136" s="79">
        <f>SUM(Y136:Z136)</f>
        <v>9350</v>
      </c>
      <c r="AB136" s="79"/>
      <c r="AC136" s="79">
        <f>SUM(AA136:AB136)</f>
        <v>9350</v>
      </c>
      <c r="AD136" s="79"/>
      <c r="AE136" s="79">
        <f>SUM(AC136:AD136)</f>
        <v>9350</v>
      </c>
      <c r="AF136" s="79"/>
      <c r="AG136" s="79">
        <f>SUM(AE136:AF136)</f>
        <v>9350</v>
      </c>
      <c r="AH136" s="79"/>
      <c r="AI136" s="79">
        <f>SUM(AG136:AH136)</f>
        <v>9350</v>
      </c>
      <c r="AJ136" s="79"/>
      <c r="AK136" s="79">
        <f>SUM(AI136:AJ136)</f>
        <v>9350</v>
      </c>
      <c r="AL136" s="79"/>
      <c r="AM136" s="79">
        <f>SUM(AK136:AL136)</f>
        <v>9350</v>
      </c>
      <c r="AN136" s="166"/>
      <c r="AO136" s="166"/>
    </row>
    <row r="137" spans="1:39" s="20" customFormat="1" ht="24" customHeight="1">
      <c r="A137" s="45"/>
      <c r="B137" s="46" t="s">
        <v>62</v>
      </c>
      <c r="C137" s="53"/>
      <c r="D137" s="50" t="s">
        <v>63</v>
      </c>
      <c r="E137" s="44">
        <f aca="true" t="shared" si="173" ref="E137:AM137">SUM(E138)</f>
        <v>60000</v>
      </c>
      <c r="F137" s="44">
        <f t="shared" si="173"/>
        <v>0</v>
      </c>
      <c r="G137" s="44">
        <f t="shared" si="173"/>
        <v>60000</v>
      </c>
      <c r="H137" s="44">
        <f t="shared" si="173"/>
        <v>0</v>
      </c>
      <c r="I137" s="44">
        <f t="shared" si="173"/>
        <v>60000</v>
      </c>
      <c r="J137" s="44">
        <f t="shared" si="173"/>
        <v>0</v>
      </c>
      <c r="K137" s="44">
        <f t="shared" si="173"/>
        <v>60000</v>
      </c>
      <c r="L137" s="44">
        <f t="shared" si="173"/>
        <v>0</v>
      </c>
      <c r="M137" s="44">
        <f t="shared" si="173"/>
        <v>60000</v>
      </c>
      <c r="N137" s="44">
        <f t="shared" si="173"/>
        <v>0</v>
      </c>
      <c r="O137" s="44">
        <f t="shared" si="173"/>
        <v>60000</v>
      </c>
      <c r="P137" s="44">
        <f t="shared" si="173"/>
        <v>0</v>
      </c>
      <c r="Q137" s="44">
        <f t="shared" si="173"/>
        <v>60000</v>
      </c>
      <c r="R137" s="44">
        <f t="shared" si="173"/>
        <v>0</v>
      </c>
      <c r="S137" s="44">
        <f t="shared" si="173"/>
        <v>60000</v>
      </c>
      <c r="T137" s="44">
        <f t="shared" si="173"/>
        <v>0</v>
      </c>
      <c r="U137" s="44">
        <f t="shared" si="173"/>
        <v>60000</v>
      </c>
      <c r="V137" s="44">
        <f t="shared" si="173"/>
        <v>0</v>
      </c>
      <c r="W137" s="44">
        <f t="shared" si="173"/>
        <v>60000</v>
      </c>
      <c r="X137" s="44">
        <f t="shared" si="173"/>
        <v>0</v>
      </c>
      <c r="Y137" s="44">
        <f t="shared" si="173"/>
        <v>60000</v>
      </c>
      <c r="Z137" s="44">
        <f t="shared" si="173"/>
        <v>0</v>
      </c>
      <c r="AA137" s="44">
        <f t="shared" si="173"/>
        <v>60000</v>
      </c>
      <c r="AB137" s="44">
        <f t="shared" si="173"/>
        <v>0</v>
      </c>
      <c r="AC137" s="44">
        <f t="shared" si="173"/>
        <v>60000</v>
      </c>
      <c r="AD137" s="44">
        <f t="shared" si="173"/>
        <v>0</v>
      </c>
      <c r="AE137" s="44">
        <f t="shared" si="173"/>
        <v>60000</v>
      </c>
      <c r="AF137" s="44">
        <f t="shared" si="173"/>
        <v>0</v>
      </c>
      <c r="AG137" s="44">
        <f t="shared" si="173"/>
        <v>60000</v>
      </c>
      <c r="AH137" s="44">
        <f t="shared" si="173"/>
        <v>0</v>
      </c>
      <c r="AI137" s="44">
        <f t="shared" si="173"/>
        <v>60000</v>
      </c>
      <c r="AJ137" s="44">
        <f t="shared" si="173"/>
        <v>0</v>
      </c>
      <c r="AK137" s="44">
        <f t="shared" si="173"/>
        <v>60000</v>
      </c>
      <c r="AL137" s="44">
        <f t="shared" si="173"/>
        <v>0</v>
      </c>
      <c r="AM137" s="44">
        <f t="shared" si="173"/>
        <v>60000</v>
      </c>
    </row>
    <row r="138" spans="1:41" s="20" customFormat="1" ht="54.75" customHeight="1">
      <c r="A138" s="46"/>
      <c r="B138" s="46"/>
      <c r="C138" s="47">
        <v>2320</v>
      </c>
      <c r="D138" s="50" t="s">
        <v>174</v>
      </c>
      <c r="E138" s="44">
        <v>60000</v>
      </c>
      <c r="F138" s="44"/>
      <c r="G138" s="84">
        <f>SUM(E138:F138)</f>
        <v>60000</v>
      </c>
      <c r="H138" s="44"/>
      <c r="I138" s="84">
        <f>SUM(G138:H138)</f>
        <v>60000</v>
      </c>
      <c r="J138" s="44"/>
      <c r="K138" s="84">
        <f>SUM(I138:J138)</f>
        <v>60000</v>
      </c>
      <c r="L138" s="44"/>
      <c r="M138" s="84">
        <f>SUM(K138:L138)</f>
        <v>60000</v>
      </c>
      <c r="N138" s="44"/>
      <c r="O138" s="84">
        <f>SUM(M138:N138)</f>
        <v>60000</v>
      </c>
      <c r="P138" s="44"/>
      <c r="Q138" s="84">
        <f>SUM(O138:P138)</f>
        <v>60000</v>
      </c>
      <c r="R138" s="44"/>
      <c r="S138" s="84">
        <f>SUM(Q138:R138)</f>
        <v>60000</v>
      </c>
      <c r="T138" s="44"/>
      <c r="U138" s="84">
        <f>SUM(S138:T138)</f>
        <v>60000</v>
      </c>
      <c r="V138" s="44"/>
      <c r="W138" s="84">
        <f>SUM(U138:V138)</f>
        <v>60000</v>
      </c>
      <c r="X138" s="44"/>
      <c r="Y138" s="84">
        <f>SUM(W138:X138)</f>
        <v>60000</v>
      </c>
      <c r="Z138" s="44"/>
      <c r="AA138" s="84">
        <f>SUM(Y138:Z138)</f>
        <v>60000</v>
      </c>
      <c r="AB138" s="44"/>
      <c r="AC138" s="84">
        <f>SUM(AA138:AB138)</f>
        <v>60000</v>
      </c>
      <c r="AD138" s="44"/>
      <c r="AE138" s="84">
        <f>SUM(AC138:AD138)</f>
        <v>60000</v>
      </c>
      <c r="AF138" s="44"/>
      <c r="AG138" s="84">
        <f>SUM(AE138:AF138)</f>
        <v>60000</v>
      </c>
      <c r="AH138" s="44"/>
      <c r="AI138" s="84">
        <f>SUM(AG138:AH138)</f>
        <v>60000</v>
      </c>
      <c r="AJ138" s="44"/>
      <c r="AK138" s="84">
        <f>SUM(AI138:AJ138)</f>
        <v>60000</v>
      </c>
      <c r="AL138" s="44"/>
      <c r="AM138" s="84">
        <f>SUM(AK138:AL138)</f>
        <v>60000</v>
      </c>
      <c r="AN138" s="67"/>
      <c r="AO138" s="67"/>
    </row>
    <row r="139" spans="1:39" s="73" customFormat="1" ht="30" customHeight="1">
      <c r="A139" s="92">
        <v>926</v>
      </c>
      <c r="B139" s="92"/>
      <c r="C139" s="92"/>
      <c r="D139" s="30" t="s">
        <v>111</v>
      </c>
      <c r="E139" s="94"/>
      <c r="F139" s="94"/>
      <c r="G139" s="95"/>
      <c r="H139" s="94"/>
      <c r="I139" s="95">
        <f aca="true" t="shared" si="174" ref="I139:AL140">SUM(I140)</f>
        <v>0</v>
      </c>
      <c r="J139" s="95">
        <f t="shared" si="174"/>
        <v>3200</v>
      </c>
      <c r="K139" s="95">
        <f t="shared" si="174"/>
        <v>3200</v>
      </c>
      <c r="L139" s="95">
        <f t="shared" si="174"/>
        <v>0</v>
      </c>
      <c r="M139" s="95">
        <f t="shared" si="174"/>
        <v>3200</v>
      </c>
      <c r="N139" s="95">
        <f t="shared" si="174"/>
        <v>0</v>
      </c>
      <c r="O139" s="95">
        <f t="shared" si="174"/>
        <v>3200</v>
      </c>
      <c r="P139" s="95">
        <f t="shared" si="174"/>
        <v>0</v>
      </c>
      <c r="Q139" s="95">
        <f t="shared" si="174"/>
        <v>3200</v>
      </c>
      <c r="R139" s="95">
        <f t="shared" si="174"/>
        <v>0</v>
      </c>
      <c r="S139" s="95">
        <f t="shared" si="174"/>
        <v>3200</v>
      </c>
      <c r="T139" s="95">
        <f t="shared" si="174"/>
        <v>0</v>
      </c>
      <c r="U139" s="95">
        <f t="shared" si="174"/>
        <v>3200</v>
      </c>
      <c r="V139" s="95">
        <f t="shared" si="174"/>
        <v>0</v>
      </c>
      <c r="W139" s="95">
        <f t="shared" si="174"/>
        <v>3200</v>
      </c>
      <c r="X139" s="95">
        <f t="shared" si="174"/>
        <v>0</v>
      </c>
      <c r="Y139" s="95">
        <f>SUM(Y140)</f>
        <v>3200</v>
      </c>
      <c r="Z139" s="95">
        <f t="shared" si="174"/>
        <v>0</v>
      </c>
      <c r="AA139" s="95">
        <f>SUM(AA140)</f>
        <v>3200</v>
      </c>
      <c r="AB139" s="95">
        <f t="shared" si="174"/>
        <v>0</v>
      </c>
      <c r="AC139" s="95">
        <f>SUM(AC140)</f>
        <v>3200</v>
      </c>
      <c r="AD139" s="95">
        <f t="shared" si="174"/>
        <v>0</v>
      </c>
      <c r="AE139" s="95">
        <f>SUM(AE140)</f>
        <v>3200</v>
      </c>
      <c r="AF139" s="95">
        <f t="shared" si="174"/>
        <v>0</v>
      </c>
      <c r="AG139" s="95">
        <f>SUM(AG140)</f>
        <v>3200</v>
      </c>
      <c r="AH139" s="95">
        <f t="shared" si="174"/>
        <v>0</v>
      </c>
      <c r="AI139" s="95">
        <f>SUM(AI140)</f>
        <v>3200</v>
      </c>
      <c r="AJ139" s="95">
        <f t="shared" si="174"/>
        <v>0</v>
      </c>
      <c r="AK139" s="95">
        <f>SUM(AK140)</f>
        <v>3200</v>
      </c>
      <c r="AL139" s="95">
        <f t="shared" si="174"/>
        <v>0</v>
      </c>
      <c r="AM139" s="95">
        <f>SUM(AM140)</f>
        <v>3200</v>
      </c>
    </row>
    <row r="140" spans="1:39" s="20" customFormat="1" ht="30" customHeight="1">
      <c r="A140" s="46"/>
      <c r="B140" s="46">
        <v>92605</v>
      </c>
      <c r="C140" s="46"/>
      <c r="D140" s="31" t="s">
        <v>65</v>
      </c>
      <c r="E140" s="44"/>
      <c r="F140" s="44"/>
      <c r="G140" s="57"/>
      <c r="H140" s="44"/>
      <c r="I140" s="57">
        <f t="shared" si="174"/>
        <v>0</v>
      </c>
      <c r="J140" s="57">
        <f t="shared" si="174"/>
        <v>3200</v>
      </c>
      <c r="K140" s="57">
        <f t="shared" si="174"/>
        <v>3200</v>
      </c>
      <c r="L140" s="57">
        <f t="shared" si="174"/>
        <v>0</v>
      </c>
      <c r="M140" s="57">
        <f t="shared" si="174"/>
        <v>3200</v>
      </c>
      <c r="N140" s="57">
        <f t="shared" si="174"/>
        <v>0</v>
      </c>
      <c r="O140" s="57">
        <f t="shared" si="174"/>
        <v>3200</v>
      </c>
      <c r="P140" s="57">
        <f t="shared" si="174"/>
        <v>0</v>
      </c>
      <c r="Q140" s="57">
        <f t="shared" si="174"/>
        <v>3200</v>
      </c>
      <c r="R140" s="57">
        <f t="shared" si="174"/>
        <v>0</v>
      </c>
      <c r="S140" s="57">
        <f t="shared" si="174"/>
        <v>3200</v>
      </c>
      <c r="T140" s="57">
        <f t="shared" si="174"/>
        <v>0</v>
      </c>
      <c r="U140" s="57">
        <f t="shared" si="174"/>
        <v>3200</v>
      </c>
      <c r="V140" s="57">
        <f t="shared" si="174"/>
        <v>0</v>
      </c>
      <c r="W140" s="57">
        <f t="shared" si="174"/>
        <v>3200</v>
      </c>
      <c r="X140" s="57">
        <f>SUM(X141)</f>
        <v>0</v>
      </c>
      <c r="Y140" s="57">
        <f>SUM(Y141)</f>
        <v>3200</v>
      </c>
      <c r="Z140" s="57">
        <f>SUM(Z141)</f>
        <v>0</v>
      </c>
      <c r="AA140" s="57">
        <f>SUM(AA141)</f>
        <v>3200</v>
      </c>
      <c r="AB140" s="57">
        <f>SUM(AB141)</f>
        <v>0</v>
      </c>
      <c r="AC140" s="57">
        <f>SUM(AC141)</f>
        <v>3200</v>
      </c>
      <c r="AD140" s="57">
        <f>SUM(AD141)</f>
        <v>0</v>
      </c>
      <c r="AE140" s="57">
        <f>SUM(AE141)</f>
        <v>3200</v>
      </c>
      <c r="AF140" s="57">
        <f>SUM(AF141)</f>
        <v>0</v>
      </c>
      <c r="AG140" s="57">
        <f>SUM(AG141)</f>
        <v>3200</v>
      </c>
      <c r="AH140" s="57">
        <f>SUM(AH141)</f>
        <v>0</v>
      </c>
      <c r="AI140" s="57">
        <f>SUM(AI141)</f>
        <v>3200</v>
      </c>
      <c r="AJ140" s="57">
        <f>SUM(AJ141)</f>
        <v>0</v>
      </c>
      <c r="AK140" s="57">
        <f>SUM(AK141)</f>
        <v>3200</v>
      </c>
      <c r="AL140" s="57">
        <f>SUM(AL141)</f>
        <v>0</v>
      </c>
      <c r="AM140" s="57">
        <f>SUM(AM141)</f>
        <v>3200</v>
      </c>
    </row>
    <row r="141" spans="1:41" s="20" customFormat="1" ht="52.5" customHeight="1">
      <c r="A141" s="46"/>
      <c r="B141" s="46"/>
      <c r="C141" s="46">
        <v>2320</v>
      </c>
      <c r="D141" s="50" t="s">
        <v>174</v>
      </c>
      <c r="E141" s="44"/>
      <c r="F141" s="44"/>
      <c r="G141" s="57"/>
      <c r="H141" s="44"/>
      <c r="I141" s="57">
        <v>0</v>
      </c>
      <c r="J141" s="44">
        <v>3200</v>
      </c>
      <c r="K141" s="57">
        <f>SUM(I141:J141)</f>
        <v>3200</v>
      </c>
      <c r="L141" s="44"/>
      <c r="M141" s="57">
        <f>SUM(K141:L141)</f>
        <v>3200</v>
      </c>
      <c r="N141" s="44"/>
      <c r="O141" s="57">
        <f>SUM(M141:N141)</f>
        <v>3200</v>
      </c>
      <c r="P141" s="44"/>
      <c r="Q141" s="57">
        <f>SUM(O141:P141)</f>
        <v>3200</v>
      </c>
      <c r="R141" s="44"/>
      <c r="S141" s="57">
        <f>SUM(Q141:R141)</f>
        <v>3200</v>
      </c>
      <c r="T141" s="44"/>
      <c r="U141" s="57">
        <f>SUM(S141:T141)</f>
        <v>3200</v>
      </c>
      <c r="V141" s="44"/>
      <c r="W141" s="57">
        <f>SUM(U141:V141)</f>
        <v>3200</v>
      </c>
      <c r="X141" s="44"/>
      <c r="Y141" s="57">
        <f>SUM(W141:X141)</f>
        <v>3200</v>
      </c>
      <c r="Z141" s="44"/>
      <c r="AA141" s="57">
        <f>SUM(Y141:Z141)</f>
        <v>3200</v>
      </c>
      <c r="AB141" s="44"/>
      <c r="AC141" s="57">
        <f>SUM(AA141:AB141)</f>
        <v>3200</v>
      </c>
      <c r="AD141" s="44"/>
      <c r="AE141" s="57">
        <f>SUM(AC141:AD141)</f>
        <v>3200</v>
      </c>
      <c r="AF141" s="44"/>
      <c r="AG141" s="57">
        <f>SUM(AE141:AF141)</f>
        <v>3200</v>
      </c>
      <c r="AH141" s="44"/>
      <c r="AI141" s="57">
        <f>SUM(AG141:AH141)</f>
        <v>3200</v>
      </c>
      <c r="AJ141" s="44"/>
      <c r="AK141" s="57">
        <f>SUM(AI141:AJ141)</f>
        <v>3200</v>
      </c>
      <c r="AL141" s="44"/>
      <c r="AM141" s="57">
        <f>SUM(AK141:AL141)</f>
        <v>3200</v>
      </c>
      <c r="AN141" s="67"/>
      <c r="AO141" s="67"/>
    </row>
    <row r="142" spans="1:41" ht="26.25" customHeight="1">
      <c r="A142" s="13"/>
      <c r="B142" s="14"/>
      <c r="C142" s="15"/>
      <c r="D142" s="16" t="s">
        <v>66</v>
      </c>
      <c r="E142" s="39">
        <f>SUM(E7,E13,E23,E29,E34,E38,E69,E100,E125,E134,E78)</f>
        <v>56856085</v>
      </c>
      <c r="F142" s="39">
        <f>SUM(F7,F13,F23,F29,F34,F38,F69,F100,F125,F134,F78)</f>
        <v>600000</v>
      </c>
      <c r="G142" s="39">
        <f>SUM(G7,G13,G23,G29,G34,G38,G69,G100,G125,G134,G78,G122)</f>
        <v>57456085</v>
      </c>
      <c r="H142" s="39">
        <f>SUM(H7,H13,H23,H29,H34,H38,H69,H100,H125,H134,H78,H122)</f>
        <v>252163</v>
      </c>
      <c r="I142" s="39">
        <f aca="true" t="shared" si="175" ref="I142:T142">SUM(I7,I13,I23,I29,I34,I38,I69,I100,I125,I134,I78,I122,I20,I139)</f>
        <v>57708248</v>
      </c>
      <c r="J142" s="39">
        <f t="shared" si="175"/>
        <v>173624</v>
      </c>
      <c r="K142" s="39">
        <f t="shared" si="175"/>
        <v>57881872</v>
      </c>
      <c r="L142" s="39">
        <f t="shared" si="175"/>
        <v>46982</v>
      </c>
      <c r="M142" s="39">
        <f t="shared" si="175"/>
        <v>57928854</v>
      </c>
      <c r="N142" s="39">
        <f t="shared" si="175"/>
        <v>75000</v>
      </c>
      <c r="O142" s="39">
        <f t="shared" si="175"/>
        <v>58003854</v>
      </c>
      <c r="P142" s="39">
        <f t="shared" si="175"/>
        <v>286502</v>
      </c>
      <c r="Q142" s="39">
        <f t="shared" si="175"/>
        <v>58290356</v>
      </c>
      <c r="R142" s="39">
        <f t="shared" si="175"/>
        <v>6100</v>
      </c>
      <c r="S142" s="39">
        <f t="shared" si="175"/>
        <v>58296456</v>
      </c>
      <c r="T142" s="39">
        <f t="shared" si="175"/>
        <v>21240</v>
      </c>
      <c r="U142" s="39">
        <f aca="true" t="shared" si="176" ref="U142:AG142">SUM(U7,U13,U23,U29,U34,U38,U69,U100,U125,U134,U78,U122,U20,U139,U118)</f>
        <v>58317696</v>
      </c>
      <c r="V142" s="39">
        <f t="shared" si="176"/>
        <v>179586</v>
      </c>
      <c r="W142" s="39">
        <f t="shared" si="176"/>
        <v>58497282</v>
      </c>
      <c r="X142" s="39">
        <f t="shared" si="176"/>
        <v>51940</v>
      </c>
      <c r="Y142" s="39">
        <f t="shared" si="176"/>
        <v>58549222</v>
      </c>
      <c r="Z142" s="39">
        <f t="shared" si="176"/>
        <v>240668</v>
      </c>
      <c r="AA142" s="39">
        <f t="shared" si="176"/>
        <v>58789890</v>
      </c>
      <c r="AB142" s="39">
        <f t="shared" si="176"/>
        <v>36700</v>
      </c>
      <c r="AC142" s="39">
        <f t="shared" si="176"/>
        <v>58826590</v>
      </c>
      <c r="AD142" s="39">
        <f t="shared" si="176"/>
        <v>-854065</v>
      </c>
      <c r="AE142" s="39">
        <f t="shared" si="176"/>
        <v>57972525</v>
      </c>
      <c r="AF142" s="39">
        <f t="shared" si="176"/>
        <v>-657430</v>
      </c>
      <c r="AG142" s="39">
        <f t="shared" si="176"/>
        <v>57315095</v>
      </c>
      <c r="AH142" s="39">
        <f aca="true" t="shared" si="177" ref="AH142:AM142">SUM(AH7,AH13,AH23,AH29,AH34,AH38,AH69,AH100,AH125,AH134,AH78,AH122,AH20,AH139,AH118)</f>
        <v>20714</v>
      </c>
      <c r="AI142" s="39">
        <f t="shared" si="177"/>
        <v>57335809</v>
      </c>
      <c r="AJ142" s="39">
        <f t="shared" si="177"/>
        <v>313779</v>
      </c>
      <c r="AK142" s="39">
        <f t="shared" si="177"/>
        <v>57649588</v>
      </c>
      <c r="AL142" s="39">
        <f t="shared" si="177"/>
        <v>134970</v>
      </c>
      <c r="AM142" s="39">
        <f t="shared" si="177"/>
        <v>57784558</v>
      </c>
      <c r="AN142" s="167"/>
      <c r="AO142" s="167"/>
    </row>
    <row r="144" spans="4:41" ht="12.75">
      <c r="D144" s="64"/>
      <c r="E144" s="22" t="e">
        <f>SUM(E142-#REF!)</f>
        <v>#REF!</v>
      </c>
      <c r="F144" s="22" t="e">
        <f>SUM(F142-#REF!)</f>
        <v>#REF!</v>
      </c>
      <c r="AO144" s="35"/>
    </row>
    <row r="145" spans="4:32" ht="12.75">
      <c r="D145" s="64"/>
      <c r="AF145" s="22">
        <v>-3482550</v>
      </c>
    </row>
    <row r="146" spans="4:36" ht="12.75">
      <c r="D146" s="64"/>
      <c r="J146" s="22">
        <v>12550</v>
      </c>
      <c r="K146" s="22" t="s">
        <v>220</v>
      </c>
      <c r="V146" s="22">
        <v>175585</v>
      </c>
      <c r="W146" s="22" t="s">
        <v>256</v>
      </c>
      <c r="AF146" s="22">
        <v>3000</v>
      </c>
      <c r="AG146" s="22" t="s">
        <v>410</v>
      </c>
      <c r="AJ146" s="22">
        <f>AJ142-'wydatki 2009 zał.2'!AH508</f>
        <v>64839</v>
      </c>
    </row>
    <row r="147" spans="4:33" ht="12.75">
      <c r="D147" s="64"/>
      <c r="J147" s="22">
        <v>-175597</v>
      </c>
      <c r="K147" s="22" t="s">
        <v>221</v>
      </c>
      <c r="V147" s="22">
        <v>600</v>
      </c>
      <c r="W147" s="22" t="s">
        <v>254</v>
      </c>
      <c r="AF147" s="22">
        <v>-300000</v>
      </c>
      <c r="AG147" s="22" t="s">
        <v>411</v>
      </c>
    </row>
    <row r="148" spans="4:33" ht="12.75">
      <c r="D148" s="64"/>
      <c r="E148" s="22">
        <v>19069259</v>
      </c>
      <c r="J148" s="22">
        <v>24400</v>
      </c>
      <c r="K148" s="22" t="s">
        <v>222</v>
      </c>
      <c r="V148" s="22">
        <v>320</v>
      </c>
      <c r="W148" s="22" t="s">
        <v>255</v>
      </c>
      <c r="AF148" s="22">
        <v>47967</v>
      </c>
      <c r="AG148" s="22" t="s">
        <v>412</v>
      </c>
    </row>
    <row r="149" spans="4:33" ht="12.75">
      <c r="D149" s="64"/>
      <c r="AF149" s="22">
        <v>10400</v>
      </c>
      <c r="AG149" s="22" t="s">
        <v>228</v>
      </c>
    </row>
    <row r="150" spans="4:33" ht="12.75">
      <c r="D150" s="64"/>
      <c r="AF150" s="22">
        <v>186528</v>
      </c>
      <c r="AG150" s="22" t="s">
        <v>413</v>
      </c>
    </row>
    <row r="151" spans="4:39" ht="12.75">
      <c r="D151" s="64"/>
      <c r="J151" s="22">
        <v>-329</v>
      </c>
      <c r="K151" s="22" t="s">
        <v>224</v>
      </c>
      <c r="V151" s="22">
        <v>331</v>
      </c>
      <c r="AB151" s="163">
        <v>15000</v>
      </c>
      <c r="AC151" s="163" t="s">
        <v>373</v>
      </c>
      <c r="AD151" s="163"/>
      <c r="AE151" s="163"/>
      <c r="AF151" s="74">
        <f>SUM(AF145:AF150)</f>
        <v>-3534655</v>
      </c>
      <c r="AG151" s="163"/>
      <c r="AH151" s="74"/>
      <c r="AI151" s="163"/>
      <c r="AJ151" s="74"/>
      <c r="AK151" s="163"/>
      <c r="AL151" s="74"/>
      <c r="AM151" s="163"/>
    </row>
    <row r="152" spans="4:39" ht="12.75">
      <c r="D152" s="64"/>
      <c r="V152" s="22">
        <v>2750</v>
      </c>
      <c r="AB152" s="163">
        <v>15000</v>
      </c>
      <c r="AC152" s="163" t="s">
        <v>372</v>
      </c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</row>
    <row r="153" spans="4:39" ht="12.75">
      <c r="D153" s="64"/>
      <c r="J153" s="22">
        <v>334300</v>
      </c>
      <c r="K153" s="22" t="s">
        <v>225</v>
      </c>
      <c r="V153" s="74">
        <f>SUM(V146:V152)</f>
        <v>179586</v>
      </c>
      <c r="X153" s="74"/>
      <c r="Z153" s="74"/>
      <c r="AB153" s="163">
        <v>4000</v>
      </c>
      <c r="AC153" s="163" t="s">
        <v>371</v>
      </c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</row>
    <row r="154" spans="4:39" ht="12.75">
      <c r="D154" s="64"/>
      <c r="J154" s="22">
        <v>-4100</v>
      </c>
      <c r="K154" s="22" t="s">
        <v>226</v>
      </c>
      <c r="AB154" s="163">
        <v>2700</v>
      </c>
      <c r="AC154" s="163" t="s">
        <v>388</v>
      </c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</row>
    <row r="155" spans="4:39" ht="12.75">
      <c r="D155" s="64"/>
      <c r="J155" s="22">
        <v>50700</v>
      </c>
      <c r="K155" s="22" t="s">
        <v>227</v>
      </c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</row>
    <row r="156" spans="4:39" ht="12.75">
      <c r="D156" s="64"/>
      <c r="J156" s="22">
        <v>-68300</v>
      </c>
      <c r="K156" s="22" t="s">
        <v>228</v>
      </c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</row>
    <row r="157" spans="4:39" ht="12.75">
      <c r="D157" s="64"/>
      <c r="E157" s="22">
        <v>10030735</v>
      </c>
      <c r="J157" s="74">
        <f>SUM(J146:J148)</f>
        <v>-138647</v>
      </c>
      <c r="L157" s="74"/>
      <c r="N157" s="74"/>
      <c r="P157" s="74"/>
      <c r="R157" s="74"/>
      <c r="T157" s="74"/>
      <c r="V157" s="74"/>
      <c r="X157" s="74"/>
      <c r="Z157" s="74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</row>
    <row r="158" spans="4:39" ht="12.75">
      <c r="D158" s="64"/>
      <c r="E158" s="22">
        <v>9008986</v>
      </c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</row>
    <row r="159" spans="4:39" ht="12.75">
      <c r="D159" s="64"/>
      <c r="E159" s="22">
        <v>330000</v>
      </c>
      <c r="AB159" s="163"/>
      <c r="AC159" s="163"/>
      <c r="AD159" s="163"/>
      <c r="AE159" s="163"/>
      <c r="AF159" s="163"/>
      <c r="AG159" s="163"/>
      <c r="AH159" s="163"/>
      <c r="AI159" s="163"/>
      <c r="AJ159" s="163"/>
      <c r="AK159" s="163"/>
      <c r="AL159" s="163"/>
      <c r="AM159" s="163"/>
    </row>
    <row r="160" spans="4:39" ht="12.75">
      <c r="D160" s="64"/>
      <c r="E160" s="22">
        <v>211227</v>
      </c>
      <c r="AB160" s="74">
        <f>SUM(AB151:AB159)</f>
        <v>36700</v>
      </c>
      <c r="AC160" s="163"/>
      <c r="AD160" s="74">
        <f>SUM(AD151:AD159)</f>
        <v>0</v>
      </c>
      <c r="AE160" s="163"/>
      <c r="AF160" s="74">
        <f>SUM(AF151:AF159)</f>
        <v>-3534655</v>
      </c>
      <c r="AG160" s="163"/>
      <c r="AH160" s="74"/>
      <c r="AI160" s="163"/>
      <c r="AJ160" s="74"/>
      <c r="AK160" s="163"/>
      <c r="AL160" s="74"/>
      <c r="AM160" s="163"/>
    </row>
    <row r="161" spans="4:39" ht="12.75">
      <c r="D161" s="64"/>
      <c r="E161" s="22">
        <v>3910</v>
      </c>
      <c r="AB161" s="163"/>
      <c r="AC161" s="163"/>
      <c r="AD161" s="163"/>
      <c r="AE161" s="163"/>
      <c r="AF161" s="163"/>
      <c r="AG161" s="163"/>
      <c r="AH161" s="163"/>
      <c r="AI161" s="163"/>
      <c r="AJ161" s="163"/>
      <c r="AK161" s="163"/>
      <c r="AL161" s="163"/>
      <c r="AM161" s="163"/>
    </row>
    <row r="162" spans="4:39" ht="12.75">
      <c r="D162" s="64"/>
      <c r="E162" s="22">
        <v>3750</v>
      </c>
      <c r="AB162" s="163"/>
      <c r="AC162" s="163"/>
      <c r="AD162" s="163"/>
      <c r="AE162" s="163"/>
      <c r="AF162" s="163"/>
      <c r="AG162" s="163"/>
      <c r="AH162" s="163"/>
      <c r="AI162" s="163"/>
      <c r="AJ162" s="163"/>
      <c r="AK162" s="163"/>
      <c r="AL162" s="163"/>
      <c r="AM162" s="163"/>
    </row>
    <row r="163" spans="4:5" ht="12.75">
      <c r="D163" s="64"/>
      <c r="E163" s="22">
        <v>60000</v>
      </c>
    </row>
    <row r="164" ht="12.75">
      <c r="D164" s="64"/>
    </row>
    <row r="165" ht="12.75">
      <c r="D165" s="64"/>
    </row>
    <row r="166" ht="12.75">
      <c r="D166" s="64"/>
    </row>
    <row r="167" ht="12.75">
      <c r="D167" s="64"/>
    </row>
    <row r="168" spans="4:39" ht="12.75">
      <c r="D168" s="64"/>
      <c r="E168" s="74">
        <f>SUM(E148:E163)</f>
        <v>38717867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</row>
    <row r="169" ht="12.75">
      <c r="D169" s="64"/>
    </row>
    <row r="170" ht="12.75">
      <c r="D170" s="64"/>
    </row>
    <row r="171" spans="1:4" ht="12.75">
      <c r="A171" s="90"/>
      <c r="B171" s="90"/>
      <c r="C171" s="90"/>
      <c r="D171" s="63"/>
    </row>
    <row r="172" spans="3:4" ht="12.75">
      <c r="C172" s="90"/>
      <c r="D172" s="63"/>
    </row>
    <row r="173" ht="12.75">
      <c r="D173" s="64"/>
    </row>
    <row r="174" ht="12.75">
      <c r="D174" s="63"/>
    </row>
    <row r="187" spans="5:39" ht="12.75"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</row>
    <row r="188" spans="5:39" ht="12.75"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</row>
  </sheetData>
  <sheetProtection/>
  <printOptions horizontalCentered="1"/>
  <pageMargins left="0.33" right="0.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755"/>
  <sheetViews>
    <sheetView zoomScalePageLayoutView="0" workbookViewId="0" topLeftCell="A1">
      <selection activeCell="AK518" sqref="AK518"/>
    </sheetView>
  </sheetViews>
  <sheetFormatPr defaultColWidth="9.00390625" defaultRowHeight="12.75"/>
  <cols>
    <col min="1" max="1" width="5.75390625" style="6" customWidth="1"/>
    <col min="2" max="2" width="8.125" style="6" customWidth="1"/>
    <col min="3" max="3" width="6.625" style="6" customWidth="1"/>
    <col min="4" max="4" width="31.625" style="6" customWidth="1"/>
    <col min="5" max="5" width="13.875" style="22" hidden="1" customWidth="1"/>
    <col min="6" max="6" width="11.875" style="22" hidden="1" customWidth="1"/>
    <col min="7" max="7" width="41.00390625" style="22" hidden="1" customWidth="1"/>
    <col min="8" max="8" width="10.375" style="22" hidden="1" customWidth="1"/>
    <col min="9" max="9" width="43.375" style="22" hidden="1" customWidth="1"/>
    <col min="10" max="10" width="10.375" style="22" hidden="1" customWidth="1"/>
    <col min="11" max="11" width="44.875" style="22" hidden="1" customWidth="1"/>
    <col min="12" max="12" width="9.375" style="22" hidden="1" customWidth="1"/>
    <col min="13" max="13" width="40.00390625" style="22" hidden="1" customWidth="1"/>
    <col min="14" max="14" width="8.875" style="22" hidden="1" customWidth="1"/>
    <col min="15" max="15" width="0.12890625" style="22" hidden="1" customWidth="1"/>
    <col min="16" max="16" width="9.875" style="22" hidden="1" customWidth="1"/>
    <col min="17" max="17" width="42.25390625" style="22" hidden="1" customWidth="1"/>
    <col min="18" max="18" width="10.375" style="22" hidden="1" customWidth="1"/>
    <col min="19" max="19" width="42.75390625" style="22" hidden="1" customWidth="1"/>
    <col min="20" max="20" width="8.875" style="22" hidden="1" customWidth="1"/>
    <col min="21" max="22" width="0.12890625" style="22" hidden="1" customWidth="1"/>
    <col min="23" max="23" width="41.375" style="22" hidden="1" customWidth="1"/>
    <col min="24" max="24" width="9.875" style="22" hidden="1" customWidth="1"/>
    <col min="25" max="25" width="45.75390625" style="22" hidden="1" customWidth="1"/>
    <col min="26" max="26" width="10.625" style="22" hidden="1" customWidth="1"/>
    <col min="27" max="27" width="45.75390625" style="22" hidden="1" customWidth="1"/>
    <col min="28" max="28" width="10.375" style="22" hidden="1" customWidth="1"/>
    <col min="29" max="29" width="48.00390625" style="22" hidden="1" customWidth="1"/>
    <col min="30" max="30" width="11.875" style="22" hidden="1" customWidth="1"/>
    <col min="31" max="31" width="45.25390625" style="22" hidden="1" customWidth="1"/>
    <col min="32" max="32" width="10.375" style="22" hidden="1" customWidth="1"/>
    <col min="33" max="33" width="44.25390625" style="22" hidden="1" customWidth="1"/>
    <col min="34" max="34" width="11.875" style="22" hidden="1" customWidth="1"/>
    <col min="35" max="35" width="14.00390625" style="22" customWidth="1"/>
    <col min="36" max="36" width="13.375" style="22" customWidth="1"/>
    <col min="37" max="37" width="14.00390625" style="22" customWidth="1"/>
    <col min="38" max="38" width="11.75390625" style="0" customWidth="1"/>
    <col min="39" max="39" width="11.375" style="0" bestFit="1" customWidth="1"/>
    <col min="40" max="40" width="10.625" style="0" bestFit="1" customWidth="1"/>
    <col min="41" max="41" width="12.75390625" style="0" bestFit="1" customWidth="1"/>
    <col min="42" max="42" width="11.25390625" style="0" customWidth="1"/>
    <col min="43" max="43" width="12.125" style="0" bestFit="1" customWidth="1"/>
  </cols>
  <sheetData>
    <row r="1" spans="1:37" ht="12.75">
      <c r="A1" s="131"/>
      <c r="B1" s="131"/>
      <c r="C1" s="131"/>
      <c r="D1" s="131"/>
      <c r="E1" s="38" t="s">
        <v>283</v>
      </c>
      <c r="F1" s="38"/>
      <c r="G1" s="38" t="s">
        <v>284</v>
      </c>
      <c r="H1" s="38"/>
      <c r="I1" s="38" t="s">
        <v>285</v>
      </c>
      <c r="J1" s="38"/>
      <c r="K1" s="38" t="s">
        <v>286</v>
      </c>
      <c r="L1" s="38"/>
      <c r="M1" s="38" t="s">
        <v>287</v>
      </c>
      <c r="N1" s="38"/>
      <c r="O1" s="38" t="s">
        <v>288</v>
      </c>
      <c r="P1" s="38"/>
      <c r="Q1" s="38" t="s">
        <v>289</v>
      </c>
      <c r="R1" s="38"/>
      <c r="S1" s="38" t="s">
        <v>290</v>
      </c>
      <c r="T1" s="38"/>
      <c r="U1" s="38" t="s">
        <v>291</v>
      </c>
      <c r="V1" s="38"/>
      <c r="W1" s="38" t="s">
        <v>292</v>
      </c>
      <c r="X1" s="38"/>
      <c r="Y1" s="38" t="s">
        <v>390</v>
      </c>
      <c r="Z1" s="38"/>
      <c r="AA1" s="38" t="s">
        <v>398</v>
      </c>
      <c r="AB1" s="38"/>
      <c r="AC1" s="38" t="s">
        <v>427</v>
      </c>
      <c r="AD1" s="38"/>
      <c r="AE1" s="38" t="s">
        <v>432</v>
      </c>
      <c r="AF1" s="38"/>
      <c r="AG1" s="38" t="s">
        <v>437</v>
      </c>
      <c r="AH1" s="38"/>
      <c r="AI1" s="38" t="s">
        <v>443</v>
      </c>
      <c r="AJ1" s="38"/>
      <c r="AK1" s="38"/>
    </row>
    <row r="2" spans="1:37" ht="12.75">
      <c r="A2" s="131"/>
      <c r="B2" s="131"/>
      <c r="C2" s="131"/>
      <c r="D2" s="131"/>
      <c r="E2" s="38" t="s">
        <v>178</v>
      </c>
      <c r="F2" s="38"/>
      <c r="G2" s="38" t="s">
        <v>211</v>
      </c>
      <c r="H2" s="38"/>
      <c r="I2" s="38" t="s">
        <v>230</v>
      </c>
      <c r="J2" s="38"/>
      <c r="K2" s="38" t="s">
        <v>233</v>
      </c>
      <c r="L2" s="38"/>
      <c r="M2" s="38" t="s">
        <v>237</v>
      </c>
      <c r="N2" s="38"/>
      <c r="O2" s="38" t="s">
        <v>239</v>
      </c>
      <c r="P2" s="38"/>
      <c r="Q2" s="38" t="s">
        <v>245</v>
      </c>
      <c r="R2" s="38"/>
      <c r="S2" s="38" t="s">
        <v>293</v>
      </c>
      <c r="T2" s="38"/>
      <c r="U2" s="38" t="s">
        <v>257</v>
      </c>
      <c r="V2" s="38"/>
      <c r="W2" s="38" t="s">
        <v>271</v>
      </c>
      <c r="X2" s="38"/>
      <c r="Y2" s="38" t="s">
        <v>391</v>
      </c>
      <c r="Z2" s="38"/>
      <c r="AA2" s="38" t="s">
        <v>396</v>
      </c>
      <c r="AB2" s="38"/>
      <c r="AC2" s="38" t="s">
        <v>423</v>
      </c>
      <c r="AD2" s="38"/>
      <c r="AE2" s="38" t="s">
        <v>431</v>
      </c>
      <c r="AF2" s="38"/>
      <c r="AG2" s="38" t="s">
        <v>436</v>
      </c>
      <c r="AH2" s="38"/>
      <c r="AI2" s="38" t="s">
        <v>441</v>
      </c>
      <c r="AJ2" s="38"/>
      <c r="AK2" s="38"/>
    </row>
    <row r="3" spans="1:37" ht="12.75">
      <c r="A3" s="131"/>
      <c r="B3" s="131"/>
      <c r="C3" s="131"/>
      <c r="D3" s="131"/>
      <c r="E3" s="38" t="s">
        <v>119</v>
      </c>
      <c r="F3" s="38"/>
      <c r="G3" s="38" t="s">
        <v>294</v>
      </c>
      <c r="H3" s="38"/>
      <c r="I3" s="38" t="s">
        <v>284</v>
      </c>
      <c r="J3" s="38"/>
      <c r="K3" s="38" t="s">
        <v>285</v>
      </c>
      <c r="L3" s="38"/>
      <c r="M3" s="38" t="s">
        <v>286</v>
      </c>
      <c r="N3" s="38"/>
      <c r="O3" s="38" t="s">
        <v>287</v>
      </c>
      <c r="P3" s="38"/>
      <c r="Q3" s="38" t="s">
        <v>288</v>
      </c>
      <c r="R3" s="38"/>
      <c r="S3" s="38" t="s">
        <v>289</v>
      </c>
      <c r="T3" s="38"/>
      <c r="U3" s="38" t="s">
        <v>290</v>
      </c>
      <c r="V3" s="38"/>
      <c r="W3" s="38" t="s">
        <v>295</v>
      </c>
      <c r="X3" s="38"/>
      <c r="Y3" s="38" t="s">
        <v>292</v>
      </c>
      <c r="Z3" s="38"/>
      <c r="AA3" s="38" t="s">
        <v>390</v>
      </c>
      <c r="AB3" s="38"/>
      <c r="AC3" s="38" t="s">
        <v>398</v>
      </c>
      <c r="AD3" s="38"/>
      <c r="AE3" s="38" t="s">
        <v>427</v>
      </c>
      <c r="AF3" s="38"/>
      <c r="AG3" s="38" t="s">
        <v>432</v>
      </c>
      <c r="AH3" s="38"/>
      <c r="AI3" s="38" t="s">
        <v>437</v>
      </c>
      <c r="AJ3" s="38"/>
      <c r="AK3" s="38"/>
    </row>
    <row r="4" spans="1:37" ht="12.75">
      <c r="A4" s="131"/>
      <c r="B4" s="131"/>
      <c r="C4" s="131"/>
      <c r="D4" s="131"/>
      <c r="E4" s="38" t="s">
        <v>179</v>
      </c>
      <c r="F4" s="38"/>
      <c r="G4" s="38" t="s">
        <v>209</v>
      </c>
      <c r="H4" s="38"/>
      <c r="I4" s="38" t="s">
        <v>215</v>
      </c>
      <c r="J4" s="38"/>
      <c r="K4" s="38" t="s">
        <v>231</v>
      </c>
      <c r="L4" s="38"/>
      <c r="M4" s="38" t="s">
        <v>235</v>
      </c>
      <c r="N4" s="38"/>
      <c r="O4" s="38" t="s">
        <v>238</v>
      </c>
      <c r="P4" s="38"/>
      <c r="Q4" s="38" t="s">
        <v>241</v>
      </c>
      <c r="R4" s="38"/>
      <c r="S4" s="38" t="s">
        <v>248</v>
      </c>
      <c r="T4" s="38"/>
      <c r="U4" s="38" t="s">
        <v>296</v>
      </c>
      <c r="V4" s="38"/>
      <c r="W4" s="38" t="s">
        <v>297</v>
      </c>
      <c r="X4" s="38"/>
      <c r="Y4" s="38" t="s">
        <v>282</v>
      </c>
      <c r="Z4" s="38"/>
      <c r="AA4" s="38" t="s">
        <v>394</v>
      </c>
      <c r="AB4" s="38"/>
      <c r="AC4" s="38" t="s">
        <v>401</v>
      </c>
      <c r="AD4" s="38"/>
      <c r="AE4" s="38" t="s">
        <v>428</v>
      </c>
      <c r="AF4" s="38"/>
      <c r="AG4" s="38" t="s">
        <v>433</v>
      </c>
      <c r="AH4" s="38"/>
      <c r="AI4" s="38" t="s">
        <v>442</v>
      </c>
      <c r="AJ4" s="38"/>
      <c r="AK4" s="38"/>
    </row>
    <row r="5" spans="1:37" ht="21" customHeight="1">
      <c r="A5" s="162" t="s">
        <v>298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/>
      <c r="AA5"/>
      <c r="AB5"/>
      <c r="AC5"/>
      <c r="AD5"/>
      <c r="AE5"/>
      <c r="AF5"/>
      <c r="AG5"/>
      <c r="AH5"/>
      <c r="AI5"/>
      <c r="AJ5"/>
      <c r="AK5"/>
    </row>
    <row r="6" spans="1:41" s="6" customFormat="1" ht="24.75" customHeight="1">
      <c r="A6" s="29" t="s">
        <v>0</v>
      </c>
      <c r="B6" s="29" t="s">
        <v>1</v>
      </c>
      <c r="C6" s="29" t="s">
        <v>2</v>
      </c>
      <c r="D6" s="29" t="s">
        <v>3</v>
      </c>
      <c r="E6" s="132" t="s">
        <v>116</v>
      </c>
      <c r="F6" s="132" t="s">
        <v>205</v>
      </c>
      <c r="G6" s="132" t="s">
        <v>117</v>
      </c>
      <c r="H6" s="132" t="s">
        <v>205</v>
      </c>
      <c r="I6" s="132" t="s">
        <v>117</v>
      </c>
      <c r="J6" s="132" t="s">
        <v>205</v>
      </c>
      <c r="K6" s="132" t="s">
        <v>117</v>
      </c>
      <c r="L6" s="132" t="s">
        <v>205</v>
      </c>
      <c r="M6" s="132" t="s">
        <v>117</v>
      </c>
      <c r="N6" s="132" t="s">
        <v>205</v>
      </c>
      <c r="O6" s="132" t="s">
        <v>117</v>
      </c>
      <c r="P6" s="132" t="s">
        <v>205</v>
      </c>
      <c r="Q6" s="132" t="s">
        <v>117</v>
      </c>
      <c r="R6" s="132" t="s">
        <v>205</v>
      </c>
      <c r="S6" s="132" t="s">
        <v>117</v>
      </c>
      <c r="T6" s="132" t="s">
        <v>205</v>
      </c>
      <c r="U6" s="132" t="s">
        <v>117</v>
      </c>
      <c r="V6" s="132" t="s">
        <v>205</v>
      </c>
      <c r="W6" s="132" t="s">
        <v>117</v>
      </c>
      <c r="X6" s="132" t="s">
        <v>205</v>
      </c>
      <c r="Y6" s="132" t="s">
        <v>117</v>
      </c>
      <c r="Z6" s="132" t="s">
        <v>205</v>
      </c>
      <c r="AA6" s="132" t="s">
        <v>117</v>
      </c>
      <c r="AB6" s="132" t="s">
        <v>205</v>
      </c>
      <c r="AC6" s="132" t="s">
        <v>117</v>
      </c>
      <c r="AD6" s="132" t="s">
        <v>205</v>
      </c>
      <c r="AE6" s="132" t="s">
        <v>117</v>
      </c>
      <c r="AF6" s="132" t="s">
        <v>205</v>
      </c>
      <c r="AG6" s="132" t="s">
        <v>117</v>
      </c>
      <c r="AH6" s="132" t="s">
        <v>205</v>
      </c>
      <c r="AI6" s="132" t="s">
        <v>117</v>
      </c>
      <c r="AJ6" s="132" t="s">
        <v>205</v>
      </c>
      <c r="AK6" s="132" t="s">
        <v>275</v>
      </c>
      <c r="AL6" s="73"/>
      <c r="AM6" s="73"/>
      <c r="AN6" s="73"/>
      <c r="AO6" s="73"/>
    </row>
    <row r="7" spans="1:37" s="9" customFormat="1" ht="21" customHeight="1">
      <c r="A7" s="27" t="s">
        <v>4</v>
      </c>
      <c r="B7" s="133"/>
      <c r="C7" s="102"/>
      <c r="D7" s="30" t="s">
        <v>5</v>
      </c>
      <c r="E7" s="134">
        <f>SUM(E8,E10)</f>
        <v>12000</v>
      </c>
      <c r="F7" s="134">
        <f>SUM(F8,F10)</f>
        <v>300000</v>
      </c>
      <c r="G7" s="134">
        <f>SUM(G8,G10)</f>
        <v>312000</v>
      </c>
      <c r="H7" s="134">
        <f>SUM(H8,H10)</f>
        <v>0</v>
      </c>
      <c r="I7" s="134">
        <f aca="true" t="shared" si="0" ref="I7:N7">SUM(I8,I10,I14)</f>
        <v>312000</v>
      </c>
      <c r="J7" s="134">
        <f t="shared" si="0"/>
        <v>45000</v>
      </c>
      <c r="K7" s="134">
        <f t="shared" si="0"/>
        <v>357000</v>
      </c>
      <c r="L7" s="134">
        <f t="shared" si="0"/>
        <v>0</v>
      </c>
      <c r="M7" s="134">
        <f t="shared" si="0"/>
        <v>357000</v>
      </c>
      <c r="N7" s="134">
        <f t="shared" si="0"/>
        <v>0</v>
      </c>
      <c r="O7" s="134">
        <f aca="true" t="shared" si="1" ref="O7:AC7">SUM(O8,O10,O14,O16)</f>
        <v>357000</v>
      </c>
      <c r="P7" s="134">
        <f t="shared" si="1"/>
        <v>285502</v>
      </c>
      <c r="Q7" s="134">
        <f t="shared" si="1"/>
        <v>642502</v>
      </c>
      <c r="R7" s="134">
        <f t="shared" si="1"/>
        <v>0</v>
      </c>
      <c r="S7" s="134">
        <f t="shared" si="1"/>
        <v>642502</v>
      </c>
      <c r="T7" s="134">
        <f t="shared" si="1"/>
        <v>0</v>
      </c>
      <c r="U7" s="134">
        <f t="shared" si="1"/>
        <v>642502</v>
      </c>
      <c r="V7" s="134">
        <f t="shared" si="1"/>
        <v>0</v>
      </c>
      <c r="W7" s="134">
        <f t="shared" si="1"/>
        <v>642502</v>
      </c>
      <c r="X7" s="134">
        <f t="shared" si="1"/>
        <v>0</v>
      </c>
      <c r="Y7" s="134">
        <f t="shared" si="1"/>
        <v>642502</v>
      </c>
      <c r="Z7" s="134">
        <f t="shared" si="1"/>
        <v>0</v>
      </c>
      <c r="AA7" s="134">
        <f t="shared" si="1"/>
        <v>642502</v>
      </c>
      <c r="AB7" s="134">
        <f t="shared" si="1"/>
        <v>0</v>
      </c>
      <c r="AC7" s="134">
        <f t="shared" si="1"/>
        <v>642502</v>
      </c>
      <c r="AD7" s="134">
        <f aca="true" t="shared" si="2" ref="AD7:AI7">SUM(AD8,AD10,AD14,AD16)</f>
        <v>129947</v>
      </c>
      <c r="AE7" s="134">
        <f t="shared" si="2"/>
        <v>772449</v>
      </c>
      <c r="AF7" s="134">
        <f t="shared" si="2"/>
        <v>0</v>
      </c>
      <c r="AG7" s="134">
        <f t="shared" si="2"/>
        <v>772449</v>
      </c>
      <c r="AH7" s="134">
        <f t="shared" si="2"/>
        <v>0</v>
      </c>
      <c r="AI7" s="134">
        <f t="shared" si="2"/>
        <v>772449</v>
      </c>
      <c r="AJ7" s="134">
        <f>SUM(AJ8,AJ10,AJ14,AJ16)</f>
        <v>134970</v>
      </c>
      <c r="AK7" s="134">
        <f>SUM(AK8,AK10,AK14,AK16)</f>
        <v>907419</v>
      </c>
    </row>
    <row r="8" spans="1:37" s="20" customFormat="1" ht="21" customHeight="1">
      <c r="A8" s="41"/>
      <c r="B8" s="55" t="s">
        <v>299</v>
      </c>
      <c r="C8" s="135"/>
      <c r="D8" s="31" t="s">
        <v>300</v>
      </c>
      <c r="E8" s="54">
        <f aca="true" t="shared" si="3" ref="E8:AK8">SUM(E9)</f>
        <v>12000</v>
      </c>
      <c r="F8" s="54">
        <f t="shared" si="3"/>
        <v>0</v>
      </c>
      <c r="G8" s="54">
        <f t="shared" si="3"/>
        <v>12000</v>
      </c>
      <c r="H8" s="54">
        <f t="shared" si="3"/>
        <v>0</v>
      </c>
      <c r="I8" s="54">
        <f t="shared" si="3"/>
        <v>12000</v>
      </c>
      <c r="J8" s="54">
        <f t="shared" si="3"/>
        <v>0</v>
      </c>
      <c r="K8" s="54">
        <f t="shared" si="3"/>
        <v>12000</v>
      </c>
      <c r="L8" s="54">
        <f t="shared" si="3"/>
        <v>0</v>
      </c>
      <c r="M8" s="54">
        <f t="shared" si="3"/>
        <v>12000</v>
      </c>
      <c r="N8" s="54">
        <f t="shared" si="3"/>
        <v>0</v>
      </c>
      <c r="O8" s="54">
        <f t="shared" si="3"/>
        <v>12000</v>
      </c>
      <c r="P8" s="54">
        <f t="shared" si="3"/>
        <v>0</v>
      </c>
      <c r="Q8" s="54">
        <f t="shared" si="3"/>
        <v>12000</v>
      </c>
      <c r="R8" s="54">
        <f t="shared" si="3"/>
        <v>0</v>
      </c>
      <c r="S8" s="54">
        <f t="shared" si="3"/>
        <v>12000</v>
      </c>
      <c r="T8" s="54">
        <f t="shared" si="3"/>
        <v>0</v>
      </c>
      <c r="U8" s="54">
        <f t="shared" si="3"/>
        <v>12000</v>
      </c>
      <c r="V8" s="54">
        <f t="shared" si="3"/>
        <v>0</v>
      </c>
      <c r="W8" s="54">
        <f t="shared" si="3"/>
        <v>12000</v>
      </c>
      <c r="X8" s="54">
        <f t="shared" si="3"/>
        <v>0</v>
      </c>
      <c r="Y8" s="54">
        <f t="shared" si="3"/>
        <v>12000</v>
      </c>
      <c r="Z8" s="54">
        <f t="shared" si="3"/>
        <v>0</v>
      </c>
      <c r="AA8" s="54">
        <f t="shared" si="3"/>
        <v>12000</v>
      </c>
      <c r="AB8" s="54">
        <f t="shared" si="3"/>
        <v>0</v>
      </c>
      <c r="AC8" s="54">
        <f t="shared" si="3"/>
        <v>12000</v>
      </c>
      <c r="AD8" s="54">
        <f t="shared" si="3"/>
        <v>0</v>
      </c>
      <c r="AE8" s="54">
        <f t="shared" si="3"/>
        <v>12000</v>
      </c>
      <c r="AF8" s="54">
        <f t="shared" si="3"/>
        <v>0</v>
      </c>
      <c r="AG8" s="54">
        <f t="shared" si="3"/>
        <v>12000</v>
      </c>
      <c r="AH8" s="54">
        <f t="shared" si="3"/>
        <v>0</v>
      </c>
      <c r="AI8" s="54">
        <f t="shared" si="3"/>
        <v>12000</v>
      </c>
      <c r="AJ8" s="54">
        <f t="shared" si="3"/>
        <v>0</v>
      </c>
      <c r="AK8" s="54">
        <f t="shared" si="3"/>
        <v>12000</v>
      </c>
    </row>
    <row r="9" spans="1:37" s="20" customFormat="1" ht="36">
      <c r="A9" s="56"/>
      <c r="B9" s="136"/>
      <c r="C9" s="135">
        <v>2850</v>
      </c>
      <c r="D9" s="31" t="s">
        <v>301</v>
      </c>
      <c r="E9" s="54">
        <v>12000</v>
      </c>
      <c r="F9" s="54"/>
      <c r="G9" s="54">
        <f>SUM(E9:F9)</f>
        <v>12000</v>
      </c>
      <c r="H9" s="54"/>
      <c r="I9" s="54">
        <f>SUM(G9:H9)</f>
        <v>12000</v>
      </c>
      <c r="J9" s="54"/>
      <c r="K9" s="54">
        <f>SUM(I9:J9)</f>
        <v>12000</v>
      </c>
      <c r="L9" s="54"/>
      <c r="M9" s="54">
        <f>SUM(K9:L9)</f>
        <v>12000</v>
      </c>
      <c r="N9" s="54"/>
      <c r="O9" s="54">
        <f>SUM(M9:N9)</f>
        <v>12000</v>
      </c>
      <c r="P9" s="54"/>
      <c r="Q9" s="54">
        <f>SUM(O9:P9)</f>
        <v>12000</v>
      </c>
      <c r="R9" s="54"/>
      <c r="S9" s="54">
        <f>SUM(Q9:R9)</f>
        <v>12000</v>
      </c>
      <c r="T9" s="54"/>
      <c r="U9" s="54">
        <f>SUM(S9:T9)</f>
        <v>12000</v>
      </c>
      <c r="V9" s="54"/>
      <c r="W9" s="54">
        <f>SUM(U9:V9)</f>
        <v>12000</v>
      </c>
      <c r="X9" s="54"/>
      <c r="Y9" s="54">
        <f>SUM(W9:X9)</f>
        <v>12000</v>
      </c>
      <c r="Z9" s="54"/>
      <c r="AA9" s="54">
        <f>SUM(Y9:Z9)</f>
        <v>12000</v>
      </c>
      <c r="AB9" s="54"/>
      <c r="AC9" s="54">
        <f>SUM(AA9:AB9)</f>
        <v>12000</v>
      </c>
      <c r="AD9" s="54"/>
      <c r="AE9" s="54">
        <f>SUM(AC9:AD9)</f>
        <v>12000</v>
      </c>
      <c r="AF9" s="54"/>
      <c r="AG9" s="54">
        <f>SUM(AE9:AF9)</f>
        <v>12000</v>
      </c>
      <c r="AH9" s="54"/>
      <c r="AI9" s="54">
        <f>SUM(AG9:AH9)</f>
        <v>12000</v>
      </c>
      <c r="AJ9" s="54"/>
      <c r="AK9" s="54">
        <f>SUM(AI9:AJ9)</f>
        <v>12000</v>
      </c>
    </row>
    <row r="10" spans="1:37" s="138" customFormat="1" ht="24" customHeight="1">
      <c r="A10" s="137"/>
      <c r="B10" s="136" t="s">
        <v>302</v>
      </c>
      <c r="C10" s="135"/>
      <c r="D10" s="31" t="s">
        <v>303</v>
      </c>
      <c r="E10" s="54">
        <f aca="true" t="shared" si="4" ref="E10:Z10">SUM(E11)</f>
        <v>0</v>
      </c>
      <c r="F10" s="54">
        <f t="shared" si="4"/>
        <v>300000</v>
      </c>
      <c r="G10" s="54">
        <f t="shared" si="4"/>
        <v>300000</v>
      </c>
      <c r="H10" s="54">
        <f t="shared" si="4"/>
        <v>0</v>
      </c>
      <c r="I10" s="54">
        <f t="shared" si="4"/>
        <v>300000</v>
      </c>
      <c r="J10" s="54">
        <f t="shared" si="4"/>
        <v>0</v>
      </c>
      <c r="K10" s="54">
        <f t="shared" si="4"/>
        <v>300000</v>
      </c>
      <c r="L10" s="54">
        <f t="shared" si="4"/>
        <v>0</v>
      </c>
      <c r="M10" s="54">
        <f t="shared" si="4"/>
        <v>300000</v>
      </c>
      <c r="N10" s="54">
        <f t="shared" si="4"/>
        <v>0</v>
      </c>
      <c r="O10" s="54">
        <f t="shared" si="4"/>
        <v>300000</v>
      </c>
      <c r="P10" s="54">
        <f t="shared" si="4"/>
        <v>0</v>
      </c>
      <c r="Q10" s="54">
        <f t="shared" si="4"/>
        <v>300000</v>
      </c>
      <c r="R10" s="54">
        <f t="shared" si="4"/>
        <v>0</v>
      </c>
      <c r="S10" s="54">
        <f t="shared" si="4"/>
        <v>300000</v>
      </c>
      <c r="T10" s="54">
        <f t="shared" si="4"/>
        <v>0</v>
      </c>
      <c r="U10" s="54">
        <f t="shared" si="4"/>
        <v>300000</v>
      </c>
      <c r="V10" s="54">
        <f t="shared" si="4"/>
        <v>0</v>
      </c>
      <c r="W10" s="54">
        <f t="shared" si="4"/>
        <v>300000</v>
      </c>
      <c r="X10" s="54">
        <f t="shared" si="4"/>
        <v>0</v>
      </c>
      <c r="Y10" s="54">
        <f t="shared" si="4"/>
        <v>300000</v>
      </c>
      <c r="Z10" s="54">
        <f t="shared" si="4"/>
        <v>0</v>
      </c>
      <c r="AA10" s="54">
        <f aca="true" t="shared" si="5" ref="AA10:AG10">SUM(AA11:AA13)</f>
        <v>300000</v>
      </c>
      <c r="AB10" s="54">
        <f t="shared" si="5"/>
        <v>0</v>
      </c>
      <c r="AC10" s="54">
        <f t="shared" si="5"/>
        <v>300000</v>
      </c>
      <c r="AD10" s="54">
        <f t="shared" si="5"/>
        <v>0</v>
      </c>
      <c r="AE10" s="54">
        <f t="shared" si="5"/>
        <v>300000</v>
      </c>
      <c r="AF10" s="54">
        <f t="shared" si="5"/>
        <v>0</v>
      </c>
      <c r="AG10" s="54">
        <f t="shared" si="5"/>
        <v>300000</v>
      </c>
      <c r="AH10" s="54">
        <f>SUM(AH11:AH13)</f>
        <v>0</v>
      </c>
      <c r="AI10" s="54">
        <f>SUM(AI11:AI13)</f>
        <v>300000</v>
      </c>
      <c r="AJ10" s="54">
        <f>SUM(AJ11:AJ13)</f>
        <v>0</v>
      </c>
      <c r="AK10" s="54">
        <f>SUM(AK11:AK13)</f>
        <v>300000</v>
      </c>
    </row>
    <row r="11" spans="1:37" s="20" customFormat="1" ht="20.25" customHeight="1">
      <c r="A11" s="56"/>
      <c r="B11" s="136"/>
      <c r="C11" s="135">
        <v>4300</v>
      </c>
      <c r="D11" s="31" t="s">
        <v>75</v>
      </c>
      <c r="E11" s="54">
        <v>0</v>
      </c>
      <c r="F11" s="54">
        <v>300000</v>
      </c>
      <c r="G11" s="54">
        <f>SUM(E11:F11)</f>
        <v>300000</v>
      </c>
      <c r="H11" s="54"/>
      <c r="I11" s="54">
        <f>SUM(G11:H11)</f>
        <v>300000</v>
      </c>
      <c r="J11" s="54"/>
      <c r="K11" s="54">
        <f>SUM(I11:J11)</f>
        <v>300000</v>
      </c>
      <c r="L11" s="54"/>
      <c r="M11" s="54">
        <f>SUM(K11:L11)</f>
        <v>300000</v>
      </c>
      <c r="N11" s="54"/>
      <c r="O11" s="54">
        <f>SUM(M11:N11)</f>
        <v>300000</v>
      </c>
      <c r="P11" s="54"/>
      <c r="Q11" s="54">
        <f>SUM(O11:P11)</f>
        <v>300000</v>
      </c>
      <c r="R11" s="54"/>
      <c r="S11" s="54">
        <f>SUM(Q11:R11)</f>
        <v>300000</v>
      </c>
      <c r="T11" s="54"/>
      <c r="U11" s="54">
        <f>SUM(S11:T11)</f>
        <v>300000</v>
      </c>
      <c r="V11" s="54"/>
      <c r="W11" s="54">
        <f>SUM(U11:V11)</f>
        <v>300000</v>
      </c>
      <c r="X11" s="54"/>
      <c r="Y11" s="54">
        <f>SUM(W11:X11)</f>
        <v>300000</v>
      </c>
      <c r="Z11" s="54"/>
      <c r="AA11" s="54">
        <f>SUM(Y11:Z11)</f>
        <v>300000</v>
      </c>
      <c r="AB11" s="54">
        <f>-3000-293-135</f>
        <v>-3428</v>
      </c>
      <c r="AC11" s="54">
        <f>SUM(AA11:AB11)</f>
        <v>296572</v>
      </c>
      <c r="AD11" s="54"/>
      <c r="AE11" s="54">
        <f>SUM(AC11:AD11)</f>
        <v>296572</v>
      </c>
      <c r="AF11" s="54">
        <f>-428-3000</f>
        <v>-3428</v>
      </c>
      <c r="AG11" s="54">
        <f>SUM(AE11:AF11)</f>
        <v>293144</v>
      </c>
      <c r="AH11" s="54"/>
      <c r="AI11" s="54">
        <f>SUM(AG11:AH11)</f>
        <v>293144</v>
      </c>
      <c r="AJ11" s="54"/>
      <c r="AK11" s="54">
        <f>SUM(AI11:AJ11)</f>
        <v>293144</v>
      </c>
    </row>
    <row r="12" spans="1:39" s="20" customFormat="1" ht="20.25" customHeight="1">
      <c r="A12" s="56"/>
      <c r="B12" s="136"/>
      <c r="C12" s="135">
        <v>4110</v>
      </c>
      <c r="D12" s="31" t="s">
        <v>81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>
        <v>0</v>
      </c>
      <c r="AB12" s="54">
        <f>293+135</f>
        <v>428</v>
      </c>
      <c r="AC12" s="54">
        <f>SUM(AA12:AB12)</f>
        <v>428</v>
      </c>
      <c r="AD12" s="54"/>
      <c r="AE12" s="54">
        <f>SUM(AC12:AD12)</f>
        <v>428</v>
      </c>
      <c r="AF12" s="54">
        <v>428</v>
      </c>
      <c r="AG12" s="54">
        <f>SUM(AE12:AF12)</f>
        <v>856</v>
      </c>
      <c r="AH12" s="54"/>
      <c r="AI12" s="54">
        <f>SUM(AG12:AH12)</f>
        <v>856</v>
      </c>
      <c r="AJ12" s="54"/>
      <c r="AK12" s="54">
        <f>SUM(AI12:AJ12)</f>
        <v>856</v>
      </c>
      <c r="AL12" s="67"/>
      <c r="AM12" s="67"/>
    </row>
    <row r="13" spans="1:39" s="20" customFormat="1" ht="20.25" customHeight="1">
      <c r="A13" s="56"/>
      <c r="B13" s="136"/>
      <c r="C13" s="135">
        <v>4170</v>
      </c>
      <c r="D13" s="31" t="s">
        <v>161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>
        <v>0</v>
      </c>
      <c r="AB13" s="54">
        <v>3000</v>
      </c>
      <c r="AC13" s="54">
        <f>SUM(AA13:AB13)</f>
        <v>3000</v>
      </c>
      <c r="AD13" s="54"/>
      <c r="AE13" s="54">
        <f>SUM(AC13:AD13)</f>
        <v>3000</v>
      </c>
      <c r="AF13" s="54">
        <v>3000</v>
      </c>
      <c r="AG13" s="54">
        <f>SUM(AE13:AF13)</f>
        <v>6000</v>
      </c>
      <c r="AH13" s="54"/>
      <c r="AI13" s="54">
        <f>SUM(AG13:AH13)</f>
        <v>6000</v>
      </c>
      <c r="AJ13" s="54"/>
      <c r="AK13" s="54">
        <f>SUM(AI13:AJ13)</f>
        <v>6000</v>
      </c>
      <c r="AL13" s="67"/>
      <c r="AM13" s="67"/>
    </row>
    <row r="14" spans="1:37" s="20" customFormat="1" ht="20.25" customHeight="1">
      <c r="A14" s="56"/>
      <c r="B14" s="136" t="s">
        <v>223</v>
      </c>
      <c r="C14" s="135"/>
      <c r="D14" s="31" t="s">
        <v>304</v>
      </c>
      <c r="E14" s="54"/>
      <c r="F14" s="54"/>
      <c r="G14" s="54"/>
      <c r="H14" s="54"/>
      <c r="I14" s="54">
        <f aca="true" t="shared" si="6" ref="I14:AK14">SUM(I15)</f>
        <v>0</v>
      </c>
      <c r="J14" s="54">
        <f t="shared" si="6"/>
        <v>45000</v>
      </c>
      <c r="K14" s="54">
        <f t="shared" si="6"/>
        <v>45000</v>
      </c>
      <c r="L14" s="54">
        <f t="shared" si="6"/>
        <v>0</v>
      </c>
      <c r="M14" s="54">
        <f t="shared" si="6"/>
        <v>45000</v>
      </c>
      <c r="N14" s="54">
        <f t="shared" si="6"/>
        <v>0</v>
      </c>
      <c r="O14" s="54">
        <f t="shared" si="6"/>
        <v>45000</v>
      </c>
      <c r="P14" s="54">
        <f t="shared" si="6"/>
        <v>0</v>
      </c>
      <c r="Q14" s="54">
        <f t="shared" si="6"/>
        <v>45000</v>
      </c>
      <c r="R14" s="54">
        <f t="shared" si="6"/>
        <v>0</v>
      </c>
      <c r="S14" s="54">
        <f t="shared" si="6"/>
        <v>45000</v>
      </c>
      <c r="T14" s="54">
        <f t="shared" si="6"/>
        <v>0</v>
      </c>
      <c r="U14" s="54">
        <f t="shared" si="6"/>
        <v>45000</v>
      </c>
      <c r="V14" s="54">
        <f t="shared" si="6"/>
        <v>0</v>
      </c>
      <c r="W14" s="54">
        <f t="shared" si="6"/>
        <v>45000</v>
      </c>
      <c r="X14" s="54">
        <f t="shared" si="6"/>
        <v>0</v>
      </c>
      <c r="Y14" s="54">
        <f t="shared" si="6"/>
        <v>45000</v>
      </c>
      <c r="Z14" s="54">
        <f t="shared" si="6"/>
        <v>0</v>
      </c>
      <c r="AA14" s="54">
        <f t="shared" si="6"/>
        <v>45000</v>
      </c>
      <c r="AB14" s="54">
        <f t="shared" si="6"/>
        <v>0</v>
      </c>
      <c r="AC14" s="54">
        <f t="shared" si="6"/>
        <v>45000</v>
      </c>
      <c r="AD14" s="54">
        <f t="shared" si="6"/>
        <v>0</v>
      </c>
      <c r="AE14" s="54">
        <f t="shared" si="6"/>
        <v>45000</v>
      </c>
      <c r="AF14" s="54">
        <f t="shared" si="6"/>
        <v>0</v>
      </c>
      <c r="AG14" s="54">
        <f t="shared" si="6"/>
        <v>45000</v>
      </c>
      <c r="AH14" s="54">
        <f t="shared" si="6"/>
        <v>0</v>
      </c>
      <c r="AI14" s="54">
        <f t="shared" si="6"/>
        <v>45000</v>
      </c>
      <c r="AJ14" s="54">
        <f t="shared" si="6"/>
        <v>0</v>
      </c>
      <c r="AK14" s="54">
        <f t="shared" si="6"/>
        <v>45000</v>
      </c>
    </row>
    <row r="15" spans="1:43" s="20" customFormat="1" ht="60">
      <c r="A15" s="56"/>
      <c r="B15" s="136"/>
      <c r="C15" s="135">
        <v>2830</v>
      </c>
      <c r="D15" s="31" t="s">
        <v>214</v>
      </c>
      <c r="E15" s="54"/>
      <c r="F15" s="54"/>
      <c r="G15" s="54"/>
      <c r="H15" s="54"/>
      <c r="I15" s="54">
        <v>0</v>
      </c>
      <c r="J15" s="54">
        <v>45000</v>
      </c>
      <c r="K15" s="54">
        <f>SUM(I15:J15)</f>
        <v>45000</v>
      </c>
      <c r="L15" s="54"/>
      <c r="M15" s="54">
        <f>SUM(K15:L15)</f>
        <v>45000</v>
      </c>
      <c r="N15" s="54"/>
      <c r="O15" s="54">
        <f>SUM(M15:N15)</f>
        <v>45000</v>
      </c>
      <c r="P15" s="54"/>
      <c r="Q15" s="54">
        <f>SUM(O15:P15)</f>
        <v>45000</v>
      </c>
      <c r="R15" s="54"/>
      <c r="S15" s="54">
        <f>SUM(Q15:R15)</f>
        <v>45000</v>
      </c>
      <c r="T15" s="54"/>
      <c r="U15" s="54">
        <f>SUM(S15:T15)</f>
        <v>45000</v>
      </c>
      <c r="V15" s="54"/>
      <c r="W15" s="54">
        <f>SUM(U15:V15)</f>
        <v>45000</v>
      </c>
      <c r="X15" s="54"/>
      <c r="Y15" s="54">
        <f>SUM(W15:X15)</f>
        <v>45000</v>
      </c>
      <c r="Z15" s="54"/>
      <c r="AA15" s="54">
        <f>SUM(Y15:Z15)</f>
        <v>45000</v>
      </c>
      <c r="AB15" s="54"/>
      <c r="AC15" s="54">
        <f>SUM(AA15:AB15)</f>
        <v>45000</v>
      </c>
      <c r="AD15" s="54"/>
      <c r="AE15" s="54">
        <f>SUM(AC15:AD15)</f>
        <v>45000</v>
      </c>
      <c r="AF15" s="54"/>
      <c r="AG15" s="54">
        <f>SUM(AE15:AF15)</f>
        <v>45000</v>
      </c>
      <c r="AH15" s="54"/>
      <c r="AI15" s="54">
        <f>SUM(AG15:AH15)</f>
        <v>45000</v>
      </c>
      <c r="AJ15" s="54"/>
      <c r="AK15" s="54">
        <f>SUM(AI15:AJ15)</f>
        <v>45000</v>
      </c>
      <c r="AP15" s="67"/>
      <c r="AQ15" s="67"/>
    </row>
    <row r="16" spans="1:37" s="20" customFormat="1" ht="21" customHeight="1">
      <c r="A16" s="56"/>
      <c r="B16" s="136" t="s">
        <v>187</v>
      </c>
      <c r="C16" s="135"/>
      <c r="D16" s="31" t="s">
        <v>6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>
        <f>SUM(O20:O22)</f>
        <v>0</v>
      </c>
      <c r="P16" s="54">
        <f>SUM(P20:P22)</f>
        <v>285502</v>
      </c>
      <c r="Q16" s="54">
        <f aca="true" t="shared" si="7" ref="Q16:W16">SUM(Q17:Q24)</f>
        <v>285502</v>
      </c>
      <c r="R16" s="54">
        <f t="shared" si="7"/>
        <v>0</v>
      </c>
      <c r="S16" s="54">
        <f t="shared" si="7"/>
        <v>285502</v>
      </c>
      <c r="T16" s="54">
        <f t="shared" si="7"/>
        <v>0</v>
      </c>
      <c r="U16" s="54">
        <f t="shared" si="7"/>
        <v>285502</v>
      </c>
      <c r="V16" s="54">
        <f t="shared" si="7"/>
        <v>0</v>
      </c>
      <c r="W16" s="54">
        <f t="shared" si="7"/>
        <v>285502</v>
      </c>
      <c r="X16" s="54">
        <f aca="true" t="shared" si="8" ref="X16:AC16">SUM(X17:X24)</f>
        <v>0</v>
      </c>
      <c r="Y16" s="54">
        <f t="shared" si="8"/>
        <v>285502</v>
      </c>
      <c r="Z16" s="54">
        <f t="shared" si="8"/>
        <v>0</v>
      </c>
      <c r="AA16" s="54">
        <f t="shared" si="8"/>
        <v>285502</v>
      </c>
      <c r="AB16" s="54">
        <f t="shared" si="8"/>
        <v>0</v>
      </c>
      <c r="AC16" s="54">
        <f t="shared" si="8"/>
        <v>285502</v>
      </c>
      <c r="AD16" s="54">
        <f aca="true" t="shared" si="9" ref="AD16:AI16">SUM(AD17:AD24)</f>
        <v>129947</v>
      </c>
      <c r="AE16" s="54">
        <f t="shared" si="9"/>
        <v>415449</v>
      </c>
      <c r="AF16" s="54">
        <f t="shared" si="9"/>
        <v>0</v>
      </c>
      <c r="AG16" s="54">
        <f t="shared" si="9"/>
        <v>415449</v>
      </c>
      <c r="AH16" s="54">
        <f t="shared" si="9"/>
        <v>0</v>
      </c>
      <c r="AI16" s="54">
        <f t="shared" si="9"/>
        <v>415449</v>
      </c>
      <c r="AJ16" s="54">
        <f>SUM(AJ17:AJ24)</f>
        <v>134970</v>
      </c>
      <c r="AK16" s="54">
        <f>SUM(AK17:AK24)</f>
        <v>550419</v>
      </c>
    </row>
    <row r="17" spans="1:39" s="20" customFormat="1" ht="21" customHeight="1">
      <c r="A17" s="56"/>
      <c r="B17" s="136"/>
      <c r="C17" s="135">
        <v>4010</v>
      </c>
      <c r="D17" s="31" t="s">
        <v>79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>
        <v>0</v>
      </c>
      <c r="R17" s="54">
        <v>3378</v>
      </c>
      <c r="S17" s="54">
        <f aca="true" t="shared" si="10" ref="S17:S24">SUM(Q17:R17)</f>
        <v>3378</v>
      </c>
      <c r="T17" s="54"/>
      <c r="U17" s="54">
        <f aca="true" t="shared" si="11" ref="U17:U24">SUM(S17:T17)</f>
        <v>3378</v>
      </c>
      <c r="V17" s="54"/>
      <c r="W17" s="54">
        <f aca="true" t="shared" si="12" ref="W17:W24">SUM(U17:V17)</f>
        <v>3378</v>
      </c>
      <c r="X17" s="54"/>
      <c r="Y17" s="54">
        <f aca="true" t="shared" si="13" ref="Y17:Y24">SUM(W17:X17)</f>
        <v>3378</v>
      </c>
      <c r="Z17" s="54"/>
      <c r="AA17" s="54">
        <f aca="true" t="shared" si="14" ref="AA17:AA24">SUM(Y17:Z17)</f>
        <v>3378</v>
      </c>
      <c r="AB17" s="54"/>
      <c r="AC17" s="54">
        <f aca="true" t="shared" si="15" ref="AC17:AC24">SUM(AA17:AB17)</f>
        <v>3378</v>
      </c>
      <c r="AD17" s="54"/>
      <c r="AE17" s="54">
        <f aca="true" t="shared" si="16" ref="AE17:AE24">SUM(AC17:AD17)</f>
        <v>3378</v>
      </c>
      <c r="AF17" s="54"/>
      <c r="AG17" s="54">
        <f aca="true" t="shared" si="17" ref="AG17:AG24">SUM(AE17:AF17)</f>
        <v>3378</v>
      </c>
      <c r="AH17" s="54"/>
      <c r="AI17" s="54">
        <f aca="true" t="shared" si="18" ref="AI17:AI24">SUM(AG17:AH17)</f>
        <v>3378</v>
      </c>
      <c r="AJ17" s="54">
        <v>3378</v>
      </c>
      <c r="AK17" s="54">
        <f aca="true" t="shared" si="19" ref="AK17:AK24">SUM(AI17:AJ17)</f>
        <v>6756</v>
      </c>
      <c r="AL17" s="67"/>
      <c r="AM17" s="67"/>
    </row>
    <row r="18" spans="1:39" s="20" customFormat="1" ht="21" customHeight="1">
      <c r="A18" s="56"/>
      <c r="B18" s="136"/>
      <c r="C18" s="135">
        <v>4110</v>
      </c>
      <c r="D18" s="31" t="s">
        <v>81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>
        <v>0</v>
      </c>
      <c r="R18" s="54">
        <v>513</v>
      </c>
      <c r="S18" s="54">
        <f t="shared" si="10"/>
        <v>513</v>
      </c>
      <c r="T18" s="54"/>
      <c r="U18" s="54">
        <f t="shared" si="11"/>
        <v>513</v>
      </c>
      <c r="V18" s="54"/>
      <c r="W18" s="54">
        <f t="shared" si="12"/>
        <v>513</v>
      </c>
      <c r="X18" s="54"/>
      <c r="Y18" s="54">
        <f t="shared" si="13"/>
        <v>513</v>
      </c>
      <c r="Z18" s="54"/>
      <c r="AA18" s="54">
        <f t="shared" si="14"/>
        <v>513</v>
      </c>
      <c r="AB18" s="54"/>
      <c r="AC18" s="54">
        <f t="shared" si="15"/>
        <v>513</v>
      </c>
      <c r="AD18" s="54"/>
      <c r="AE18" s="54">
        <f t="shared" si="16"/>
        <v>513</v>
      </c>
      <c r="AF18" s="54"/>
      <c r="AG18" s="54">
        <f t="shared" si="17"/>
        <v>513</v>
      </c>
      <c r="AH18" s="54"/>
      <c r="AI18" s="54">
        <f t="shared" si="18"/>
        <v>513</v>
      </c>
      <c r="AJ18" s="54">
        <v>513</v>
      </c>
      <c r="AK18" s="54">
        <f t="shared" si="19"/>
        <v>1026</v>
      </c>
      <c r="AL18" s="67"/>
      <c r="AM18" s="67"/>
    </row>
    <row r="19" spans="1:39" s="20" customFormat="1" ht="21" customHeight="1">
      <c r="A19" s="56"/>
      <c r="B19" s="136"/>
      <c r="C19" s="135">
        <v>4120</v>
      </c>
      <c r="D19" s="31" t="s">
        <v>82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>
        <v>0</v>
      </c>
      <c r="R19" s="54">
        <v>82</v>
      </c>
      <c r="S19" s="54">
        <f t="shared" si="10"/>
        <v>82</v>
      </c>
      <c r="T19" s="54"/>
      <c r="U19" s="54">
        <f t="shared" si="11"/>
        <v>82</v>
      </c>
      <c r="V19" s="54"/>
      <c r="W19" s="54">
        <f t="shared" si="12"/>
        <v>82</v>
      </c>
      <c r="X19" s="54"/>
      <c r="Y19" s="54">
        <f t="shared" si="13"/>
        <v>82</v>
      </c>
      <c r="Z19" s="54"/>
      <c r="AA19" s="54">
        <f t="shared" si="14"/>
        <v>82</v>
      </c>
      <c r="AB19" s="54"/>
      <c r="AC19" s="54">
        <f t="shared" si="15"/>
        <v>82</v>
      </c>
      <c r="AD19" s="54"/>
      <c r="AE19" s="54">
        <f t="shared" si="16"/>
        <v>82</v>
      </c>
      <c r="AF19" s="54"/>
      <c r="AG19" s="54">
        <f t="shared" si="17"/>
        <v>82</v>
      </c>
      <c r="AH19" s="54"/>
      <c r="AI19" s="54">
        <f t="shared" si="18"/>
        <v>82</v>
      </c>
      <c r="AJ19" s="54">
        <v>82</v>
      </c>
      <c r="AK19" s="54">
        <f t="shared" si="19"/>
        <v>164</v>
      </c>
      <c r="AL19" s="67"/>
      <c r="AM19" s="67"/>
    </row>
    <row r="20" spans="1:37" s="20" customFormat="1" ht="21.75" customHeight="1">
      <c r="A20" s="56"/>
      <c r="B20" s="136"/>
      <c r="C20" s="135">
        <v>4210</v>
      </c>
      <c r="D20" s="31" t="s">
        <v>68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>
        <v>0</v>
      </c>
      <c r="P20" s="54">
        <v>5598</v>
      </c>
      <c r="Q20" s="54">
        <f>SUM(O20:P20)</f>
        <v>5598</v>
      </c>
      <c r="R20" s="54">
        <v>-5347</v>
      </c>
      <c r="S20" s="54">
        <f t="shared" si="10"/>
        <v>251</v>
      </c>
      <c r="T20" s="54"/>
      <c r="U20" s="54">
        <f t="shared" si="11"/>
        <v>251</v>
      </c>
      <c r="V20" s="54"/>
      <c r="W20" s="54">
        <f t="shared" si="12"/>
        <v>251</v>
      </c>
      <c r="X20" s="54"/>
      <c r="Y20" s="54">
        <f t="shared" si="13"/>
        <v>251</v>
      </c>
      <c r="Z20" s="54"/>
      <c r="AA20" s="54">
        <f t="shared" si="14"/>
        <v>251</v>
      </c>
      <c r="AB20" s="54"/>
      <c r="AC20" s="54">
        <f t="shared" si="15"/>
        <v>251</v>
      </c>
      <c r="AD20" s="54"/>
      <c r="AE20" s="54">
        <f t="shared" si="16"/>
        <v>251</v>
      </c>
      <c r="AF20" s="54"/>
      <c r="AG20" s="54">
        <f t="shared" si="17"/>
        <v>251</v>
      </c>
      <c r="AH20" s="54"/>
      <c r="AI20" s="54">
        <f t="shared" si="18"/>
        <v>251</v>
      </c>
      <c r="AJ20" s="54">
        <v>137</v>
      </c>
      <c r="AK20" s="54">
        <f t="shared" si="19"/>
        <v>388</v>
      </c>
    </row>
    <row r="21" spans="1:37" s="20" customFormat="1" ht="21.75" customHeight="1">
      <c r="A21" s="56"/>
      <c r="B21" s="136"/>
      <c r="C21" s="135">
        <v>4300</v>
      </c>
      <c r="D21" s="31" t="s">
        <v>75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>
        <v>0</v>
      </c>
      <c r="R21" s="54">
        <v>1090</v>
      </c>
      <c r="S21" s="54">
        <f t="shared" si="10"/>
        <v>1090</v>
      </c>
      <c r="T21" s="54"/>
      <c r="U21" s="54">
        <f t="shared" si="11"/>
        <v>1090</v>
      </c>
      <c r="V21" s="54"/>
      <c r="W21" s="54">
        <f t="shared" si="12"/>
        <v>1090</v>
      </c>
      <c r="X21" s="54"/>
      <c r="Y21" s="54">
        <f t="shared" si="13"/>
        <v>1090</v>
      </c>
      <c r="Z21" s="54"/>
      <c r="AA21" s="54">
        <f t="shared" si="14"/>
        <v>1090</v>
      </c>
      <c r="AB21" s="54"/>
      <c r="AC21" s="54">
        <f t="shared" si="15"/>
        <v>1090</v>
      </c>
      <c r="AD21" s="54"/>
      <c r="AE21" s="54">
        <f t="shared" si="16"/>
        <v>1090</v>
      </c>
      <c r="AF21" s="54"/>
      <c r="AG21" s="54">
        <f t="shared" si="17"/>
        <v>1090</v>
      </c>
      <c r="AH21" s="54"/>
      <c r="AI21" s="54">
        <f t="shared" si="18"/>
        <v>1090</v>
      </c>
      <c r="AJ21" s="54">
        <v>800</v>
      </c>
      <c r="AK21" s="54">
        <f t="shared" si="19"/>
        <v>1890</v>
      </c>
    </row>
    <row r="22" spans="1:37" s="20" customFormat="1" ht="22.5" customHeight="1">
      <c r="A22" s="56"/>
      <c r="B22" s="136"/>
      <c r="C22" s="135">
        <v>4430</v>
      </c>
      <c r="D22" s="31" t="s">
        <v>87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>
        <v>0</v>
      </c>
      <c r="P22" s="54">
        <v>279904</v>
      </c>
      <c r="Q22" s="54">
        <f>SUM(O22:P22)</f>
        <v>279904</v>
      </c>
      <c r="R22" s="54">
        <v>0</v>
      </c>
      <c r="S22" s="54">
        <f t="shared" si="10"/>
        <v>279904</v>
      </c>
      <c r="T22" s="54"/>
      <c r="U22" s="54">
        <f t="shared" si="11"/>
        <v>279904</v>
      </c>
      <c r="V22" s="54"/>
      <c r="W22" s="54">
        <f t="shared" si="12"/>
        <v>279904</v>
      </c>
      <c r="X22" s="54"/>
      <c r="Y22" s="54">
        <f t="shared" si="13"/>
        <v>279904</v>
      </c>
      <c r="Z22" s="54"/>
      <c r="AA22" s="54">
        <f t="shared" si="14"/>
        <v>279904</v>
      </c>
      <c r="AB22" s="54"/>
      <c r="AC22" s="54">
        <f t="shared" si="15"/>
        <v>279904</v>
      </c>
      <c r="AD22" s="54">
        <v>129947</v>
      </c>
      <c r="AE22" s="54">
        <f t="shared" si="16"/>
        <v>409851</v>
      </c>
      <c r="AF22" s="54"/>
      <c r="AG22" s="54">
        <f t="shared" si="17"/>
        <v>409851</v>
      </c>
      <c r="AH22" s="54"/>
      <c r="AI22" s="54">
        <f t="shared" si="18"/>
        <v>409851</v>
      </c>
      <c r="AJ22" s="54">
        <v>129776</v>
      </c>
      <c r="AK22" s="54">
        <f t="shared" si="19"/>
        <v>539627</v>
      </c>
    </row>
    <row r="23" spans="1:37" s="20" customFormat="1" ht="36">
      <c r="A23" s="56"/>
      <c r="B23" s="136"/>
      <c r="C23" s="135">
        <v>4740</v>
      </c>
      <c r="D23" s="31" t="s">
        <v>183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>
        <v>0</v>
      </c>
      <c r="R23" s="54">
        <v>25</v>
      </c>
      <c r="S23" s="54">
        <f t="shared" si="10"/>
        <v>25</v>
      </c>
      <c r="T23" s="54"/>
      <c r="U23" s="54">
        <f t="shared" si="11"/>
        <v>25</v>
      </c>
      <c r="V23" s="54"/>
      <c r="W23" s="54">
        <f t="shared" si="12"/>
        <v>25</v>
      </c>
      <c r="X23" s="54"/>
      <c r="Y23" s="54">
        <f t="shared" si="13"/>
        <v>25</v>
      </c>
      <c r="Z23" s="54"/>
      <c r="AA23" s="54">
        <f t="shared" si="14"/>
        <v>25</v>
      </c>
      <c r="AB23" s="54"/>
      <c r="AC23" s="54">
        <f t="shared" si="15"/>
        <v>25</v>
      </c>
      <c r="AD23" s="54"/>
      <c r="AE23" s="54">
        <f t="shared" si="16"/>
        <v>25</v>
      </c>
      <c r="AF23" s="54"/>
      <c r="AG23" s="54">
        <f t="shared" si="17"/>
        <v>25</v>
      </c>
      <c r="AH23" s="54"/>
      <c r="AI23" s="54">
        <f t="shared" si="18"/>
        <v>25</v>
      </c>
      <c r="AJ23" s="54">
        <v>25</v>
      </c>
      <c r="AK23" s="54">
        <f t="shared" si="19"/>
        <v>50</v>
      </c>
    </row>
    <row r="24" spans="1:37" s="20" customFormat="1" ht="24">
      <c r="A24" s="56"/>
      <c r="B24" s="136"/>
      <c r="C24" s="135">
        <v>4750</v>
      </c>
      <c r="D24" s="31" t="s">
        <v>305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>
        <v>0</v>
      </c>
      <c r="R24" s="54">
        <v>259</v>
      </c>
      <c r="S24" s="54">
        <f t="shared" si="10"/>
        <v>259</v>
      </c>
      <c r="T24" s="54"/>
      <c r="U24" s="54">
        <f t="shared" si="11"/>
        <v>259</v>
      </c>
      <c r="V24" s="54"/>
      <c r="W24" s="54">
        <f t="shared" si="12"/>
        <v>259</v>
      </c>
      <c r="X24" s="54"/>
      <c r="Y24" s="54">
        <f t="shared" si="13"/>
        <v>259</v>
      </c>
      <c r="Z24" s="54"/>
      <c r="AA24" s="54">
        <f t="shared" si="14"/>
        <v>259</v>
      </c>
      <c r="AB24" s="54"/>
      <c r="AC24" s="54">
        <f t="shared" si="15"/>
        <v>259</v>
      </c>
      <c r="AD24" s="54"/>
      <c r="AE24" s="54">
        <f t="shared" si="16"/>
        <v>259</v>
      </c>
      <c r="AF24" s="54"/>
      <c r="AG24" s="54">
        <f t="shared" si="17"/>
        <v>259</v>
      </c>
      <c r="AH24" s="54"/>
      <c r="AI24" s="54">
        <f t="shared" si="18"/>
        <v>259</v>
      </c>
      <c r="AJ24" s="54">
        <v>259</v>
      </c>
      <c r="AK24" s="54">
        <f t="shared" si="19"/>
        <v>518</v>
      </c>
    </row>
    <row r="25" spans="1:37" s="5" customFormat="1" ht="21" customHeight="1">
      <c r="A25" s="27" t="s">
        <v>70</v>
      </c>
      <c r="B25" s="28"/>
      <c r="C25" s="29"/>
      <c r="D25" s="30" t="s">
        <v>71</v>
      </c>
      <c r="E25" s="134">
        <f aca="true" t="shared" si="20" ref="E25:T25">E28</f>
        <v>5719925</v>
      </c>
      <c r="F25" s="134">
        <f t="shared" si="20"/>
        <v>1935000</v>
      </c>
      <c r="G25" s="134">
        <f t="shared" si="20"/>
        <v>7654925</v>
      </c>
      <c r="H25" s="134">
        <f t="shared" si="20"/>
        <v>0</v>
      </c>
      <c r="I25" s="134">
        <f t="shared" si="20"/>
        <v>7654925</v>
      </c>
      <c r="J25" s="134">
        <f t="shared" si="20"/>
        <v>20000</v>
      </c>
      <c r="K25" s="134">
        <f t="shared" si="20"/>
        <v>7674925</v>
      </c>
      <c r="L25" s="134">
        <f t="shared" si="20"/>
        <v>25000</v>
      </c>
      <c r="M25" s="134">
        <f t="shared" si="20"/>
        <v>7699925</v>
      </c>
      <c r="N25" s="134">
        <f t="shared" si="20"/>
        <v>0</v>
      </c>
      <c r="O25" s="134">
        <f t="shared" si="20"/>
        <v>7699925</v>
      </c>
      <c r="P25" s="134">
        <f t="shared" si="20"/>
        <v>0</v>
      </c>
      <c r="Q25" s="134">
        <f t="shared" si="20"/>
        <v>7699925</v>
      </c>
      <c r="R25" s="134">
        <f t="shared" si="20"/>
        <v>300</v>
      </c>
      <c r="S25" s="134">
        <f t="shared" si="20"/>
        <v>7700225</v>
      </c>
      <c r="T25" s="134">
        <f t="shared" si="20"/>
        <v>0</v>
      </c>
      <c r="U25" s="134">
        <f aca="true" t="shared" si="21" ref="U25:AA25">U28+U26</f>
        <v>7700225</v>
      </c>
      <c r="V25" s="134">
        <f t="shared" si="21"/>
        <v>-300</v>
      </c>
      <c r="W25" s="134">
        <f t="shared" si="21"/>
        <v>7699925</v>
      </c>
      <c r="X25" s="134">
        <f t="shared" si="21"/>
        <v>0</v>
      </c>
      <c r="Y25" s="134">
        <f t="shared" si="21"/>
        <v>7699925</v>
      </c>
      <c r="Z25" s="134">
        <f t="shared" si="21"/>
        <v>108400</v>
      </c>
      <c r="AA25" s="134">
        <f t="shared" si="21"/>
        <v>7808325</v>
      </c>
      <c r="AB25" s="134">
        <f aca="true" t="shared" si="22" ref="AB25:AG25">AB28+AB26</f>
        <v>0</v>
      </c>
      <c r="AC25" s="134">
        <f t="shared" si="22"/>
        <v>7808325</v>
      </c>
      <c r="AD25" s="134">
        <f t="shared" si="22"/>
        <v>-203169</v>
      </c>
      <c r="AE25" s="134">
        <f t="shared" si="22"/>
        <v>7605156</v>
      </c>
      <c r="AF25" s="134">
        <f t="shared" si="22"/>
        <v>-615765</v>
      </c>
      <c r="AG25" s="134">
        <f t="shared" si="22"/>
        <v>6989391</v>
      </c>
      <c r="AH25" s="134">
        <f>AH28+AH26</f>
        <v>-1000</v>
      </c>
      <c r="AI25" s="134">
        <f>AI28+AI26</f>
        <v>6988391</v>
      </c>
      <c r="AJ25" s="134">
        <f>AJ28+AJ26</f>
        <v>0</v>
      </c>
      <c r="AK25" s="134">
        <f>AK28+AK26</f>
        <v>6988391</v>
      </c>
    </row>
    <row r="26" spans="1:37" s="75" customFormat="1" ht="21" customHeight="1">
      <c r="A26" s="107"/>
      <c r="B26" s="100">
        <v>60013</v>
      </c>
      <c r="C26" s="101"/>
      <c r="D26" s="99" t="s">
        <v>251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>
        <f aca="true" t="shared" si="23" ref="U26:AK26">SUM(U27)</f>
        <v>0</v>
      </c>
      <c r="V26" s="139">
        <f t="shared" si="23"/>
        <v>19600</v>
      </c>
      <c r="W26" s="139">
        <f t="shared" si="23"/>
        <v>19600</v>
      </c>
      <c r="X26" s="139">
        <f t="shared" si="23"/>
        <v>0</v>
      </c>
      <c r="Y26" s="139">
        <f t="shared" si="23"/>
        <v>19600</v>
      </c>
      <c r="Z26" s="139">
        <f t="shared" si="23"/>
        <v>0</v>
      </c>
      <c r="AA26" s="139">
        <f t="shared" si="23"/>
        <v>19600</v>
      </c>
      <c r="AB26" s="139">
        <f t="shared" si="23"/>
        <v>0</v>
      </c>
      <c r="AC26" s="139">
        <f t="shared" si="23"/>
        <v>19600</v>
      </c>
      <c r="AD26" s="139">
        <f t="shared" si="23"/>
        <v>0</v>
      </c>
      <c r="AE26" s="139">
        <f t="shared" si="23"/>
        <v>19600</v>
      </c>
      <c r="AF26" s="139">
        <f t="shared" si="23"/>
        <v>0</v>
      </c>
      <c r="AG26" s="139">
        <f t="shared" si="23"/>
        <v>19600</v>
      </c>
      <c r="AH26" s="139">
        <f t="shared" si="23"/>
        <v>0</v>
      </c>
      <c r="AI26" s="139">
        <f t="shared" si="23"/>
        <v>19600</v>
      </c>
      <c r="AJ26" s="139">
        <f t="shared" si="23"/>
        <v>0</v>
      </c>
      <c r="AK26" s="139">
        <f t="shared" si="23"/>
        <v>19600</v>
      </c>
    </row>
    <row r="27" spans="1:43" s="75" customFormat="1" ht="60">
      <c r="A27" s="107"/>
      <c r="B27" s="100"/>
      <c r="C27" s="101">
        <v>6300</v>
      </c>
      <c r="D27" s="99" t="s">
        <v>252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>
        <v>0</v>
      </c>
      <c r="V27" s="139">
        <v>19600</v>
      </c>
      <c r="W27" s="139">
        <f>SUM(U27:V27)</f>
        <v>19600</v>
      </c>
      <c r="X27" s="139"/>
      <c r="Y27" s="139">
        <f>SUM(W27:X27)</f>
        <v>19600</v>
      </c>
      <c r="Z27" s="139"/>
      <c r="AA27" s="139">
        <f>SUM(Y27:Z27)</f>
        <v>19600</v>
      </c>
      <c r="AB27" s="139"/>
      <c r="AC27" s="139">
        <f>SUM(AA27:AB27)</f>
        <v>19600</v>
      </c>
      <c r="AD27" s="139"/>
      <c r="AE27" s="139">
        <f>SUM(AC27:AD27)</f>
        <v>19600</v>
      </c>
      <c r="AF27" s="139"/>
      <c r="AG27" s="139">
        <f>SUM(AE27:AF27)</f>
        <v>19600</v>
      </c>
      <c r="AH27" s="139"/>
      <c r="AI27" s="139">
        <f>SUM(AG27:AH27)</f>
        <v>19600</v>
      </c>
      <c r="AJ27" s="139"/>
      <c r="AK27" s="139">
        <f>SUM(AI27:AJ27)</f>
        <v>19600</v>
      </c>
      <c r="AN27" s="166"/>
      <c r="AO27" s="166"/>
      <c r="AP27" s="166"/>
      <c r="AQ27" s="166"/>
    </row>
    <row r="28" spans="1:37" s="20" customFormat="1" ht="21" customHeight="1">
      <c r="A28" s="41"/>
      <c r="B28" s="55" t="s">
        <v>72</v>
      </c>
      <c r="C28" s="58"/>
      <c r="D28" s="31" t="s">
        <v>73</v>
      </c>
      <c r="E28" s="54">
        <f aca="true" t="shared" si="24" ref="E28:W28">SUM(E29:E33)</f>
        <v>5719925</v>
      </c>
      <c r="F28" s="54">
        <f t="shared" si="24"/>
        <v>1935000</v>
      </c>
      <c r="G28" s="54">
        <f t="shared" si="24"/>
        <v>7654925</v>
      </c>
      <c r="H28" s="54">
        <f t="shared" si="24"/>
        <v>0</v>
      </c>
      <c r="I28" s="54">
        <f t="shared" si="24"/>
        <v>7654925</v>
      </c>
      <c r="J28" s="54">
        <f t="shared" si="24"/>
        <v>20000</v>
      </c>
      <c r="K28" s="54">
        <f t="shared" si="24"/>
        <v>7674925</v>
      </c>
      <c r="L28" s="54">
        <f t="shared" si="24"/>
        <v>25000</v>
      </c>
      <c r="M28" s="54">
        <f t="shared" si="24"/>
        <v>7699925</v>
      </c>
      <c r="N28" s="54">
        <f t="shared" si="24"/>
        <v>0</v>
      </c>
      <c r="O28" s="54">
        <f t="shared" si="24"/>
        <v>7699925</v>
      </c>
      <c r="P28" s="54">
        <f t="shared" si="24"/>
        <v>0</v>
      </c>
      <c r="Q28" s="54">
        <f t="shared" si="24"/>
        <v>7699925</v>
      </c>
      <c r="R28" s="54">
        <f t="shared" si="24"/>
        <v>300</v>
      </c>
      <c r="S28" s="54">
        <f t="shared" si="24"/>
        <v>7700225</v>
      </c>
      <c r="T28" s="54">
        <f t="shared" si="24"/>
        <v>0</v>
      </c>
      <c r="U28" s="54">
        <f t="shared" si="24"/>
        <v>7700225</v>
      </c>
      <c r="V28" s="54">
        <f t="shared" si="24"/>
        <v>-19900</v>
      </c>
      <c r="W28" s="54">
        <f t="shared" si="24"/>
        <v>7680325</v>
      </c>
      <c r="X28" s="54">
        <f aca="true" t="shared" si="25" ref="X28:AC28">SUM(X29:X33)</f>
        <v>0</v>
      </c>
      <c r="Y28" s="54">
        <f t="shared" si="25"/>
        <v>7680325</v>
      </c>
      <c r="Z28" s="54">
        <f t="shared" si="25"/>
        <v>108400</v>
      </c>
      <c r="AA28" s="54">
        <f t="shared" si="25"/>
        <v>7788725</v>
      </c>
      <c r="AB28" s="54">
        <f t="shared" si="25"/>
        <v>0</v>
      </c>
      <c r="AC28" s="54">
        <f t="shared" si="25"/>
        <v>7788725</v>
      </c>
      <c r="AD28" s="54">
        <f aca="true" t="shared" si="26" ref="AD28:AI28">SUM(AD29:AD33)</f>
        <v>-203169</v>
      </c>
      <c r="AE28" s="54">
        <f t="shared" si="26"/>
        <v>7585556</v>
      </c>
      <c r="AF28" s="54">
        <f t="shared" si="26"/>
        <v>-615765</v>
      </c>
      <c r="AG28" s="54">
        <f t="shared" si="26"/>
        <v>6969791</v>
      </c>
      <c r="AH28" s="54">
        <f t="shared" si="26"/>
        <v>-1000</v>
      </c>
      <c r="AI28" s="54">
        <f t="shared" si="26"/>
        <v>6968791</v>
      </c>
      <c r="AJ28" s="54">
        <f>SUM(AJ29:AJ33)</f>
        <v>0</v>
      </c>
      <c r="AK28" s="54">
        <f>SUM(AK29:AK33)</f>
        <v>6968791</v>
      </c>
    </row>
    <row r="29" spans="1:37" s="20" customFormat="1" ht="21" customHeight="1">
      <c r="A29" s="41"/>
      <c r="B29" s="140"/>
      <c r="C29" s="41">
        <v>4210</v>
      </c>
      <c r="D29" s="31" t="s">
        <v>68</v>
      </c>
      <c r="E29" s="54">
        <v>57205</v>
      </c>
      <c r="F29" s="54"/>
      <c r="G29" s="54">
        <f>SUM(E29:F29)</f>
        <v>57205</v>
      </c>
      <c r="H29" s="54"/>
      <c r="I29" s="54">
        <f>SUM(G29:H29)</f>
        <v>57205</v>
      </c>
      <c r="J29" s="54"/>
      <c r="K29" s="54">
        <f>SUM(I29:J29)</f>
        <v>57205</v>
      </c>
      <c r="L29" s="54"/>
      <c r="M29" s="54">
        <f>SUM(K29:L29)</f>
        <v>57205</v>
      </c>
      <c r="N29" s="54"/>
      <c r="O29" s="54">
        <f>SUM(M29:N29)</f>
        <v>57205</v>
      </c>
      <c r="P29" s="54"/>
      <c r="Q29" s="54">
        <f>SUM(O29:P29)</f>
        <v>57205</v>
      </c>
      <c r="R29" s="54">
        <v>300</v>
      </c>
      <c r="S29" s="54">
        <f>SUM(Q29:R29)</f>
        <v>57505</v>
      </c>
      <c r="T29" s="54"/>
      <c r="U29" s="54">
        <f>SUM(S29:T29)</f>
        <v>57505</v>
      </c>
      <c r="V29" s="54">
        <f>1000-1440</f>
        <v>-440</v>
      </c>
      <c r="W29" s="54">
        <v>45845</v>
      </c>
      <c r="X29" s="54"/>
      <c r="Y29" s="54">
        <f>SUM(W29:X29)</f>
        <v>45845</v>
      </c>
      <c r="Z29" s="54">
        <v>-500</v>
      </c>
      <c r="AA29" s="54">
        <f>SUM(Y29:Z29)</f>
        <v>45345</v>
      </c>
      <c r="AB29" s="54"/>
      <c r="AC29" s="54">
        <f>SUM(AA29:AB29)</f>
        <v>45345</v>
      </c>
      <c r="AD29" s="54">
        <v>827</v>
      </c>
      <c r="AE29" s="54">
        <f>SUM(AC29:AD29)</f>
        <v>46172</v>
      </c>
      <c r="AF29" s="54">
        <v>616</v>
      </c>
      <c r="AG29" s="54">
        <f>SUM(AE29:AF29)</f>
        <v>46788</v>
      </c>
      <c r="AH29" s="54"/>
      <c r="AI29" s="54">
        <f>SUM(AG29:AH29)</f>
        <v>46788</v>
      </c>
      <c r="AJ29" s="54"/>
      <c r="AK29" s="54">
        <f>SUM(AI29:AJ29)</f>
        <v>46788</v>
      </c>
    </row>
    <row r="30" spans="1:37" s="20" customFormat="1" ht="21" customHeight="1">
      <c r="A30" s="41"/>
      <c r="B30" s="140"/>
      <c r="C30" s="41">
        <v>4270</v>
      </c>
      <c r="D30" s="31" t="s">
        <v>74</v>
      </c>
      <c r="E30" s="54">
        <f>70000+15000+60000</f>
        <v>145000</v>
      </c>
      <c r="F30" s="54">
        <v>100000</v>
      </c>
      <c r="G30" s="54">
        <f>SUM(E30:F30)</f>
        <v>245000</v>
      </c>
      <c r="H30" s="54"/>
      <c r="I30" s="54">
        <f>SUM(G30:H30)</f>
        <v>245000</v>
      </c>
      <c r="J30" s="54"/>
      <c r="K30" s="54">
        <f>SUM(I30:J30)</f>
        <v>245000</v>
      </c>
      <c r="L30" s="54"/>
      <c r="M30" s="54">
        <f>SUM(K30:L30)</f>
        <v>245000</v>
      </c>
      <c r="N30" s="54"/>
      <c r="O30" s="54">
        <f>SUM(M30:N30)</f>
        <v>245000</v>
      </c>
      <c r="P30" s="54"/>
      <c r="Q30" s="54">
        <f>SUM(O30:P30)</f>
        <v>245000</v>
      </c>
      <c r="R30" s="54"/>
      <c r="S30" s="54">
        <f>SUM(Q30:R30)</f>
        <v>245000</v>
      </c>
      <c r="T30" s="54"/>
      <c r="U30" s="54">
        <f>SUM(S30:T30)</f>
        <v>245000</v>
      </c>
      <c r="V30" s="54"/>
      <c r="W30" s="54">
        <f>SUM(U30:V30)</f>
        <v>245000</v>
      </c>
      <c r="X30" s="54"/>
      <c r="Y30" s="54">
        <f>SUM(W30:X30)</f>
        <v>245000</v>
      </c>
      <c r="Z30" s="54"/>
      <c r="AA30" s="54">
        <f>SUM(Y30:Z30)</f>
        <v>245000</v>
      </c>
      <c r="AB30" s="54"/>
      <c r="AC30" s="54">
        <f>SUM(AA30:AB30)</f>
        <v>245000</v>
      </c>
      <c r="AD30" s="54">
        <v>20000</v>
      </c>
      <c r="AE30" s="54">
        <f>SUM(AC30:AD30)</f>
        <v>265000</v>
      </c>
      <c r="AF30" s="54"/>
      <c r="AG30" s="54">
        <f>SUM(AE30:AF30)</f>
        <v>265000</v>
      </c>
      <c r="AH30" s="54"/>
      <c r="AI30" s="54">
        <f>SUM(AG30:AH30)</f>
        <v>265000</v>
      </c>
      <c r="AJ30" s="54"/>
      <c r="AK30" s="54">
        <f>SUM(AI30:AJ30)</f>
        <v>265000</v>
      </c>
    </row>
    <row r="31" spans="1:37" s="20" customFormat="1" ht="21" customHeight="1">
      <c r="A31" s="41"/>
      <c r="B31" s="140"/>
      <c r="C31" s="41">
        <v>4300</v>
      </c>
      <c r="D31" s="31" t="s">
        <v>75</v>
      </c>
      <c r="E31" s="54">
        <f>21800+200000+80000+30000+25000</f>
        <v>356800</v>
      </c>
      <c r="F31" s="54"/>
      <c r="G31" s="54">
        <f>SUM(E31:F31)</f>
        <v>356800</v>
      </c>
      <c r="H31" s="54"/>
      <c r="I31" s="54">
        <f>SUM(G31:H31)</f>
        <v>356800</v>
      </c>
      <c r="J31" s="54"/>
      <c r="K31" s="54">
        <f>SUM(I31:J31)</f>
        <v>356800</v>
      </c>
      <c r="L31" s="54"/>
      <c r="M31" s="54">
        <f>SUM(K31:L31)</f>
        <v>356800</v>
      </c>
      <c r="N31" s="54"/>
      <c r="O31" s="54">
        <f>SUM(M31:N31)</f>
        <v>356800</v>
      </c>
      <c r="P31" s="54"/>
      <c r="Q31" s="54">
        <f>SUM(O31:P31)</f>
        <v>356800</v>
      </c>
      <c r="R31" s="54"/>
      <c r="S31" s="54">
        <f>SUM(Q31:R31)</f>
        <v>356800</v>
      </c>
      <c r="T31" s="54"/>
      <c r="U31" s="54">
        <f>SUM(S31:T31)</f>
        <v>356800</v>
      </c>
      <c r="V31" s="54">
        <f>-1000-300+1440</f>
        <v>140</v>
      </c>
      <c r="W31" s="54">
        <v>368160</v>
      </c>
      <c r="X31" s="54"/>
      <c r="Y31" s="54">
        <f>SUM(W31:X31)</f>
        <v>368160</v>
      </c>
      <c r="Z31" s="54">
        <f>-2000+2000-2000</f>
        <v>-2000</v>
      </c>
      <c r="AA31" s="54">
        <f>SUM(Y31:Z31)</f>
        <v>366160</v>
      </c>
      <c r="AB31" s="54"/>
      <c r="AC31" s="54">
        <f>SUM(AA31:AB31)</f>
        <v>366160</v>
      </c>
      <c r="AD31" s="54">
        <f>10000-30000</f>
        <v>-20000</v>
      </c>
      <c r="AE31" s="54">
        <f>SUM(AC31:AD31)</f>
        <v>346160</v>
      </c>
      <c r="AF31" s="54">
        <v>-3000</v>
      </c>
      <c r="AG31" s="54">
        <f>SUM(AE31:AF31)</f>
        <v>343160</v>
      </c>
      <c r="AH31" s="54">
        <v>-1000</v>
      </c>
      <c r="AI31" s="54">
        <f>SUM(AG31:AH31)</f>
        <v>342160</v>
      </c>
      <c r="AJ31" s="54"/>
      <c r="AK31" s="54">
        <f>SUM(AI31:AJ31)</f>
        <v>342160</v>
      </c>
    </row>
    <row r="32" spans="1:41" s="20" customFormat="1" ht="24.75" customHeight="1">
      <c r="A32" s="41"/>
      <c r="B32" s="140"/>
      <c r="C32" s="41">
        <v>6050</v>
      </c>
      <c r="D32" s="31" t="s">
        <v>69</v>
      </c>
      <c r="E32" s="54">
        <f>14120+3800+18000+5110000</f>
        <v>5145920</v>
      </c>
      <c r="F32" s="54">
        <f>-190000-1500000-490000-70000-70000-70000+135000+340000+500000+250000+250000+800000+700000+700000+500000+50000</f>
        <v>1835000</v>
      </c>
      <c r="G32" s="54">
        <f>SUM(E32:F32)</f>
        <v>6980920</v>
      </c>
      <c r="H32" s="54"/>
      <c r="I32" s="54">
        <f>SUM(G32:H32)</f>
        <v>6980920</v>
      </c>
      <c r="J32" s="54">
        <v>20000</v>
      </c>
      <c r="K32" s="54">
        <f>SUM(I32:J32)</f>
        <v>7000920</v>
      </c>
      <c r="L32" s="54">
        <v>25000</v>
      </c>
      <c r="M32" s="54">
        <f>SUM(K32:L32)</f>
        <v>7025920</v>
      </c>
      <c r="N32" s="54"/>
      <c r="O32" s="54">
        <f>SUM(M32:N32)</f>
        <v>7025920</v>
      </c>
      <c r="P32" s="54"/>
      <c r="Q32" s="54">
        <f>SUM(O32:P32)</f>
        <v>7025920</v>
      </c>
      <c r="R32" s="54"/>
      <c r="S32" s="54">
        <f>SUM(Q32:R32)</f>
        <v>7025920</v>
      </c>
      <c r="T32" s="54"/>
      <c r="U32" s="54">
        <f>SUM(S32:T32)</f>
        <v>7025920</v>
      </c>
      <c r="V32" s="54">
        <v>-19600</v>
      </c>
      <c r="W32" s="54">
        <f>SUM(U32:V32)</f>
        <v>7006320</v>
      </c>
      <c r="X32" s="54"/>
      <c r="Y32" s="54">
        <f>SUM(W32:X32)</f>
        <v>7006320</v>
      </c>
      <c r="Z32" s="54">
        <v>110900</v>
      </c>
      <c r="AA32" s="54">
        <f>SUM(Y32:Z32)</f>
        <v>7117220</v>
      </c>
      <c r="AB32" s="54"/>
      <c r="AC32" s="54">
        <f>SUM(AA32:AB32)</f>
        <v>7117220</v>
      </c>
      <c r="AD32" s="54">
        <f>3222-106370-106000+3000+1500+1500</f>
        <v>-203148</v>
      </c>
      <c r="AE32" s="54">
        <f>SUM(AC32:AD32)</f>
        <v>6914072</v>
      </c>
      <c r="AF32" s="54">
        <f>-484000+70619-200000</f>
        <v>-613381</v>
      </c>
      <c r="AG32" s="54">
        <f>SUM(AE32:AF32)</f>
        <v>6300691</v>
      </c>
      <c r="AH32" s="54"/>
      <c r="AI32" s="54">
        <f>SUM(AG32:AH32)</f>
        <v>6300691</v>
      </c>
      <c r="AJ32" s="54"/>
      <c r="AK32" s="54">
        <f>SUM(AI32:AJ32)</f>
        <v>6300691</v>
      </c>
      <c r="AN32" s="67"/>
      <c r="AO32" s="67"/>
    </row>
    <row r="33" spans="1:41" s="20" customFormat="1" ht="24">
      <c r="A33" s="41"/>
      <c r="B33" s="140"/>
      <c r="C33" s="41">
        <v>6060</v>
      </c>
      <c r="D33" s="31" t="s">
        <v>89</v>
      </c>
      <c r="E33" s="54">
        <v>15000</v>
      </c>
      <c r="F33" s="54"/>
      <c r="G33" s="54">
        <f>SUM(E33:F33)</f>
        <v>15000</v>
      </c>
      <c r="H33" s="54"/>
      <c r="I33" s="54">
        <f>SUM(G33:H33)</f>
        <v>15000</v>
      </c>
      <c r="J33" s="54"/>
      <c r="K33" s="54">
        <f>SUM(I33:J33)</f>
        <v>15000</v>
      </c>
      <c r="L33" s="54"/>
      <c r="M33" s="54">
        <f>SUM(K33:L33)</f>
        <v>15000</v>
      </c>
      <c r="N33" s="54"/>
      <c r="O33" s="54">
        <f>SUM(M33:N33)</f>
        <v>15000</v>
      </c>
      <c r="P33" s="54"/>
      <c r="Q33" s="54">
        <f>SUM(O33:P33)</f>
        <v>15000</v>
      </c>
      <c r="R33" s="54"/>
      <c r="S33" s="54">
        <f>SUM(Q33:R33)</f>
        <v>15000</v>
      </c>
      <c r="T33" s="54"/>
      <c r="U33" s="54">
        <f>SUM(S33:T33)</f>
        <v>15000</v>
      </c>
      <c r="V33" s="54"/>
      <c r="W33" s="54">
        <f>SUM(U33:V33)</f>
        <v>15000</v>
      </c>
      <c r="X33" s="54"/>
      <c r="Y33" s="54">
        <f>SUM(W33:X33)</f>
        <v>15000</v>
      </c>
      <c r="Z33" s="54"/>
      <c r="AA33" s="54">
        <f>SUM(Y33:Z33)</f>
        <v>15000</v>
      </c>
      <c r="AB33" s="54"/>
      <c r="AC33" s="54">
        <f>SUM(AA33:AB33)</f>
        <v>15000</v>
      </c>
      <c r="AD33" s="54">
        <v>-848</v>
      </c>
      <c r="AE33" s="54">
        <f>SUM(AC33:AD33)</f>
        <v>14152</v>
      </c>
      <c r="AF33" s="54"/>
      <c r="AG33" s="54">
        <f>SUM(AE33:AF33)</f>
        <v>14152</v>
      </c>
      <c r="AH33" s="54"/>
      <c r="AI33" s="54">
        <f>SUM(AG33:AH33)</f>
        <v>14152</v>
      </c>
      <c r="AJ33" s="54"/>
      <c r="AK33" s="54">
        <f>SUM(AI33:AJ33)</f>
        <v>14152</v>
      </c>
      <c r="AN33" s="67"/>
      <c r="AO33" s="67"/>
    </row>
    <row r="34" spans="1:37" s="5" customFormat="1" ht="21" customHeight="1">
      <c r="A34" s="27" t="s">
        <v>8</v>
      </c>
      <c r="B34" s="28"/>
      <c r="C34" s="29"/>
      <c r="D34" s="30" t="s">
        <v>9</v>
      </c>
      <c r="E34" s="134">
        <f aca="true" t="shared" si="27" ref="E34:W34">SUM(E35,E37,E48,E51)</f>
        <v>3482512</v>
      </c>
      <c r="F34" s="134">
        <f t="shared" si="27"/>
        <v>80000</v>
      </c>
      <c r="G34" s="134">
        <f t="shared" si="27"/>
        <v>3562512</v>
      </c>
      <c r="H34" s="134">
        <f t="shared" si="27"/>
        <v>0</v>
      </c>
      <c r="I34" s="134">
        <f t="shared" si="27"/>
        <v>3562512</v>
      </c>
      <c r="J34" s="134">
        <f t="shared" si="27"/>
        <v>0</v>
      </c>
      <c r="K34" s="134">
        <f t="shared" si="27"/>
        <v>3562512</v>
      </c>
      <c r="L34" s="134">
        <f t="shared" si="27"/>
        <v>0</v>
      </c>
      <c r="M34" s="134">
        <f t="shared" si="27"/>
        <v>3562512</v>
      </c>
      <c r="N34" s="134">
        <f t="shared" si="27"/>
        <v>0</v>
      </c>
      <c r="O34" s="134">
        <f t="shared" si="27"/>
        <v>3562512</v>
      </c>
      <c r="P34" s="134">
        <f t="shared" si="27"/>
        <v>0</v>
      </c>
      <c r="Q34" s="134">
        <f t="shared" si="27"/>
        <v>3562512</v>
      </c>
      <c r="R34" s="134">
        <f t="shared" si="27"/>
        <v>5000</v>
      </c>
      <c r="S34" s="134">
        <f t="shared" si="27"/>
        <v>3567512</v>
      </c>
      <c r="T34" s="134">
        <f t="shared" si="27"/>
        <v>0</v>
      </c>
      <c r="U34" s="134">
        <f t="shared" si="27"/>
        <v>3567512</v>
      </c>
      <c r="V34" s="134">
        <f t="shared" si="27"/>
        <v>0</v>
      </c>
      <c r="W34" s="134">
        <f t="shared" si="27"/>
        <v>3567512</v>
      </c>
      <c r="X34" s="134">
        <f aca="true" t="shared" si="28" ref="X34:AC34">SUM(X35,X37,X48,X51)</f>
        <v>0</v>
      </c>
      <c r="Y34" s="134">
        <f t="shared" si="28"/>
        <v>3567512</v>
      </c>
      <c r="Z34" s="134">
        <f t="shared" si="28"/>
        <v>0</v>
      </c>
      <c r="AA34" s="134">
        <f t="shared" si="28"/>
        <v>3567512</v>
      </c>
      <c r="AB34" s="134">
        <f t="shared" si="28"/>
        <v>0</v>
      </c>
      <c r="AC34" s="134">
        <f t="shared" si="28"/>
        <v>3567512</v>
      </c>
      <c r="AD34" s="134">
        <f aca="true" t="shared" si="29" ref="AD34:AI34">SUM(AD35,AD37,AD48,AD51)</f>
        <v>2000</v>
      </c>
      <c r="AE34" s="134">
        <f t="shared" si="29"/>
        <v>3569512</v>
      </c>
      <c r="AF34" s="134">
        <f t="shared" si="29"/>
        <v>0</v>
      </c>
      <c r="AG34" s="134">
        <f t="shared" si="29"/>
        <v>3569512</v>
      </c>
      <c r="AH34" s="134">
        <f t="shared" si="29"/>
        <v>48</v>
      </c>
      <c r="AI34" s="134">
        <f t="shared" si="29"/>
        <v>3569560</v>
      </c>
      <c r="AJ34" s="134">
        <f>SUM(AJ35,AJ37,AJ48,AJ51)</f>
        <v>0</v>
      </c>
      <c r="AK34" s="134">
        <f>SUM(AK35,AK37,AK48,AK51)</f>
        <v>3569560</v>
      </c>
    </row>
    <row r="35" spans="1:37" s="20" customFormat="1" ht="24">
      <c r="A35" s="41"/>
      <c r="B35" s="140">
        <v>70004</v>
      </c>
      <c r="C35" s="58"/>
      <c r="D35" s="31" t="s">
        <v>306</v>
      </c>
      <c r="E35" s="54">
        <f aca="true" t="shared" si="30" ref="E35:AK35">SUM(E36)</f>
        <v>45000</v>
      </c>
      <c r="F35" s="54">
        <f t="shared" si="30"/>
        <v>0</v>
      </c>
      <c r="G35" s="54">
        <f t="shared" si="30"/>
        <v>45000</v>
      </c>
      <c r="H35" s="54">
        <f t="shared" si="30"/>
        <v>0</v>
      </c>
      <c r="I35" s="54">
        <f t="shared" si="30"/>
        <v>45000</v>
      </c>
      <c r="J35" s="54">
        <f t="shared" si="30"/>
        <v>0</v>
      </c>
      <c r="K35" s="54">
        <f t="shared" si="30"/>
        <v>45000</v>
      </c>
      <c r="L35" s="54">
        <f t="shared" si="30"/>
        <v>0</v>
      </c>
      <c r="M35" s="54">
        <f t="shared" si="30"/>
        <v>45000</v>
      </c>
      <c r="N35" s="54">
        <f t="shared" si="30"/>
        <v>0</v>
      </c>
      <c r="O35" s="54">
        <f t="shared" si="30"/>
        <v>45000</v>
      </c>
      <c r="P35" s="54">
        <f t="shared" si="30"/>
        <v>0</v>
      </c>
      <c r="Q35" s="54">
        <f t="shared" si="30"/>
        <v>45000</v>
      </c>
      <c r="R35" s="54">
        <f t="shared" si="30"/>
        <v>0</v>
      </c>
      <c r="S35" s="54">
        <f t="shared" si="30"/>
        <v>45000</v>
      </c>
      <c r="T35" s="54">
        <f t="shared" si="30"/>
        <v>0</v>
      </c>
      <c r="U35" s="54">
        <f t="shared" si="30"/>
        <v>45000</v>
      </c>
      <c r="V35" s="54">
        <f t="shared" si="30"/>
        <v>0</v>
      </c>
      <c r="W35" s="54">
        <f t="shared" si="30"/>
        <v>45000</v>
      </c>
      <c r="X35" s="54">
        <f t="shared" si="30"/>
        <v>0</v>
      </c>
      <c r="Y35" s="54">
        <f t="shared" si="30"/>
        <v>45000</v>
      </c>
      <c r="Z35" s="54">
        <f t="shared" si="30"/>
        <v>0</v>
      </c>
      <c r="AA35" s="54">
        <f t="shared" si="30"/>
        <v>45000</v>
      </c>
      <c r="AB35" s="54">
        <f t="shared" si="30"/>
        <v>0</v>
      </c>
      <c r="AC35" s="54">
        <f t="shared" si="30"/>
        <v>45000</v>
      </c>
      <c r="AD35" s="54">
        <f t="shared" si="30"/>
        <v>0</v>
      </c>
      <c r="AE35" s="54">
        <f t="shared" si="30"/>
        <v>45000</v>
      </c>
      <c r="AF35" s="54">
        <f t="shared" si="30"/>
        <v>0</v>
      </c>
      <c r="AG35" s="54">
        <f t="shared" si="30"/>
        <v>45000</v>
      </c>
      <c r="AH35" s="54">
        <f t="shared" si="30"/>
        <v>0</v>
      </c>
      <c r="AI35" s="54">
        <f t="shared" si="30"/>
        <v>45000</v>
      </c>
      <c r="AJ35" s="54">
        <f t="shared" si="30"/>
        <v>0</v>
      </c>
      <c r="AK35" s="54">
        <f t="shared" si="30"/>
        <v>45000</v>
      </c>
    </row>
    <row r="36" spans="1:37" s="20" customFormat="1" ht="21" customHeight="1">
      <c r="A36" s="41"/>
      <c r="B36" s="140"/>
      <c r="C36" s="58">
        <v>4300</v>
      </c>
      <c r="D36" s="31" t="s">
        <v>75</v>
      </c>
      <c r="E36" s="54">
        <v>45000</v>
      </c>
      <c r="F36" s="54"/>
      <c r="G36" s="54">
        <f>SUM(E36:F36)</f>
        <v>45000</v>
      </c>
      <c r="H36" s="54"/>
      <c r="I36" s="54">
        <f>SUM(G36:H36)</f>
        <v>45000</v>
      </c>
      <c r="J36" s="54"/>
      <c r="K36" s="54">
        <f>SUM(I36:J36)</f>
        <v>45000</v>
      </c>
      <c r="L36" s="54"/>
      <c r="M36" s="54">
        <f>SUM(K36:L36)</f>
        <v>45000</v>
      </c>
      <c r="N36" s="54"/>
      <c r="O36" s="54">
        <f>SUM(M36:N36)</f>
        <v>45000</v>
      </c>
      <c r="P36" s="54"/>
      <c r="Q36" s="54">
        <f>SUM(O36:P36)</f>
        <v>45000</v>
      </c>
      <c r="R36" s="54"/>
      <c r="S36" s="54">
        <f>SUM(Q36:R36)</f>
        <v>45000</v>
      </c>
      <c r="T36" s="54"/>
      <c r="U36" s="54">
        <f>SUM(S36:T36)</f>
        <v>45000</v>
      </c>
      <c r="V36" s="54"/>
      <c r="W36" s="54">
        <f>SUM(U36:V36)</f>
        <v>45000</v>
      </c>
      <c r="X36" s="54"/>
      <c r="Y36" s="54">
        <f>SUM(W36:X36)</f>
        <v>45000</v>
      </c>
      <c r="Z36" s="54"/>
      <c r="AA36" s="54">
        <f>SUM(Y36:Z36)</f>
        <v>45000</v>
      </c>
      <c r="AB36" s="54"/>
      <c r="AC36" s="54">
        <f>SUM(AA36:AB36)</f>
        <v>45000</v>
      </c>
      <c r="AD36" s="54"/>
      <c r="AE36" s="54">
        <f>SUM(AC36:AD36)</f>
        <v>45000</v>
      </c>
      <c r="AF36" s="54"/>
      <c r="AG36" s="54">
        <f>SUM(AE36:AF36)</f>
        <v>45000</v>
      </c>
      <c r="AH36" s="54"/>
      <c r="AI36" s="54">
        <f>SUM(AG36:AH36)</f>
        <v>45000</v>
      </c>
      <c r="AJ36" s="54"/>
      <c r="AK36" s="54">
        <f>SUM(AI36:AJ36)</f>
        <v>45000</v>
      </c>
    </row>
    <row r="37" spans="1:37" s="20" customFormat="1" ht="21" customHeight="1">
      <c r="A37" s="41"/>
      <c r="B37" s="55" t="s">
        <v>10</v>
      </c>
      <c r="C37" s="58"/>
      <c r="D37" s="31" t="s">
        <v>121</v>
      </c>
      <c r="E37" s="54">
        <f aca="true" t="shared" si="31" ref="E37:J37">SUM(E39:E47)</f>
        <v>2236932</v>
      </c>
      <c r="F37" s="54">
        <f t="shared" si="31"/>
        <v>0</v>
      </c>
      <c r="G37" s="54">
        <f t="shared" si="31"/>
        <v>2236932</v>
      </c>
      <c r="H37" s="54">
        <f t="shared" si="31"/>
        <v>0</v>
      </c>
      <c r="I37" s="54">
        <f t="shared" si="31"/>
        <v>2236932</v>
      </c>
      <c r="J37" s="54">
        <f t="shared" si="31"/>
        <v>0</v>
      </c>
      <c r="K37" s="54">
        <f aca="true" t="shared" si="32" ref="K37:W37">SUM(K38:K47)</f>
        <v>2236932</v>
      </c>
      <c r="L37" s="54">
        <f t="shared" si="32"/>
        <v>0</v>
      </c>
      <c r="M37" s="54">
        <f t="shared" si="32"/>
        <v>2236932</v>
      </c>
      <c r="N37" s="54">
        <f t="shared" si="32"/>
        <v>0</v>
      </c>
      <c r="O37" s="54">
        <f t="shared" si="32"/>
        <v>2236932</v>
      </c>
      <c r="P37" s="54">
        <f t="shared" si="32"/>
        <v>0</v>
      </c>
      <c r="Q37" s="54">
        <f t="shared" si="32"/>
        <v>2236932</v>
      </c>
      <c r="R37" s="54">
        <f t="shared" si="32"/>
        <v>5000</v>
      </c>
      <c r="S37" s="54">
        <f t="shared" si="32"/>
        <v>2241932</v>
      </c>
      <c r="T37" s="54">
        <f t="shared" si="32"/>
        <v>0</v>
      </c>
      <c r="U37" s="54">
        <f t="shared" si="32"/>
        <v>2241932</v>
      </c>
      <c r="V37" s="54">
        <f t="shared" si="32"/>
        <v>0</v>
      </c>
      <c r="W37" s="54">
        <f t="shared" si="32"/>
        <v>2241932</v>
      </c>
      <c r="X37" s="54">
        <f aca="true" t="shared" si="33" ref="X37:AC37">SUM(X38:X47)</f>
        <v>0</v>
      </c>
      <c r="Y37" s="54">
        <f t="shared" si="33"/>
        <v>2241932</v>
      </c>
      <c r="Z37" s="54">
        <f t="shared" si="33"/>
        <v>0</v>
      </c>
      <c r="AA37" s="54">
        <f t="shared" si="33"/>
        <v>2241932</v>
      </c>
      <c r="AB37" s="54">
        <f t="shared" si="33"/>
        <v>0</v>
      </c>
      <c r="AC37" s="54">
        <f t="shared" si="33"/>
        <v>2241932</v>
      </c>
      <c r="AD37" s="54">
        <f aca="true" t="shared" si="34" ref="AD37:AI37">SUM(AD38:AD47)</f>
        <v>0</v>
      </c>
      <c r="AE37" s="54">
        <f t="shared" si="34"/>
        <v>2241932</v>
      </c>
      <c r="AF37" s="54">
        <f t="shared" si="34"/>
        <v>0</v>
      </c>
      <c r="AG37" s="54">
        <f t="shared" si="34"/>
        <v>2241932</v>
      </c>
      <c r="AH37" s="54">
        <f t="shared" si="34"/>
        <v>0</v>
      </c>
      <c r="AI37" s="54">
        <f t="shared" si="34"/>
        <v>2241932</v>
      </c>
      <c r="AJ37" s="54">
        <f>SUM(AJ38:AJ47)</f>
        <v>0</v>
      </c>
      <c r="AK37" s="54">
        <f>SUM(AK38:AK47)</f>
        <v>2241932</v>
      </c>
    </row>
    <row r="38" spans="1:39" s="20" customFormat="1" ht="21" customHeight="1">
      <c r="A38" s="41"/>
      <c r="B38" s="55"/>
      <c r="C38" s="58">
        <v>4170</v>
      </c>
      <c r="D38" s="31" t="s">
        <v>161</v>
      </c>
      <c r="E38" s="54"/>
      <c r="F38" s="54"/>
      <c r="G38" s="54"/>
      <c r="H38" s="54"/>
      <c r="I38" s="54"/>
      <c r="J38" s="54"/>
      <c r="K38" s="54">
        <v>0</v>
      </c>
      <c r="L38" s="54">
        <v>3000</v>
      </c>
      <c r="M38" s="54">
        <f>SUM(K38:L38)</f>
        <v>3000</v>
      </c>
      <c r="N38" s="54"/>
      <c r="O38" s="54">
        <f>SUM(M38:N38)</f>
        <v>3000</v>
      </c>
      <c r="P38" s="54"/>
      <c r="Q38" s="54">
        <f>SUM(O38:P38)</f>
        <v>3000</v>
      </c>
      <c r="R38" s="54">
        <v>5000</v>
      </c>
      <c r="S38" s="54">
        <f>SUM(Q38:R38)</f>
        <v>8000</v>
      </c>
      <c r="T38" s="54"/>
      <c r="U38" s="54">
        <f>SUM(S38:T38)</f>
        <v>8000</v>
      </c>
      <c r="V38" s="54"/>
      <c r="W38" s="54">
        <f>SUM(U38:V38)</f>
        <v>8000</v>
      </c>
      <c r="X38" s="54"/>
      <c r="Y38" s="54">
        <f>SUM(W38:X38)</f>
        <v>8000</v>
      </c>
      <c r="Z38" s="54"/>
      <c r="AA38" s="54">
        <f>SUM(Y38:Z38)</f>
        <v>8000</v>
      </c>
      <c r="AB38" s="54"/>
      <c r="AC38" s="54">
        <f>SUM(AA38:AB38)</f>
        <v>8000</v>
      </c>
      <c r="AD38" s="54"/>
      <c r="AE38" s="54">
        <f>SUM(AC38:AD38)</f>
        <v>8000</v>
      </c>
      <c r="AF38" s="54"/>
      <c r="AG38" s="54">
        <f>SUM(AE38:AF38)</f>
        <v>8000</v>
      </c>
      <c r="AH38" s="54"/>
      <c r="AI38" s="54">
        <f>SUM(AG38:AH38)</f>
        <v>8000</v>
      </c>
      <c r="AJ38" s="54"/>
      <c r="AK38" s="54">
        <f>SUM(AI38:AJ38)</f>
        <v>8000</v>
      </c>
      <c r="AL38" s="67"/>
      <c r="AM38" s="67"/>
    </row>
    <row r="39" spans="1:37" s="20" customFormat="1" ht="21" customHeight="1">
      <c r="A39" s="41"/>
      <c r="B39" s="55"/>
      <c r="C39" s="58">
        <v>4210</v>
      </c>
      <c r="D39" s="31" t="s">
        <v>68</v>
      </c>
      <c r="E39" s="54">
        <v>30000</v>
      </c>
      <c r="F39" s="54"/>
      <c r="G39" s="54">
        <f>SUM(E39:F39)</f>
        <v>30000</v>
      </c>
      <c r="H39" s="54"/>
      <c r="I39" s="54">
        <f>SUM(G39:H39)</f>
        <v>30000</v>
      </c>
      <c r="J39" s="54">
        <v>52000</v>
      </c>
      <c r="K39" s="54">
        <f>SUM(I39:J39)</f>
        <v>82000</v>
      </c>
      <c r="L39" s="54"/>
      <c r="M39" s="54">
        <f>SUM(K39:L39)</f>
        <v>82000</v>
      </c>
      <c r="N39" s="54"/>
      <c r="O39" s="54">
        <f>SUM(M39:N39)</f>
        <v>82000</v>
      </c>
      <c r="P39" s="54"/>
      <c r="Q39" s="54">
        <f>SUM(O39:P39)</f>
        <v>82000</v>
      </c>
      <c r="R39" s="54"/>
      <c r="S39" s="54">
        <f>SUM(Q39:R39)</f>
        <v>82000</v>
      </c>
      <c r="T39" s="54"/>
      <c r="U39" s="54">
        <f>SUM(S39:T39)</f>
        <v>82000</v>
      </c>
      <c r="V39" s="54"/>
      <c r="W39" s="54">
        <f>SUM(U39:V39)</f>
        <v>82000</v>
      </c>
      <c r="X39" s="54"/>
      <c r="Y39" s="54">
        <f>SUM(W39:X39)</f>
        <v>82000</v>
      </c>
      <c r="Z39" s="54"/>
      <c r="AA39" s="54">
        <f>SUM(Y39:Z39)</f>
        <v>82000</v>
      </c>
      <c r="AB39" s="54"/>
      <c r="AC39" s="54">
        <f>SUM(AA39:AB39)</f>
        <v>82000</v>
      </c>
      <c r="AD39" s="54"/>
      <c r="AE39" s="54">
        <f>SUM(AC39:AD39)</f>
        <v>82000</v>
      </c>
      <c r="AF39" s="54"/>
      <c r="AG39" s="54">
        <f>SUM(AE39:AF39)</f>
        <v>82000</v>
      </c>
      <c r="AH39" s="54"/>
      <c r="AI39" s="54">
        <f>SUM(AG39:AH39)</f>
        <v>82000</v>
      </c>
      <c r="AJ39" s="54"/>
      <c r="AK39" s="54">
        <f>SUM(AI39:AJ39)</f>
        <v>82000</v>
      </c>
    </row>
    <row r="40" spans="1:37" s="20" customFormat="1" ht="21" customHeight="1">
      <c r="A40" s="41"/>
      <c r="B40" s="55"/>
      <c r="C40" s="58">
        <v>4260</v>
      </c>
      <c r="D40" s="31" t="s">
        <v>88</v>
      </c>
      <c r="E40" s="54">
        <v>106000</v>
      </c>
      <c r="F40" s="54"/>
      <c r="G40" s="54">
        <f aca="true" t="shared" si="35" ref="G40:G47">SUM(E40:F40)</f>
        <v>106000</v>
      </c>
      <c r="H40" s="54"/>
      <c r="I40" s="54">
        <f aca="true" t="shared" si="36" ref="I40:I47">SUM(G40:H40)</f>
        <v>106000</v>
      </c>
      <c r="J40" s="54">
        <v>-52000</v>
      </c>
      <c r="K40" s="54">
        <f aca="true" t="shared" si="37" ref="K40:K47">SUM(I40:J40)</f>
        <v>54000</v>
      </c>
      <c r="L40" s="54"/>
      <c r="M40" s="54">
        <f aca="true" t="shared" si="38" ref="M40:M47">SUM(K40:L40)</f>
        <v>54000</v>
      </c>
      <c r="N40" s="54"/>
      <c r="O40" s="54">
        <f aca="true" t="shared" si="39" ref="O40:O47">SUM(M40:N40)</f>
        <v>54000</v>
      </c>
      <c r="P40" s="54"/>
      <c r="Q40" s="54">
        <f aca="true" t="shared" si="40" ref="Q40:Q47">SUM(O40:P40)</f>
        <v>54000</v>
      </c>
      <c r="R40" s="54"/>
      <c r="S40" s="54">
        <f aca="true" t="shared" si="41" ref="S40:S47">SUM(Q40:R40)</f>
        <v>54000</v>
      </c>
      <c r="T40" s="54"/>
      <c r="U40" s="54">
        <f aca="true" t="shared" si="42" ref="U40:U47">SUM(S40:T40)</f>
        <v>54000</v>
      </c>
      <c r="V40" s="54"/>
      <c r="W40" s="54">
        <f aca="true" t="shared" si="43" ref="W40:W47">SUM(U40:V40)</f>
        <v>54000</v>
      </c>
      <c r="X40" s="54"/>
      <c r="Y40" s="54">
        <f aca="true" t="shared" si="44" ref="Y40:Y47">SUM(W40:X40)</f>
        <v>54000</v>
      </c>
      <c r="Z40" s="54"/>
      <c r="AA40" s="54">
        <f aca="true" t="shared" si="45" ref="AA40:AA47">SUM(Y40:Z40)</f>
        <v>54000</v>
      </c>
      <c r="AB40" s="54"/>
      <c r="AC40" s="54">
        <f aca="true" t="shared" si="46" ref="AC40:AC47">SUM(AA40:AB40)</f>
        <v>54000</v>
      </c>
      <c r="AD40" s="54"/>
      <c r="AE40" s="54">
        <f aca="true" t="shared" si="47" ref="AE40:AE47">SUM(AC40:AD40)</f>
        <v>54000</v>
      </c>
      <c r="AF40" s="54"/>
      <c r="AG40" s="54">
        <f aca="true" t="shared" si="48" ref="AG40:AG47">SUM(AE40:AF40)</f>
        <v>54000</v>
      </c>
      <c r="AH40" s="54"/>
      <c r="AI40" s="54">
        <f aca="true" t="shared" si="49" ref="AI40:AI47">SUM(AG40:AH40)</f>
        <v>54000</v>
      </c>
      <c r="AJ40" s="54"/>
      <c r="AK40" s="54">
        <f aca="true" t="shared" si="50" ref="AK40:AK47">SUM(AI40:AJ40)</f>
        <v>54000</v>
      </c>
    </row>
    <row r="41" spans="1:37" s="20" customFormat="1" ht="21" customHeight="1">
      <c r="A41" s="41"/>
      <c r="B41" s="55"/>
      <c r="C41" s="58">
        <v>4270</v>
      </c>
      <c r="D41" s="31" t="s">
        <v>74</v>
      </c>
      <c r="E41" s="54">
        <v>900000</v>
      </c>
      <c r="F41" s="54"/>
      <c r="G41" s="54">
        <f t="shared" si="35"/>
        <v>900000</v>
      </c>
      <c r="H41" s="54"/>
      <c r="I41" s="54">
        <f t="shared" si="36"/>
        <v>900000</v>
      </c>
      <c r="J41" s="54"/>
      <c r="K41" s="54">
        <f t="shared" si="37"/>
        <v>900000</v>
      </c>
      <c r="L41" s="54">
        <v>-3000</v>
      </c>
      <c r="M41" s="54">
        <f t="shared" si="38"/>
        <v>897000</v>
      </c>
      <c r="N41" s="54"/>
      <c r="O41" s="54">
        <f t="shared" si="39"/>
        <v>897000</v>
      </c>
      <c r="P41" s="54"/>
      <c r="Q41" s="54">
        <f t="shared" si="40"/>
        <v>897000</v>
      </c>
      <c r="R41" s="54"/>
      <c r="S41" s="54">
        <f t="shared" si="41"/>
        <v>897000</v>
      </c>
      <c r="T41" s="54"/>
      <c r="U41" s="54">
        <f t="shared" si="42"/>
        <v>897000</v>
      </c>
      <c r="V41" s="54"/>
      <c r="W41" s="54">
        <f t="shared" si="43"/>
        <v>897000</v>
      </c>
      <c r="X41" s="54"/>
      <c r="Y41" s="54">
        <f t="shared" si="44"/>
        <v>897000</v>
      </c>
      <c r="Z41" s="54"/>
      <c r="AA41" s="54">
        <f t="shared" si="45"/>
        <v>897000</v>
      </c>
      <c r="AB41" s="54"/>
      <c r="AC41" s="54">
        <f t="shared" si="46"/>
        <v>897000</v>
      </c>
      <c r="AD41" s="54"/>
      <c r="AE41" s="54">
        <f t="shared" si="47"/>
        <v>897000</v>
      </c>
      <c r="AF41" s="54"/>
      <c r="AG41" s="54">
        <f t="shared" si="48"/>
        <v>897000</v>
      </c>
      <c r="AH41" s="54"/>
      <c r="AI41" s="54">
        <f t="shared" si="49"/>
        <v>897000</v>
      </c>
      <c r="AJ41" s="54"/>
      <c r="AK41" s="54">
        <f t="shared" si="50"/>
        <v>897000</v>
      </c>
    </row>
    <row r="42" spans="1:37" s="20" customFormat="1" ht="21" customHeight="1">
      <c r="A42" s="41"/>
      <c r="B42" s="140"/>
      <c r="C42" s="41">
        <v>4300</v>
      </c>
      <c r="D42" s="31" t="s">
        <v>75</v>
      </c>
      <c r="E42" s="54">
        <f>136600+160000</f>
        <v>296600</v>
      </c>
      <c r="F42" s="54"/>
      <c r="G42" s="54">
        <f t="shared" si="35"/>
        <v>296600</v>
      </c>
      <c r="H42" s="54"/>
      <c r="I42" s="54">
        <f t="shared" si="36"/>
        <v>296600</v>
      </c>
      <c r="J42" s="54"/>
      <c r="K42" s="54">
        <f t="shared" si="37"/>
        <v>296600</v>
      </c>
      <c r="L42" s="54"/>
      <c r="M42" s="54">
        <f t="shared" si="38"/>
        <v>296600</v>
      </c>
      <c r="N42" s="54"/>
      <c r="O42" s="54">
        <f t="shared" si="39"/>
        <v>296600</v>
      </c>
      <c r="P42" s="54"/>
      <c r="Q42" s="54">
        <f t="shared" si="40"/>
        <v>296600</v>
      </c>
      <c r="R42" s="54"/>
      <c r="S42" s="54">
        <f t="shared" si="41"/>
        <v>296600</v>
      </c>
      <c r="T42" s="54"/>
      <c r="U42" s="54">
        <f t="shared" si="42"/>
        <v>296600</v>
      </c>
      <c r="V42" s="54"/>
      <c r="W42" s="54">
        <f t="shared" si="43"/>
        <v>296600</v>
      </c>
      <c r="X42" s="54"/>
      <c r="Y42" s="54">
        <f t="shared" si="44"/>
        <v>296600</v>
      </c>
      <c r="Z42" s="54"/>
      <c r="AA42" s="54">
        <f t="shared" si="45"/>
        <v>296600</v>
      </c>
      <c r="AB42" s="54">
        <v>-5000</v>
      </c>
      <c r="AC42" s="54">
        <f t="shared" si="46"/>
        <v>291600</v>
      </c>
      <c r="AD42" s="54"/>
      <c r="AE42" s="54">
        <f t="shared" si="47"/>
        <v>291600</v>
      </c>
      <c r="AF42" s="54"/>
      <c r="AG42" s="54">
        <f t="shared" si="48"/>
        <v>291600</v>
      </c>
      <c r="AH42" s="54"/>
      <c r="AI42" s="54">
        <f t="shared" si="49"/>
        <v>291600</v>
      </c>
      <c r="AJ42" s="54">
        <v>-1300</v>
      </c>
      <c r="AK42" s="54">
        <f t="shared" si="50"/>
        <v>290300</v>
      </c>
    </row>
    <row r="43" spans="1:37" s="20" customFormat="1" ht="24">
      <c r="A43" s="41"/>
      <c r="B43" s="140"/>
      <c r="C43" s="41">
        <v>4400</v>
      </c>
      <c r="D43" s="31" t="s">
        <v>186</v>
      </c>
      <c r="E43" s="54">
        <v>778500</v>
      </c>
      <c r="F43" s="54"/>
      <c r="G43" s="54">
        <f t="shared" si="35"/>
        <v>778500</v>
      </c>
      <c r="H43" s="54"/>
      <c r="I43" s="54">
        <f t="shared" si="36"/>
        <v>778500</v>
      </c>
      <c r="J43" s="54"/>
      <c r="K43" s="54">
        <f t="shared" si="37"/>
        <v>778500</v>
      </c>
      <c r="L43" s="54"/>
      <c r="M43" s="54">
        <f t="shared" si="38"/>
        <v>778500</v>
      </c>
      <c r="N43" s="54"/>
      <c r="O43" s="54">
        <f t="shared" si="39"/>
        <v>778500</v>
      </c>
      <c r="P43" s="54"/>
      <c r="Q43" s="54">
        <f t="shared" si="40"/>
        <v>778500</v>
      </c>
      <c r="R43" s="54"/>
      <c r="S43" s="54">
        <f t="shared" si="41"/>
        <v>778500</v>
      </c>
      <c r="T43" s="54"/>
      <c r="U43" s="54">
        <f t="shared" si="42"/>
        <v>778500</v>
      </c>
      <c r="V43" s="54"/>
      <c r="W43" s="54">
        <f t="shared" si="43"/>
        <v>778500</v>
      </c>
      <c r="X43" s="54"/>
      <c r="Y43" s="54">
        <f t="shared" si="44"/>
        <v>778500</v>
      </c>
      <c r="Z43" s="54"/>
      <c r="AA43" s="54">
        <f t="shared" si="45"/>
        <v>778500</v>
      </c>
      <c r="AB43" s="54"/>
      <c r="AC43" s="54">
        <f t="shared" si="46"/>
        <v>778500</v>
      </c>
      <c r="AD43" s="54"/>
      <c r="AE43" s="54">
        <f t="shared" si="47"/>
        <v>778500</v>
      </c>
      <c r="AF43" s="54"/>
      <c r="AG43" s="54">
        <f t="shared" si="48"/>
        <v>778500</v>
      </c>
      <c r="AH43" s="54"/>
      <c r="AI43" s="54">
        <f t="shared" si="49"/>
        <v>778500</v>
      </c>
      <c r="AJ43" s="54"/>
      <c r="AK43" s="54">
        <f t="shared" si="50"/>
        <v>778500</v>
      </c>
    </row>
    <row r="44" spans="1:37" s="20" customFormat="1" ht="21" customHeight="1">
      <c r="A44" s="41"/>
      <c r="B44" s="140"/>
      <c r="C44" s="41">
        <v>4480</v>
      </c>
      <c r="D44" s="31" t="s">
        <v>30</v>
      </c>
      <c r="E44" s="54">
        <v>132</v>
      </c>
      <c r="F44" s="54"/>
      <c r="G44" s="54">
        <f t="shared" si="35"/>
        <v>132</v>
      </c>
      <c r="H44" s="54"/>
      <c r="I44" s="54">
        <f t="shared" si="36"/>
        <v>132</v>
      </c>
      <c r="J44" s="54"/>
      <c r="K44" s="54">
        <f t="shared" si="37"/>
        <v>132</v>
      </c>
      <c r="L44" s="54"/>
      <c r="M44" s="54">
        <f t="shared" si="38"/>
        <v>132</v>
      </c>
      <c r="N44" s="54"/>
      <c r="O44" s="54">
        <f t="shared" si="39"/>
        <v>132</v>
      </c>
      <c r="P44" s="54"/>
      <c r="Q44" s="54">
        <f t="shared" si="40"/>
        <v>132</v>
      </c>
      <c r="R44" s="54"/>
      <c r="S44" s="54">
        <f t="shared" si="41"/>
        <v>132</v>
      </c>
      <c r="T44" s="54"/>
      <c r="U44" s="54">
        <f t="shared" si="42"/>
        <v>132</v>
      </c>
      <c r="V44" s="54"/>
      <c r="W44" s="54">
        <f t="shared" si="43"/>
        <v>132</v>
      </c>
      <c r="X44" s="54"/>
      <c r="Y44" s="54">
        <f t="shared" si="44"/>
        <v>132</v>
      </c>
      <c r="Z44" s="54"/>
      <c r="AA44" s="54">
        <f t="shared" si="45"/>
        <v>132</v>
      </c>
      <c r="AB44" s="54"/>
      <c r="AC44" s="54">
        <f t="shared" si="46"/>
        <v>132</v>
      </c>
      <c r="AD44" s="54"/>
      <c r="AE44" s="54">
        <f t="shared" si="47"/>
        <v>132</v>
      </c>
      <c r="AF44" s="54"/>
      <c r="AG44" s="54">
        <f t="shared" si="48"/>
        <v>132</v>
      </c>
      <c r="AH44" s="54"/>
      <c r="AI44" s="54">
        <f t="shared" si="49"/>
        <v>132</v>
      </c>
      <c r="AJ44" s="54"/>
      <c r="AK44" s="54">
        <f t="shared" si="50"/>
        <v>132</v>
      </c>
    </row>
    <row r="45" spans="1:37" s="20" customFormat="1" ht="21" customHeight="1">
      <c r="A45" s="41"/>
      <c r="B45" s="140"/>
      <c r="C45" s="58">
        <v>4510</v>
      </c>
      <c r="D45" s="31" t="s">
        <v>307</v>
      </c>
      <c r="E45" s="54">
        <v>700</v>
      </c>
      <c r="F45" s="54"/>
      <c r="G45" s="54">
        <f t="shared" si="35"/>
        <v>700</v>
      </c>
      <c r="H45" s="54"/>
      <c r="I45" s="54">
        <f t="shared" si="36"/>
        <v>700</v>
      </c>
      <c r="J45" s="54"/>
      <c r="K45" s="54">
        <f t="shared" si="37"/>
        <v>700</v>
      </c>
      <c r="L45" s="54"/>
      <c r="M45" s="54">
        <f t="shared" si="38"/>
        <v>700</v>
      </c>
      <c r="N45" s="54"/>
      <c r="O45" s="54">
        <f t="shared" si="39"/>
        <v>700</v>
      </c>
      <c r="P45" s="54"/>
      <c r="Q45" s="54">
        <f t="shared" si="40"/>
        <v>700</v>
      </c>
      <c r="R45" s="54"/>
      <c r="S45" s="54">
        <f t="shared" si="41"/>
        <v>700</v>
      </c>
      <c r="T45" s="54"/>
      <c r="U45" s="54">
        <f t="shared" si="42"/>
        <v>700</v>
      </c>
      <c r="V45" s="54"/>
      <c r="W45" s="54">
        <f t="shared" si="43"/>
        <v>700</v>
      </c>
      <c r="X45" s="54"/>
      <c r="Y45" s="54">
        <f t="shared" si="44"/>
        <v>700</v>
      </c>
      <c r="Z45" s="54"/>
      <c r="AA45" s="54">
        <f t="shared" si="45"/>
        <v>700</v>
      </c>
      <c r="AB45" s="54"/>
      <c r="AC45" s="54">
        <f t="shared" si="46"/>
        <v>700</v>
      </c>
      <c r="AD45" s="54"/>
      <c r="AE45" s="54">
        <f t="shared" si="47"/>
        <v>700</v>
      </c>
      <c r="AF45" s="54"/>
      <c r="AG45" s="54">
        <f t="shared" si="48"/>
        <v>700</v>
      </c>
      <c r="AH45" s="54"/>
      <c r="AI45" s="54">
        <f t="shared" si="49"/>
        <v>700</v>
      </c>
      <c r="AJ45" s="54"/>
      <c r="AK45" s="54">
        <f t="shared" si="50"/>
        <v>700</v>
      </c>
    </row>
    <row r="46" spans="1:37" s="20" customFormat="1" ht="21" customHeight="1">
      <c r="A46" s="41"/>
      <c r="B46" s="140"/>
      <c r="C46" s="58">
        <v>4610</v>
      </c>
      <c r="D46" s="31" t="s">
        <v>151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>
        <v>0</v>
      </c>
      <c r="AB46" s="54">
        <v>5000</v>
      </c>
      <c r="AC46" s="54">
        <f t="shared" si="46"/>
        <v>5000</v>
      </c>
      <c r="AD46" s="54"/>
      <c r="AE46" s="54">
        <f t="shared" si="47"/>
        <v>5000</v>
      </c>
      <c r="AF46" s="54"/>
      <c r="AG46" s="54">
        <f t="shared" si="48"/>
        <v>5000</v>
      </c>
      <c r="AH46" s="54"/>
      <c r="AI46" s="54">
        <f t="shared" si="49"/>
        <v>5000</v>
      </c>
      <c r="AJ46" s="54">
        <v>1300</v>
      </c>
      <c r="AK46" s="54">
        <f t="shared" si="50"/>
        <v>6300</v>
      </c>
    </row>
    <row r="47" spans="1:41" s="20" customFormat="1" ht="24">
      <c r="A47" s="41"/>
      <c r="B47" s="140"/>
      <c r="C47" s="41">
        <v>6050</v>
      </c>
      <c r="D47" s="31" t="s">
        <v>69</v>
      </c>
      <c r="E47" s="54">
        <f>65000+60000</f>
        <v>125000</v>
      </c>
      <c r="F47" s="54"/>
      <c r="G47" s="54">
        <f t="shared" si="35"/>
        <v>125000</v>
      </c>
      <c r="H47" s="54"/>
      <c r="I47" s="54">
        <f t="shared" si="36"/>
        <v>125000</v>
      </c>
      <c r="J47" s="54"/>
      <c r="K47" s="54">
        <f t="shared" si="37"/>
        <v>125000</v>
      </c>
      <c r="L47" s="54"/>
      <c r="M47" s="54">
        <f t="shared" si="38"/>
        <v>125000</v>
      </c>
      <c r="N47" s="54"/>
      <c r="O47" s="54">
        <f t="shared" si="39"/>
        <v>125000</v>
      </c>
      <c r="P47" s="54"/>
      <c r="Q47" s="54">
        <f t="shared" si="40"/>
        <v>125000</v>
      </c>
      <c r="R47" s="54"/>
      <c r="S47" s="54">
        <f t="shared" si="41"/>
        <v>125000</v>
      </c>
      <c r="T47" s="54"/>
      <c r="U47" s="54">
        <f t="shared" si="42"/>
        <v>125000</v>
      </c>
      <c r="V47" s="54"/>
      <c r="W47" s="54">
        <f t="shared" si="43"/>
        <v>125000</v>
      </c>
      <c r="X47" s="54"/>
      <c r="Y47" s="54">
        <f t="shared" si="44"/>
        <v>125000</v>
      </c>
      <c r="Z47" s="54"/>
      <c r="AA47" s="54">
        <f t="shared" si="45"/>
        <v>125000</v>
      </c>
      <c r="AB47" s="54"/>
      <c r="AC47" s="54">
        <f t="shared" si="46"/>
        <v>125000</v>
      </c>
      <c r="AD47" s="54"/>
      <c r="AE47" s="54">
        <f t="shared" si="47"/>
        <v>125000</v>
      </c>
      <c r="AF47" s="54"/>
      <c r="AG47" s="54">
        <f t="shared" si="48"/>
        <v>125000</v>
      </c>
      <c r="AH47" s="54"/>
      <c r="AI47" s="54">
        <f t="shared" si="49"/>
        <v>125000</v>
      </c>
      <c r="AJ47" s="54"/>
      <c r="AK47" s="54">
        <f t="shared" si="50"/>
        <v>125000</v>
      </c>
      <c r="AN47" s="67"/>
      <c r="AO47" s="67"/>
    </row>
    <row r="48" spans="1:37" s="20" customFormat="1" ht="21" customHeight="1">
      <c r="A48" s="41"/>
      <c r="B48" s="140">
        <v>70021</v>
      </c>
      <c r="C48" s="41"/>
      <c r="D48" s="31" t="s">
        <v>150</v>
      </c>
      <c r="E48" s="54">
        <f>SUM(E49:E49)</f>
        <v>400000</v>
      </c>
      <c r="F48" s="54">
        <f>SUM(F49:F49)</f>
        <v>280000</v>
      </c>
      <c r="G48" s="54">
        <f>SUM(G49:G49)</f>
        <v>680000</v>
      </c>
      <c r="H48" s="54">
        <f>SUM(H49:H49)</f>
        <v>0</v>
      </c>
      <c r="I48" s="54">
        <f aca="true" t="shared" si="51" ref="I48:U48">SUM(I49:I50)</f>
        <v>680000</v>
      </c>
      <c r="J48" s="54">
        <f t="shared" si="51"/>
        <v>0</v>
      </c>
      <c r="K48" s="54">
        <f t="shared" si="51"/>
        <v>680000</v>
      </c>
      <c r="L48" s="54">
        <f t="shared" si="51"/>
        <v>0</v>
      </c>
      <c r="M48" s="54">
        <f t="shared" si="51"/>
        <v>680000</v>
      </c>
      <c r="N48" s="54">
        <f t="shared" si="51"/>
        <v>0</v>
      </c>
      <c r="O48" s="54">
        <f t="shared" si="51"/>
        <v>680000</v>
      </c>
      <c r="P48" s="54">
        <f t="shared" si="51"/>
        <v>0</v>
      </c>
      <c r="Q48" s="54">
        <f t="shared" si="51"/>
        <v>680000</v>
      </c>
      <c r="R48" s="54">
        <f t="shared" si="51"/>
        <v>0</v>
      </c>
      <c r="S48" s="54">
        <f t="shared" si="51"/>
        <v>680000</v>
      </c>
      <c r="T48" s="54">
        <f t="shared" si="51"/>
        <v>0</v>
      </c>
      <c r="U48" s="54">
        <f t="shared" si="51"/>
        <v>680000</v>
      </c>
      <c r="V48" s="54">
        <f aca="true" t="shared" si="52" ref="V48:AA48">SUM(V49:V50)</f>
        <v>0</v>
      </c>
      <c r="W48" s="54">
        <f t="shared" si="52"/>
        <v>680000</v>
      </c>
      <c r="X48" s="54">
        <f t="shared" si="52"/>
        <v>0</v>
      </c>
      <c r="Y48" s="54">
        <f t="shared" si="52"/>
        <v>680000</v>
      </c>
      <c r="Z48" s="54">
        <f t="shared" si="52"/>
        <v>0</v>
      </c>
      <c r="AA48" s="54">
        <f t="shared" si="52"/>
        <v>680000</v>
      </c>
      <c r="AB48" s="54">
        <f aca="true" t="shared" si="53" ref="AB48:AG48">SUM(AB49:AB50)</f>
        <v>0</v>
      </c>
      <c r="AC48" s="54">
        <f t="shared" si="53"/>
        <v>680000</v>
      </c>
      <c r="AD48" s="54">
        <f t="shared" si="53"/>
        <v>0</v>
      </c>
      <c r="AE48" s="54">
        <f t="shared" si="53"/>
        <v>680000</v>
      </c>
      <c r="AF48" s="54">
        <f t="shared" si="53"/>
        <v>0</v>
      </c>
      <c r="AG48" s="54">
        <f t="shared" si="53"/>
        <v>680000</v>
      </c>
      <c r="AH48" s="54">
        <f>SUM(AH49:AH50)</f>
        <v>0</v>
      </c>
      <c r="AI48" s="54">
        <f>SUM(AI49:AI50)</f>
        <v>680000</v>
      </c>
      <c r="AJ48" s="54">
        <f>SUM(AJ49:AJ50)</f>
        <v>0</v>
      </c>
      <c r="AK48" s="54">
        <f>SUM(AK49:AK50)</f>
        <v>680000</v>
      </c>
    </row>
    <row r="49" spans="1:37" s="20" customFormat="1" ht="21" customHeight="1">
      <c r="A49" s="41"/>
      <c r="B49" s="140"/>
      <c r="C49" s="41">
        <v>4150</v>
      </c>
      <c r="D49" s="31" t="s">
        <v>308</v>
      </c>
      <c r="E49" s="54">
        <v>400000</v>
      </c>
      <c r="F49" s="54">
        <f>280000</f>
        <v>280000</v>
      </c>
      <c r="G49" s="54">
        <f>SUM(E49:F49)</f>
        <v>680000</v>
      </c>
      <c r="H49" s="54"/>
      <c r="I49" s="54">
        <f>SUM(G49:H49)</f>
        <v>680000</v>
      </c>
      <c r="J49" s="54">
        <v>-280000</v>
      </c>
      <c r="K49" s="54">
        <f>SUM(I49:J49)</f>
        <v>400000</v>
      </c>
      <c r="L49" s="54"/>
      <c r="M49" s="54">
        <f>SUM(K49:L49)</f>
        <v>400000</v>
      </c>
      <c r="N49" s="54"/>
      <c r="O49" s="54">
        <f>SUM(M49:N49)</f>
        <v>400000</v>
      </c>
      <c r="P49" s="54"/>
      <c r="Q49" s="54">
        <f>SUM(O49:P49)</f>
        <v>400000</v>
      </c>
      <c r="R49" s="54"/>
      <c r="S49" s="54">
        <f>SUM(Q49:R49)</f>
        <v>400000</v>
      </c>
      <c r="T49" s="54"/>
      <c r="U49" s="54">
        <f>SUM(S49:T49)</f>
        <v>400000</v>
      </c>
      <c r="V49" s="54"/>
      <c r="W49" s="54">
        <f>SUM(U49:V49)</f>
        <v>400000</v>
      </c>
      <c r="X49" s="54"/>
      <c r="Y49" s="54">
        <f>SUM(W49:X49)</f>
        <v>400000</v>
      </c>
      <c r="Z49" s="54"/>
      <c r="AA49" s="54">
        <f>SUM(Y49:Z49)</f>
        <v>400000</v>
      </c>
      <c r="AB49" s="54"/>
      <c r="AC49" s="54">
        <f>SUM(AA49:AB49)</f>
        <v>400000</v>
      </c>
      <c r="AD49" s="54"/>
      <c r="AE49" s="54">
        <f>SUM(AC49:AD49)</f>
        <v>400000</v>
      </c>
      <c r="AF49" s="54"/>
      <c r="AG49" s="54">
        <f>SUM(AE49:AF49)</f>
        <v>400000</v>
      </c>
      <c r="AH49" s="54"/>
      <c r="AI49" s="54">
        <f>SUM(AG49:AH49)</f>
        <v>400000</v>
      </c>
      <c r="AJ49" s="54"/>
      <c r="AK49" s="54">
        <f>SUM(AI49:AJ49)</f>
        <v>400000</v>
      </c>
    </row>
    <row r="50" spans="1:41" s="20" customFormat="1" ht="58.5" customHeight="1">
      <c r="A50" s="41"/>
      <c r="B50" s="140"/>
      <c r="C50" s="41">
        <v>6010</v>
      </c>
      <c r="D50" s="31" t="s">
        <v>202</v>
      </c>
      <c r="E50" s="54"/>
      <c r="F50" s="54"/>
      <c r="G50" s="54"/>
      <c r="H50" s="54"/>
      <c r="I50" s="54">
        <v>0</v>
      </c>
      <c r="J50" s="54">
        <v>280000</v>
      </c>
      <c r="K50" s="54">
        <f>SUM(I50:J50)</f>
        <v>280000</v>
      </c>
      <c r="L50" s="54"/>
      <c r="M50" s="54">
        <f>SUM(K50:L50)</f>
        <v>280000</v>
      </c>
      <c r="N50" s="54"/>
      <c r="O50" s="54">
        <f>SUM(M50:N50)</f>
        <v>280000</v>
      </c>
      <c r="P50" s="54"/>
      <c r="Q50" s="54">
        <f>SUM(O50:P50)</f>
        <v>280000</v>
      </c>
      <c r="R50" s="54"/>
      <c r="S50" s="54">
        <f>SUM(Q50:R50)</f>
        <v>280000</v>
      </c>
      <c r="T50" s="54"/>
      <c r="U50" s="54">
        <f>SUM(S50:T50)</f>
        <v>280000</v>
      </c>
      <c r="V50" s="54"/>
      <c r="W50" s="54">
        <f>SUM(U50:V50)</f>
        <v>280000</v>
      </c>
      <c r="X50" s="54"/>
      <c r="Y50" s="54">
        <f>SUM(W50:X50)</f>
        <v>280000</v>
      </c>
      <c r="Z50" s="54"/>
      <c r="AA50" s="54">
        <f>SUM(Y50:Z50)</f>
        <v>280000</v>
      </c>
      <c r="AB50" s="54"/>
      <c r="AC50" s="54">
        <f>SUM(AA50:AB50)</f>
        <v>280000</v>
      </c>
      <c r="AD50" s="54"/>
      <c r="AE50" s="54">
        <f>SUM(AC50:AD50)</f>
        <v>280000</v>
      </c>
      <c r="AF50" s="54"/>
      <c r="AG50" s="54">
        <f>SUM(AE50:AF50)</f>
        <v>280000</v>
      </c>
      <c r="AH50" s="54"/>
      <c r="AI50" s="54">
        <f>SUM(AG50:AH50)</f>
        <v>280000</v>
      </c>
      <c r="AJ50" s="54"/>
      <c r="AK50" s="54">
        <f>SUM(AI50:AJ50)</f>
        <v>280000</v>
      </c>
      <c r="AN50" s="67"/>
      <c r="AO50" s="67"/>
    </row>
    <row r="51" spans="1:37" s="20" customFormat="1" ht="21" customHeight="1">
      <c r="A51" s="41"/>
      <c r="B51" s="55">
        <v>70095</v>
      </c>
      <c r="C51" s="58"/>
      <c r="D51" s="31" t="s">
        <v>6</v>
      </c>
      <c r="E51" s="54">
        <f aca="true" t="shared" si="54" ref="E51:W51">SUM(E52:E55)</f>
        <v>800580</v>
      </c>
      <c r="F51" s="54">
        <f t="shared" si="54"/>
        <v>-200000</v>
      </c>
      <c r="G51" s="54">
        <f t="shared" si="54"/>
        <v>600580</v>
      </c>
      <c r="H51" s="54">
        <f t="shared" si="54"/>
        <v>0</v>
      </c>
      <c r="I51" s="54">
        <f t="shared" si="54"/>
        <v>600580</v>
      </c>
      <c r="J51" s="54">
        <f t="shared" si="54"/>
        <v>0</v>
      </c>
      <c r="K51" s="54">
        <f t="shared" si="54"/>
        <v>600580</v>
      </c>
      <c r="L51" s="54">
        <f t="shared" si="54"/>
        <v>0</v>
      </c>
      <c r="M51" s="54">
        <f t="shared" si="54"/>
        <v>600580</v>
      </c>
      <c r="N51" s="54">
        <f t="shared" si="54"/>
        <v>0</v>
      </c>
      <c r="O51" s="54">
        <f t="shared" si="54"/>
        <v>600580</v>
      </c>
      <c r="P51" s="54">
        <f t="shared" si="54"/>
        <v>0</v>
      </c>
      <c r="Q51" s="54">
        <f t="shared" si="54"/>
        <v>600580</v>
      </c>
      <c r="R51" s="54">
        <f t="shared" si="54"/>
        <v>0</v>
      </c>
      <c r="S51" s="54">
        <f t="shared" si="54"/>
        <v>600580</v>
      </c>
      <c r="T51" s="54">
        <f t="shared" si="54"/>
        <v>0</v>
      </c>
      <c r="U51" s="54">
        <f t="shared" si="54"/>
        <v>600580</v>
      </c>
      <c r="V51" s="54">
        <f t="shared" si="54"/>
        <v>0</v>
      </c>
      <c r="W51" s="54">
        <f t="shared" si="54"/>
        <v>600580</v>
      </c>
      <c r="X51" s="54">
        <f aca="true" t="shared" si="55" ref="X51:AC51">SUM(X52:X55)</f>
        <v>0</v>
      </c>
      <c r="Y51" s="54">
        <f t="shared" si="55"/>
        <v>600580</v>
      </c>
      <c r="Z51" s="54">
        <f t="shared" si="55"/>
        <v>0</v>
      </c>
      <c r="AA51" s="54">
        <f t="shared" si="55"/>
        <v>600580</v>
      </c>
      <c r="AB51" s="54">
        <f t="shared" si="55"/>
        <v>0</v>
      </c>
      <c r="AC51" s="54">
        <f t="shared" si="55"/>
        <v>600580</v>
      </c>
      <c r="AD51" s="54">
        <f aca="true" t="shared" si="56" ref="AD51:AI51">SUM(AD52:AD55)</f>
        <v>2000</v>
      </c>
      <c r="AE51" s="54">
        <f t="shared" si="56"/>
        <v>602580</v>
      </c>
      <c r="AF51" s="54">
        <f t="shared" si="56"/>
        <v>0</v>
      </c>
      <c r="AG51" s="54">
        <f t="shared" si="56"/>
        <v>602580</v>
      </c>
      <c r="AH51" s="54">
        <f t="shared" si="56"/>
        <v>48</v>
      </c>
      <c r="AI51" s="54">
        <f t="shared" si="56"/>
        <v>602628</v>
      </c>
      <c r="AJ51" s="54">
        <f>SUM(AJ52:AJ55)</f>
        <v>0</v>
      </c>
      <c r="AK51" s="54">
        <f>SUM(AK52:AK55)</f>
        <v>602628</v>
      </c>
    </row>
    <row r="52" spans="1:37" s="20" customFormat="1" ht="21" customHeight="1">
      <c r="A52" s="41"/>
      <c r="B52" s="55"/>
      <c r="C52" s="58">
        <v>4260</v>
      </c>
      <c r="D52" s="31" t="s">
        <v>88</v>
      </c>
      <c r="E52" s="54">
        <v>500</v>
      </c>
      <c r="F52" s="54"/>
      <c r="G52" s="54">
        <f>SUM(E52:F52)</f>
        <v>500</v>
      </c>
      <c r="H52" s="54"/>
      <c r="I52" s="54">
        <f>SUM(G52:H52)</f>
        <v>500</v>
      </c>
      <c r="J52" s="54"/>
      <c r="K52" s="54">
        <f>SUM(I52:J52)</f>
        <v>500</v>
      </c>
      <c r="L52" s="54"/>
      <c r="M52" s="54">
        <f>SUM(K52:L52)</f>
        <v>500</v>
      </c>
      <c r="N52" s="54"/>
      <c r="O52" s="54">
        <f>SUM(M52:N52)</f>
        <v>500</v>
      </c>
      <c r="P52" s="54"/>
      <c r="Q52" s="54">
        <f>SUM(O52:P52)</f>
        <v>500</v>
      </c>
      <c r="R52" s="54"/>
      <c r="S52" s="54">
        <f>SUM(Q52:R52)</f>
        <v>500</v>
      </c>
      <c r="T52" s="54"/>
      <c r="U52" s="54">
        <f>SUM(S52:T52)</f>
        <v>500</v>
      </c>
      <c r="V52" s="54"/>
      <c r="W52" s="54">
        <f>SUM(U52:V52)</f>
        <v>500</v>
      </c>
      <c r="X52" s="54"/>
      <c r="Y52" s="54">
        <f>SUM(W52:X52)</f>
        <v>500</v>
      </c>
      <c r="Z52" s="54"/>
      <c r="AA52" s="54">
        <f>SUM(Y52:Z52)</f>
        <v>500</v>
      </c>
      <c r="AB52" s="54"/>
      <c r="AC52" s="54">
        <f>SUM(AA52:AB52)</f>
        <v>500</v>
      </c>
      <c r="AD52" s="54"/>
      <c r="AE52" s="54">
        <f>SUM(AC52:AD52)</f>
        <v>500</v>
      </c>
      <c r="AF52" s="54"/>
      <c r="AG52" s="54">
        <f>SUM(AE52:AF52)</f>
        <v>500</v>
      </c>
      <c r="AH52" s="54">
        <v>55</v>
      </c>
      <c r="AI52" s="54">
        <f>SUM(AG52:AH52)</f>
        <v>555</v>
      </c>
      <c r="AJ52" s="54"/>
      <c r="AK52" s="54">
        <f>SUM(AI52:AJ52)</f>
        <v>555</v>
      </c>
    </row>
    <row r="53" spans="1:37" s="20" customFormat="1" ht="21" customHeight="1">
      <c r="A53" s="41"/>
      <c r="B53" s="55"/>
      <c r="C53" s="58">
        <v>4300</v>
      </c>
      <c r="D53" s="31" t="s">
        <v>75</v>
      </c>
      <c r="E53" s="54">
        <v>80</v>
      </c>
      <c r="F53" s="54"/>
      <c r="G53" s="54">
        <f>SUM(E53:F53)</f>
        <v>80</v>
      </c>
      <c r="H53" s="54"/>
      <c r="I53" s="54">
        <f>SUM(G53:H53)</f>
        <v>80</v>
      </c>
      <c r="J53" s="54"/>
      <c r="K53" s="54">
        <f>SUM(I53:J53)</f>
        <v>80</v>
      </c>
      <c r="L53" s="54"/>
      <c r="M53" s="54">
        <f>SUM(K53:L53)</f>
        <v>80</v>
      </c>
      <c r="N53" s="54"/>
      <c r="O53" s="54">
        <f>SUM(M53:N53)</f>
        <v>80</v>
      </c>
      <c r="P53" s="54"/>
      <c r="Q53" s="54">
        <f>SUM(O53:P53)</f>
        <v>80</v>
      </c>
      <c r="R53" s="54"/>
      <c r="S53" s="54">
        <f>SUM(Q53:R53)</f>
        <v>80</v>
      </c>
      <c r="T53" s="54"/>
      <c r="U53" s="54">
        <f>SUM(S53:T53)</f>
        <v>80</v>
      </c>
      <c r="V53" s="54"/>
      <c r="W53" s="54">
        <f>SUM(U53:V53)</f>
        <v>80</v>
      </c>
      <c r="X53" s="54"/>
      <c r="Y53" s="54">
        <f>SUM(W53:X53)</f>
        <v>80</v>
      </c>
      <c r="Z53" s="54"/>
      <c r="AA53" s="54">
        <f>SUM(Y53:Z53)</f>
        <v>80</v>
      </c>
      <c r="AB53" s="54"/>
      <c r="AC53" s="54">
        <f>SUM(AA53:AB53)</f>
        <v>80</v>
      </c>
      <c r="AD53" s="54"/>
      <c r="AE53" s="54">
        <f>SUM(AC53:AD53)</f>
        <v>80</v>
      </c>
      <c r="AF53" s="54"/>
      <c r="AG53" s="54">
        <f>SUM(AE53:AF53)</f>
        <v>80</v>
      </c>
      <c r="AH53" s="54">
        <v>-7</v>
      </c>
      <c r="AI53" s="54">
        <f>SUM(AG53:AH53)</f>
        <v>73</v>
      </c>
      <c r="AJ53" s="54"/>
      <c r="AK53" s="54">
        <f>SUM(AI53:AJ53)</f>
        <v>73</v>
      </c>
    </row>
    <row r="54" spans="1:37" s="20" customFormat="1" ht="24">
      <c r="A54" s="41"/>
      <c r="B54" s="55"/>
      <c r="C54" s="58">
        <v>4590</v>
      </c>
      <c r="D54" s="31" t="s">
        <v>417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>
        <v>0</v>
      </c>
      <c r="AD54" s="54">
        <v>2000</v>
      </c>
      <c r="AE54" s="54">
        <f>SUM(AC54:AD54)</f>
        <v>2000</v>
      </c>
      <c r="AF54" s="54"/>
      <c r="AG54" s="54">
        <f>SUM(AE54:AF54)</f>
        <v>2000</v>
      </c>
      <c r="AH54" s="54"/>
      <c r="AI54" s="54">
        <f>SUM(AG54:AH54)</f>
        <v>2000</v>
      </c>
      <c r="AJ54" s="54"/>
      <c r="AK54" s="54">
        <f>SUM(AI54:AJ54)</f>
        <v>2000</v>
      </c>
    </row>
    <row r="55" spans="1:41" s="20" customFormat="1" ht="24">
      <c r="A55" s="41"/>
      <c r="B55" s="55"/>
      <c r="C55" s="41">
        <v>6050</v>
      </c>
      <c r="D55" s="31" t="s">
        <v>69</v>
      </c>
      <c r="E55" s="54">
        <v>800000</v>
      </c>
      <c r="F55" s="54">
        <f>-400000+200000</f>
        <v>-200000</v>
      </c>
      <c r="G55" s="54">
        <f>SUM(E55:F55)</f>
        <v>600000</v>
      </c>
      <c r="H55" s="54"/>
      <c r="I55" s="54">
        <f>SUM(G55:H55)</f>
        <v>600000</v>
      </c>
      <c r="J55" s="54">
        <v>0</v>
      </c>
      <c r="K55" s="54">
        <f>SUM(I55:J55)</f>
        <v>600000</v>
      </c>
      <c r="L55" s="54">
        <v>0</v>
      </c>
      <c r="M55" s="54">
        <f>SUM(K55:L55)</f>
        <v>600000</v>
      </c>
      <c r="N55" s="54">
        <v>0</v>
      </c>
      <c r="O55" s="54">
        <f>SUM(M55:N55)</f>
        <v>600000</v>
      </c>
      <c r="P55" s="54">
        <v>0</v>
      </c>
      <c r="Q55" s="54">
        <f>SUM(O55:P55)</f>
        <v>600000</v>
      </c>
      <c r="R55" s="54">
        <v>0</v>
      </c>
      <c r="S55" s="54">
        <f>SUM(Q55:R55)</f>
        <v>600000</v>
      </c>
      <c r="T55" s="54">
        <v>0</v>
      </c>
      <c r="U55" s="54">
        <f>SUM(S55:T55)</f>
        <v>600000</v>
      </c>
      <c r="V55" s="54">
        <v>0</v>
      </c>
      <c r="W55" s="54">
        <f>SUM(U55:V55)</f>
        <v>600000</v>
      </c>
      <c r="X55" s="54">
        <v>0</v>
      </c>
      <c r="Y55" s="54">
        <f>SUM(W55:X55)</f>
        <v>600000</v>
      </c>
      <c r="Z55" s="54"/>
      <c r="AA55" s="54">
        <f>SUM(Y55:Z55)</f>
        <v>600000</v>
      </c>
      <c r="AB55" s="54"/>
      <c r="AC55" s="54">
        <f>SUM(AA55:AB55)</f>
        <v>600000</v>
      </c>
      <c r="AD55" s="54">
        <f>-200000+200000</f>
        <v>0</v>
      </c>
      <c r="AE55" s="54">
        <f>SUM(AC55:AD55)</f>
        <v>600000</v>
      </c>
      <c r="AF55" s="54"/>
      <c r="AG55" s="54">
        <f>SUM(AE55:AF55)</f>
        <v>600000</v>
      </c>
      <c r="AH55" s="54"/>
      <c r="AI55" s="54">
        <f>SUM(AG55:AH55)</f>
        <v>600000</v>
      </c>
      <c r="AJ55" s="54"/>
      <c r="AK55" s="54">
        <f>SUM(AI55:AJ55)</f>
        <v>600000</v>
      </c>
      <c r="AN55" s="67"/>
      <c r="AO55" s="67"/>
    </row>
    <row r="56" spans="1:37" s="5" customFormat="1" ht="21" customHeight="1">
      <c r="A56" s="27" t="s">
        <v>309</v>
      </c>
      <c r="B56" s="28"/>
      <c r="C56" s="29"/>
      <c r="D56" s="30" t="s">
        <v>76</v>
      </c>
      <c r="E56" s="134">
        <f aca="true" t="shared" si="57" ref="E56:W56">SUM(E57,E60)</f>
        <v>370500</v>
      </c>
      <c r="F56" s="134">
        <f t="shared" si="57"/>
        <v>0</v>
      </c>
      <c r="G56" s="134">
        <f t="shared" si="57"/>
        <v>370500</v>
      </c>
      <c r="H56" s="134">
        <f t="shared" si="57"/>
        <v>0</v>
      </c>
      <c r="I56" s="134">
        <f t="shared" si="57"/>
        <v>370500</v>
      </c>
      <c r="J56" s="134">
        <f t="shared" si="57"/>
        <v>0</v>
      </c>
      <c r="K56" s="134">
        <f t="shared" si="57"/>
        <v>370500</v>
      </c>
      <c r="L56" s="134">
        <f t="shared" si="57"/>
        <v>0</v>
      </c>
      <c r="M56" s="134">
        <f t="shared" si="57"/>
        <v>370500</v>
      </c>
      <c r="N56" s="134">
        <f t="shared" si="57"/>
        <v>0</v>
      </c>
      <c r="O56" s="134">
        <f t="shared" si="57"/>
        <v>370500</v>
      </c>
      <c r="P56" s="134">
        <f t="shared" si="57"/>
        <v>0</v>
      </c>
      <c r="Q56" s="134">
        <f t="shared" si="57"/>
        <v>370500</v>
      </c>
      <c r="R56" s="134">
        <f t="shared" si="57"/>
        <v>0</v>
      </c>
      <c r="S56" s="134">
        <f t="shared" si="57"/>
        <v>370500</v>
      </c>
      <c r="T56" s="134">
        <f t="shared" si="57"/>
        <v>0</v>
      </c>
      <c r="U56" s="134">
        <f t="shared" si="57"/>
        <v>370500</v>
      </c>
      <c r="V56" s="134">
        <f t="shared" si="57"/>
        <v>0</v>
      </c>
      <c r="W56" s="134">
        <f t="shared" si="57"/>
        <v>370500</v>
      </c>
      <c r="X56" s="134">
        <f aca="true" t="shared" si="58" ref="X56:AC56">SUM(X57,X60)</f>
        <v>0</v>
      </c>
      <c r="Y56" s="134">
        <f t="shared" si="58"/>
        <v>370500</v>
      </c>
      <c r="Z56" s="134">
        <f t="shared" si="58"/>
        <v>-167</v>
      </c>
      <c r="AA56" s="134">
        <f t="shared" si="58"/>
        <v>370333</v>
      </c>
      <c r="AB56" s="134">
        <f t="shared" si="58"/>
        <v>0</v>
      </c>
      <c r="AC56" s="134">
        <f t="shared" si="58"/>
        <v>370333</v>
      </c>
      <c r="AD56" s="134">
        <f aca="true" t="shared" si="59" ref="AD56:AI56">SUM(AD57,AD60)</f>
        <v>0</v>
      </c>
      <c r="AE56" s="134">
        <f t="shared" si="59"/>
        <v>370333</v>
      </c>
      <c r="AF56" s="134">
        <f t="shared" si="59"/>
        <v>0</v>
      </c>
      <c r="AG56" s="134">
        <f t="shared" si="59"/>
        <v>370333</v>
      </c>
      <c r="AH56" s="134">
        <f t="shared" si="59"/>
        <v>0</v>
      </c>
      <c r="AI56" s="134">
        <f t="shared" si="59"/>
        <v>370333</v>
      </c>
      <c r="AJ56" s="134">
        <f>SUM(AJ57,AJ60)</f>
        <v>0</v>
      </c>
      <c r="AK56" s="134">
        <f>SUM(AK57,AK60)</f>
        <v>370333</v>
      </c>
    </row>
    <row r="57" spans="1:37" s="20" customFormat="1" ht="21" customHeight="1">
      <c r="A57" s="41"/>
      <c r="B57" s="55" t="s">
        <v>310</v>
      </c>
      <c r="C57" s="58"/>
      <c r="D57" s="31" t="s">
        <v>77</v>
      </c>
      <c r="E57" s="54">
        <f>SUM(E59:E59)</f>
        <v>250000</v>
      </c>
      <c r="F57" s="54">
        <f>SUM(F59:F59)</f>
        <v>0</v>
      </c>
      <c r="G57" s="54">
        <f>SUM(G59:G59)</f>
        <v>250000</v>
      </c>
      <c r="H57" s="54">
        <f>SUM(H59:H59)</f>
        <v>0</v>
      </c>
      <c r="I57" s="54">
        <f aca="true" t="shared" si="60" ref="I57:U57">SUM(I58:I59)</f>
        <v>250000</v>
      </c>
      <c r="J57" s="54">
        <f t="shared" si="60"/>
        <v>0</v>
      </c>
      <c r="K57" s="54">
        <f t="shared" si="60"/>
        <v>250000</v>
      </c>
      <c r="L57" s="54">
        <f t="shared" si="60"/>
        <v>0</v>
      </c>
      <c r="M57" s="54">
        <f t="shared" si="60"/>
        <v>250000</v>
      </c>
      <c r="N57" s="54">
        <f t="shared" si="60"/>
        <v>0</v>
      </c>
      <c r="O57" s="54">
        <f t="shared" si="60"/>
        <v>250000</v>
      </c>
      <c r="P57" s="54">
        <f t="shared" si="60"/>
        <v>0</v>
      </c>
      <c r="Q57" s="54">
        <f t="shared" si="60"/>
        <v>250000</v>
      </c>
      <c r="R57" s="54">
        <f t="shared" si="60"/>
        <v>0</v>
      </c>
      <c r="S57" s="54">
        <f t="shared" si="60"/>
        <v>250000</v>
      </c>
      <c r="T57" s="54">
        <f t="shared" si="60"/>
        <v>0</v>
      </c>
      <c r="U57" s="54">
        <f t="shared" si="60"/>
        <v>250000</v>
      </c>
      <c r="V57" s="54">
        <f aca="true" t="shared" si="61" ref="V57:AA57">SUM(V58:V59)</f>
        <v>0</v>
      </c>
      <c r="W57" s="54">
        <f t="shared" si="61"/>
        <v>250000</v>
      </c>
      <c r="X57" s="54">
        <f t="shared" si="61"/>
        <v>0</v>
      </c>
      <c r="Y57" s="54">
        <f t="shared" si="61"/>
        <v>250000</v>
      </c>
      <c r="Z57" s="54">
        <f t="shared" si="61"/>
        <v>0</v>
      </c>
      <c r="AA57" s="54">
        <f t="shared" si="61"/>
        <v>250000</v>
      </c>
      <c r="AB57" s="54">
        <f aca="true" t="shared" si="62" ref="AB57:AG57">SUM(AB58:AB59)</f>
        <v>0</v>
      </c>
      <c r="AC57" s="54">
        <f t="shared" si="62"/>
        <v>250000</v>
      </c>
      <c r="AD57" s="54">
        <f t="shared" si="62"/>
        <v>0</v>
      </c>
      <c r="AE57" s="54">
        <f t="shared" si="62"/>
        <v>250000</v>
      </c>
      <c r="AF57" s="54">
        <f t="shared" si="62"/>
        <v>0</v>
      </c>
      <c r="AG57" s="54">
        <f t="shared" si="62"/>
        <v>250000</v>
      </c>
      <c r="AH57" s="54">
        <f>SUM(AH58:AH59)</f>
        <v>0</v>
      </c>
      <c r="AI57" s="54">
        <f>SUM(AI58:AI59)</f>
        <v>250000</v>
      </c>
      <c r="AJ57" s="54">
        <f>SUM(AJ58:AJ59)</f>
        <v>0</v>
      </c>
      <c r="AK57" s="54">
        <f>SUM(AK58:AK59)</f>
        <v>250000</v>
      </c>
    </row>
    <row r="58" spans="1:39" s="20" customFormat="1" ht="21" customHeight="1">
      <c r="A58" s="41"/>
      <c r="B58" s="55"/>
      <c r="C58" s="58">
        <v>4170</v>
      </c>
      <c r="D58" s="31" t="s">
        <v>161</v>
      </c>
      <c r="E58" s="54"/>
      <c r="F58" s="54"/>
      <c r="G58" s="54"/>
      <c r="H58" s="54"/>
      <c r="I58" s="54">
        <v>0</v>
      </c>
      <c r="J58" s="54">
        <v>50000</v>
      </c>
      <c r="K58" s="54">
        <f>SUM(I58:J58)</f>
        <v>50000</v>
      </c>
      <c r="L58" s="54"/>
      <c r="M58" s="54">
        <f>SUM(K58:L58)</f>
        <v>50000</v>
      </c>
      <c r="N58" s="54"/>
      <c r="O58" s="54">
        <f>SUM(M58:N58)</f>
        <v>50000</v>
      </c>
      <c r="P58" s="54"/>
      <c r="Q58" s="54">
        <f>SUM(O58:P58)</f>
        <v>50000</v>
      </c>
      <c r="R58" s="54"/>
      <c r="S58" s="54">
        <f>SUM(Q58:R58)</f>
        <v>50000</v>
      </c>
      <c r="T58" s="54"/>
      <c r="U58" s="54">
        <f>SUM(S58:T58)</f>
        <v>50000</v>
      </c>
      <c r="V58" s="54"/>
      <c r="W58" s="54">
        <f>SUM(U58:V58)</f>
        <v>50000</v>
      </c>
      <c r="X58" s="54"/>
      <c r="Y58" s="54">
        <f>SUM(W58:X58)</f>
        <v>50000</v>
      </c>
      <c r="Z58" s="54"/>
      <c r="AA58" s="54">
        <f>SUM(Y58:Z58)</f>
        <v>50000</v>
      </c>
      <c r="AB58" s="54"/>
      <c r="AC58" s="54">
        <f>SUM(AA58:AB58)</f>
        <v>50000</v>
      </c>
      <c r="AD58" s="54"/>
      <c r="AE58" s="54">
        <f>SUM(AC58:AD58)</f>
        <v>50000</v>
      </c>
      <c r="AF58" s="54"/>
      <c r="AG58" s="54">
        <f>SUM(AE58:AF58)</f>
        <v>50000</v>
      </c>
      <c r="AH58" s="54"/>
      <c r="AI58" s="54">
        <f>SUM(AG58:AH58)</f>
        <v>50000</v>
      </c>
      <c r="AJ58" s="54"/>
      <c r="AK58" s="54">
        <f>SUM(AI58:AJ58)</f>
        <v>50000</v>
      </c>
      <c r="AL58" s="67"/>
      <c r="AM58" s="67"/>
    </row>
    <row r="59" spans="1:37" s="20" customFormat="1" ht="21" customHeight="1">
      <c r="A59" s="41"/>
      <c r="B59" s="55"/>
      <c r="C59" s="41">
        <v>4300</v>
      </c>
      <c r="D59" s="31" t="s">
        <v>75</v>
      </c>
      <c r="E59" s="54">
        <v>250000</v>
      </c>
      <c r="F59" s="54"/>
      <c r="G59" s="54">
        <f>SUM(E59:F59)</f>
        <v>250000</v>
      </c>
      <c r="H59" s="54"/>
      <c r="I59" s="54">
        <f>SUM(G59:H59)</f>
        <v>250000</v>
      </c>
      <c r="J59" s="54">
        <v>-50000</v>
      </c>
      <c r="K59" s="54">
        <f>SUM(I59:J59)</f>
        <v>200000</v>
      </c>
      <c r="L59" s="54"/>
      <c r="M59" s="54">
        <f>SUM(K59:L59)</f>
        <v>200000</v>
      </c>
      <c r="N59" s="54"/>
      <c r="O59" s="54">
        <f>SUM(M59:N59)</f>
        <v>200000</v>
      </c>
      <c r="P59" s="54"/>
      <c r="Q59" s="54">
        <f>SUM(O59:P59)</f>
        <v>200000</v>
      </c>
      <c r="R59" s="54"/>
      <c r="S59" s="54">
        <f>SUM(Q59:R59)</f>
        <v>200000</v>
      </c>
      <c r="T59" s="54"/>
      <c r="U59" s="54">
        <f>SUM(S59:T59)</f>
        <v>200000</v>
      </c>
      <c r="V59" s="54"/>
      <c r="W59" s="54">
        <f>SUM(U59:V59)</f>
        <v>200000</v>
      </c>
      <c r="X59" s="54"/>
      <c r="Y59" s="54">
        <f>SUM(W59:X59)</f>
        <v>200000</v>
      </c>
      <c r="Z59" s="54"/>
      <c r="AA59" s="54">
        <f>SUM(Y59:Z59)</f>
        <v>200000</v>
      </c>
      <c r="AB59" s="54"/>
      <c r="AC59" s="54">
        <f>SUM(AA59:AB59)</f>
        <v>200000</v>
      </c>
      <c r="AD59" s="54">
        <f>-150000+150000</f>
        <v>0</v>
      </c>
      <c r="AE59" s="54">
        <f>SUM(AC59:AD59)</f>
        <v>200000</v>
      </c>
      <c r="AF59" s="54">
        <f>-150000+150000</f>
        <v>0</v>
      </c>
      <c r="AG59" s="54">
        <f>SUM(AE59:AF59)</f>
        <v>200000</v>
      </c>
      <c r="AH59" s="54">
        <f>-150000+150000</f>
        <v>0</v>
      </c>
      <c r="AI59" s="54">
        <f>SUM(AG59:AH59)</f>
        <v>200000</v>
      </c>
      <c r="AJ59" s="54">
        <f>-150000+150000</f>
        <v>0</v>
      </c>
      <c r="AK59" s="54">
        <f>SUM(AI59:AJ59)</f>
        <v>200000</v>
      </c>
    </row>
    <row r="60" spans="1:37" s="20" customFormat="1" ht="21" customHeight="1">
      <c r="A60" s="41"/>
      <c r="B60" s="55">
        <v>71035</v>
      </c>
      <c r="C60" s="41"/>
      <c r="D60" s="31" t="s">
        <v>13</v>
      </c>
      <c r="E60" s="54">
        <f aca="true" t="shared" si="63" ref="E60:W60">SUM(E61:E63)</f>
        <v>120500</v>
      </c>
      <c r="F60" s="54">
        <f t="shared" si="63"/>
        <v>0</v>
      </c>
      <c r="G60" s="54">
        <f t="shared" si="63"/>
        <v>120500</v>
      </c>
      <c r="H60" s="54">
        <f t="shared" si="63"/>
        <v>0</v>
      </c>
      <c r="I60" s="54">
        <f t="shared" si="63"/>
        <v>120500</v>
      </c>
      <c r="J60" s="54">
        <f t="shared" si="63"/>
        <v>0</v>
      </c>
      <c r="K60" s="54">
        <f t="shared" si="63"/>
        <v>120500</v>
      </c>
      <c r="L60" s="54">
        <f t="shared" si="63"/>
        <v>0</v>
      </c>
      <c r="M60" s="54">
        <f t="shared" si="63"/>
        <v>120500</v>
      </c>
      <c r="N60" s="54">
        <f t="shared" si="63"/>
        <v>0</v>
      </c>
      <c r="O60" s="54">
        <f t="shared" si="63"/>
        <v>120500</v>
      </c>
      <c r="P60" s="54">
        <f t="shared" si="63"/>
        <v>0</v>
      </c>
      <c r="Q60" s="54">
        <f t="shared" si="63"/>
        <v>120500</v>
      </c>
      <c r="R60" s="54">
        <f t="shared" si="63"/>
        <v>0</v>
      </c>
      <c r="S60" s="54">
        <f t="shared" si="63"/>
        <v>120500</v>
      </c>
      <c r="T60" s="54">
        <f t="shared" si="63"/>
        <v>0</v>
      </c>
      <c r="U60" s="54">
        <f t="shared" si="63"/>
        <v>120500</v>
      </c>
      <c r="V60" s="54">
        <f t="shared" si="63"/>
        <v>0</v>
      </c>
      <c r="W60" s="54">
        <f t="shared" si="63"/>
        <v>120500</v>
      </c>
      <c r="X60" s="54">
        <f aca="true" t="shared" si="64" ref="X60:AC60">SUM(X61:X63)</f>
        <v>0</v>
      </c>
      <c r="Y60" s="54">
        <f t="shared" si="64"/>
        <v>120500</v>
      </c>
      <c r="Z60" s="54">
        <f t="shared" si="64"/>
        <v>-167</v>
      </c>
      <c r="AA60" s="54">
        <f t="shared" si="64"/>
        <v>120333</v>
      </c>
      <c r="AB60" s="54">
        <f t="shared" si="64"/>
        <v>0</v>
      </c>
      <c r="AC60" s="54">
        <f t="shared" si="64"/>
        <v>120333</v>
      </c>
      <c r="AD60" s="54">
        <f aca="true" t="shared" si="65" ref="AD60:AI60">SUM(AD61:AD63)</f>
        <v>0</v>
      </c>
      <c r="AE60" s="54">
        <f t="shared" si="65"/>
        <v>120333</v>
      </c>
      <c r="AF60" s="54">
        <f t="shared" si="65"/>
        <v>0</v>
      </c>
      <c r="AG60" s="54">
        <f t="shared" si="65"/>
        <v>120333</v>
      </c>
      <c r="AH60" s="54">
        <f t="shared" si="65"/>
        <v>0</v>
      </c>
      <c r="AI60" s="54">
        <f t="shared" si="65"/>
        <v>120333</v>
      </c>
      <c r="AJ60" s="54">
        <f>SUM(AJ61:AJ63)</f>
        <v>0</v>
      </c>
      <c r="AK60" s="54">
        <f>SUM(AK61:AK63)</f>
        <v>120333</v>
      </c>
    </row>
    <row r="61" spans="1:37" s="20" customFormat="1" ht="21" customHeight="1">
      <c r="A61" s="41"/>
      <c r="B61" s="55"/>
      <c r="C61" s="41">
        <v>4260</v>
      </c>
      <c r="D61" s="31" t="s">
        <v>88</v>
      </c>
      <c r="E61" s="54">
        <f>500+2000</f>
        <v>2500</v>
      </c>
      <c r="F61" s="54"/>
      <c r="G61" s="54">
        <f>SUM(E61:F61)</f>
        <v>2500</v>
      </c>
      <c r="H61" s="54"/>
      <c r="I61" s="54">
        <f>SUM(G61:H61)</f>
        <v>2500</v>
      </c>
      <c r="J61" s="54"/>
      <c r="K61" s="54">
        <f>SUM(I61:J61)</f>
        <v>2500</v>
      </c>
      <c r="L61" s="54"/>
      <c r="M61" s="54">
        <f>SUM(K61:L61)</f>
        <v>2500</v>
      </c>
      <c r="N61" s="54"/>
      <c r="O61" s="54">
        <f>SUM(M61:N61)</f>
        <v>2500</v>
      </c>
      <c r="P61" s="54"/>
      <c r="Q61" s="54">
        <f>SUM(O61:P61)</f>
        <v>2500</v>
      </c>
      <c r="R61" s="54"/>
      <c r="S61" s="54">
        <f>SUM(Q61:R61)</f>
        <v>2500</v>
      </c>
      <c r="T61" s="54"/>
      <c r="U61" s="54">
        <f>SUM(S61:T61)</f>
        <v>2500</v>
      </c>
      <c r="V61" s="54"/>
      <c r="W61" s="54">
        <f>SUM(U61:V61)</f>
        <v>2500</v>
      </c>
      <c r="X61" s="54"/>
      <c r="Y61" s="54">
        <f>SUM(W61:X61)</f>
        <v>2500</v>
      </c>
      <c r="Z61" s="54">
        <v>-167</v>
      </c>
      <c r="AA61" s="54">
        <f>SUM(Y61:Z61)</f>
        <v>2333</v>
      </c>
      <c r="AB61" s="54"/>
      <c r="AC61" s="54">
        <f>SUM(AA61:AB61)</f>
        <v>2333</v>
      </c>
      <c r="AD61" s="54"/>
      <c r="AE61" s="54">
        <f>SUM(AC61:AD61)</f>
        <v>2333</v>
      </c>
      <c r="AF61" s="54"/>
      <c r="AG61" s="54">
        <f>SUM(AE61:AF61)</f>
        <v>2333</v>
      </c>
      <c r="AH61" s="54"/>
      <c r="AI61" s="54">
        <f>SUM(AG61:AH61)</f>
        <v>2333</v>
      </c>
      <c r="AJ61" s="54"/>
      <c r="AK61" s="54">
        <f>SUM(AI61:AJ61)</f>
        <v>2333</v>
      </c>
    </row>
    <row r="62" spans="1:37" s="20" customFormat="1" ht="21" customHeight="1">
      <c r="A62" s="41"/>
      <c r="B62" s="55"/>
      <c r="C62" s="41">
        <v>4270</v>
      </c>
      <c r="D62" s="31" t="s">
        <v>74</v>
      </c>
      <c r="E62" s="54">
        <v>100000</v>
      </c>
      <c r="F62" s="54"/>
      <c r="G62" s="54">
        <f>SUM(E62:F62)</f>
        <v>100000</v>
      </c>
      <c r="H62" s="54"/>
      <c r="I62" s="54">
        <f>SUM(G62:H62)</f>
        <v>100000</v>
      </c>
      <c r="J62" s="54"/>
      <c r="K62" s="54">
        <f>SUM(I62:J62)</f>
        <v>100000</v>
      </c>
      <c r="L62" s="54"/>
      <c r="M62" s="54">
        <f>SUM(K62:L62)</f>
        <v>100000</v>
      </c>
      <c r="N62" s="54"/>
      <c r="O62" s="54">
        <f>SUM(M62:N62)</f>
        <v>100000</v>
      </c>
      <c r="P62" s="54"/>
      <c r="Q62" s="54">
        <f>SUM(O62:P62)</f>
        <v>100000</v>
      </c>
      <c r="R62" s="54"/>
      <c r="S62" s="54">
        <f>SUM(Q62:R62)</f>
        <v>100000</v>
      </c>
      <c r="T62" s="54"/>
      <c r="U62" s="54">
        <f>SUM(S62:T62)</f>
        <v>100000</v>
      </c>
      <c r="V62" s="54"/>
      <c r="W62" s="54">
        <f>SUM(U62:V62)</f>
        <v>100000</v>
      </c>
      <c r="X62" s="54"/>
      <c r="Y62" s="54">
        <f>SUM(W62:X62)</f>
        <v>100000</v>
      </c>
      <c r="Z62" s="54"/>
      <c r="AA62" s="54">
        <f>SUM(Y62:Z62)</f>
        <v>100000</v>
      </c>
      <c r="AB62" s="54"/>
      <c r="AC62" s="54">
        <f>SUM(AA62:AB62)</f>
        <v>100000</v>
      </c>
      <c r="AD62" s="54">
        <f>-75000+75000</f>
        <v>0</v>
      </c>
      <c r="AE62" s="54">
        <f>SUM(AC62:AD62)</f>
        <v>100000</v>
      </c>
      <c r="AF62" s="54">
        <f>-75000+75000</f>
        <v>0</v>
      </c>
      <c r="AG62" s="54">
        <f>SUM(AE62:AF62)</f>
        <v>100000</v>
      </c>
      <c r="AH62" s="54"/>
      <c r="AI62" s="54">
        <f>SUM(AG62:AH62)</f>
        <v>100000</v>
      </c>
      <c r="AJ62" s="54"/>
      <c r="AK62" s="54">
        <f>SUM(AI62:AJ62)</f>
        <v>100000</v>
      </c>
    </row>
    <row r="63" spans="1:37" s="20" customFormat="1" ht="21" customHeight="1">
      <c r="A63" s="41"/>
      <c r="B63" s="55"/>
      <c r="C63" s="41">
        <v>4300</v>
      </c>
      <c r="D63" s="31" t="s">
        <v>75</v>
      </c>
      <c r="E63" s="54">
        <v>18000</v>
      </c>
      <c r="F63" s="54"/>
      <c r="G63" s="54">
        <f>SUM(E63:F63)</f>
        <v>18000</v>
      </c>
      <c r="H63" s="54"/>
      <c r="I63" s="54">
        <f>SUM(G63:H63)</f>
        <v>18000</v>
      </c>
      <c r="J63" s="54"/>
      <c r="K63" s="54">
        <f>SUM(I63:J63)</f>
        <v>18000</v>
      </c>
      <c r="L63" s="54"/>
      <c r="M63" s="54">
        <f>SUM(K63:L63)</f>
        <v>18000</v>
      </c>
      <c r="N63" s="54"/>
      <c r="O63" s="54">
        <f>SUM(M63:N63)</f>
        <v>18000</v>
      </c>
      <c r="P63" s="54"/>
      <c r="Q63" s="54">
        <f>SUM(O63:P63)</f>
        <v>18000</v>
      </c>
      <c r="R63" s="54"/>
      <c r="S63" s="54">
        <f>SUM(Q63:R63)</f>
        <v>18000</v>
      </c>
      <c r="T63" s="54"/>
      <c r="U63" s="54">
        <f>SUM(S63:T63)</f>
        <v>18000</v>
      </c>
      <c r="V63" s="54"/>
      <c r="W63" s="54">
        <f>SUM(U63:V63)</f>
        <v>18000</v>
      </c>
      <c r="X63" s="54"/>
      <c r="Y63" s="54">
        <f>SUM(W63:X63)</f>
        <v>18000</v>
      </c>
      <c r="Z63" s="54"/>
      <c r="AA63" s="54">
        <f>SUM(Y63:Z63)</f>
        <v>18000</v>
      </c>
      <c r="AB63" s="54"/>
      <c r="AC63" s="54">
        <f>SUM(AA63:AB63)</f>
        <v>18000</v>
      </c>
      <c r="AD63" s="54"/>
      <c r="AE63" s="54">
        <f>SUM(AC63:AD63)</f>
        <v>18000</v>
      </c>
      <c r="AF63" s="54"/>
      <c r="AG63" s="54">
        <f>SUM(AE63:AF63)</f>
        <v>18000</v>
      </c>
      <c r="AH63" s="54"/>
      <c r="AI63" s="54">
        <f>SUM(AG63:AH63)</f>
        <v>18000</v>
      </c>
      <c r="AJ63" s="54"/>
      <c r="AK63" s="54">
        <f>SUM(AI63:AJ63)</f>
        <v>18000</v>
      </c>
    </row>
    <row r="64" spans="1:37" s="5" customFormat="1" ht="21" customHeight="1">
      <c r="A64" s="27" t="s">
        <v>14</v>
      </c>
      <c r="B64" s="28"/>
      <c r="C64" s="29"/>
      <c r="D64" s="30" t="s">
        <v>78</v>
      </c>
      <c r="E64" s="134">
        <f aca="true" t="shared" si="66" ref="E64:W64">SUM(E65,E83,E95,E120,E133,)</f>
        <v>6340577</v>
      </c>
      <c r="F64" s="134">
        <f t="shared" si="66"/>
        <v>-681500</v>
      </c>
      <c r="G64" s="134">
        <f t="shared" si="66"/>
        <v>5659077</v>
      </c>
      <c r="H64" s="134">
        <f t="shared" si="66"/>
        <v>0</v>
      </c>
      <c r="I64" s="134">
        <f t="shared" si="66"/>
        <v>5659077</v>
      </c>
      <c r="J64" s="134">
        <f t="shared" si="66"/>
        <v>0</v>
      </c>
      <c r="K64" s="134">
        <f t="shared" si="66"/>
        <v>5659077</v>
      </c>
      <c r="L64" s="134">
        <f t="shared" si="66"/>
        <v>14000</v>
      </c>
      <c r="M64" s="134">
        <f t="shared" si="66"/>
        <v>5673077</v>
      </c>
      <c r="N64" s="134">
        <f t="shared" si="66"/>
        <v>0</v>
      </c>
      <c r="O64" s="134">
        <f t="shared" si="66"/>
        <v>5673077</v>
      </c>
      <c r="P64" s="134">
        <f t="shared" si="66"/>
        <v>0</v>
      </c>
      <c r="Q64" s="134">
        <f t="shared" si="66"/>
        <v>5673077</v>
      </c>
      <c r="R64" s="134">
        <f t="shared" si="66"/>
        <v>-300</v>
      </c>
      <c r="S64" s="134">
        <f t="shared" si="66"/>
        <v>5672777</v>
      </c>
      <c r="T64" s="134">
        <f t="shared" si="66"/>
        <v>0</v>
      </c>
      <c r="U64" s="134">
        <f t="shared" si="66"/>
        <v>5672777</v>
      </c>
      <c r="V64" s="134">
        <f t="shared" si="66"/>
        <v>0</v>
      </c>
      <c r="W64" s="134">
        <f t="shared" si="66"/>
        <v>5672777</v>
      </c>
      <c r="X64" s="134">
        <f aca="true" t="shared" si="67" ref="X64:AC64">SUM(X65,X83,X95,X120,X133,)</f>
        <v>0</v>
      </c>
      <c r="Y64" s="134">
        <f t="shared" si="67"/>
        <v>5672777</v>
      </c>
      <c r="Z64" s="134">
        <f t="shared" si="67"/>
        <v>-40600</v>
      </c>
      <c r="AA64" s="134">
        <f t="shared" si="67"/>
        <v>5632177</v>
      </c>
      <c r="AB64" s="134">
        <f t="shared" si="67"/>
        <v>0</v>
      </c>
      <c r="AC64" s="134">
        <f t="shared" si="67"/>
        <v>5632177</v>
      </c>
      <c r="AD64" s="134">
        <f aca="true" t="shared" si="68" ref="AD64:AI64">SUM(AD65,AD83,AD95,AD120,AD133,)</f>
        <v>-10142</v>
      </c>
      <c r="AE64" s="134">
        <f t="shared" si="68"/>
        <v>5622035</v>
      </c>
      <c r="AF64" s="134">
        <f t="shared" si="68"/>
        <v>-150</v>
      </c>
      <c r="AG64" s="134">
        <f t="shared" si="68"/>
        <v>5621885</v>
      </c>
      <c r="AH64" s="134">
        <f t="shared" si="68"/>
        <v>-4</v>
      </c>
      <c r="AI64" s="134">
        <f t="shared" si="68"/>
        <v>5621881</v>
      </c>
      <c r="AJ64" s="134">
        <f>SUM(AJ65,AJ83,AJ95,AJ120,AJ133,)</f>
        <v>0</v>
      </c>
      <c r="AK64" s="134">
        <f>SUM(AK65,AK83,AK95,AK120,AK133,)</f>
        <v>5621881</v>
      </c>
    </row>
    <row r="65" spans="1:37" s="20" customFormat="1" ht="21" customHeight="1">
      <c r="A65" s="41"/>
      <c r="B65" s="55">
        <v>75011</v>
      </c>
      <c r="C65" s="58"/>
      <c r="D65" s="31" t="s">
        <v>16</v>
      </c>
      <c r="E65" s="54">
        <f aca="true" t="shared" si="69" ref="E65:W65">SUM(E66:E82)</f>
        <v>382320</v>
      </c>
      <c r="F65" s="54">
        <f t="shared" si="69"/>
        <v>0</v>
      </c>
      <c r="G65" s="54">
        <f t="shared" si="69"/>
        <v>382320</v>
      </c>
      <c r="H65" s="54">
        <f t="shared" si="69"/>
        <v>0</v>
      </c>
      <c r="I65" s="54">
        <f t="shared" si="69"/>
        <v>382320</v>
      </c>
      <c r="J65" s="54">
        <f t="shared" si="69"/>
        <v>0</v>
      </c>
      <c r="K65" s="54">
        <f t="shared" si="69"/>
        <v>382320</v>
      </c>
      <c r="L65" s="54">
        <f t="shared" si="69"/>
        <v>0</v>
      </c>
      <c r="M65" s="54">
        <f t="shared" si="69"/>
        <v>382320</v>
      </c>
      <c r="N65" s="54">
        <f t="shared" si="69"/>
        <v>0</v>
      </c>
      <c r="O65" s="54">
        <f t="shared" si="69"/>
        <v>382320</v>
      </c>
      <c r="P65" s="54">
        <f t="shared" si="69"/>
        <v>0</v>
      </c>
      <c r="Q65" s="54">
        <f t="shared" si="69"/>
        <v>382320</v>
      </c>
      <c r="R65" s="54">
        <f t="shared" si="69"/>
        <v>-1500</v>
      </c>
      <c r="S65" s="54">
        <f t="shared" si="69"/>
        <v>380820</v>
      </c>
      <c r="T65" s="54">
        <f t="shared" si="69"/>
        <v>1500</v>
      </c>
      <c r="U65" s="54">
        <f t="shared" si="69"/>
        <v>382320</v>
      </c>
      <c r="V65" s="54">
        <f t="shared" si="69"/>
        <v>0</v>
      </c>
      <c r="W65" s="54">
        <f t="shared" si="69"/>
        <v>382320</v>
      </c>
      <c r="X65" s="54">
        <f aca="true" t="shared" si="70" ref="X65:AC65">SUM(X66:X82)</f>
        <v>0</v>
      </c>
      <c r="Y65" s="54">
        <f t="shared" si="70"/>
        <v>382320</v>
      </c>
      <c r="Z65" s="54">
        <f t="shared" si="70"/>
        <v>0</v>
      </c>
      <c r="AA65" s="54">
        <f t="shared" si="70"/>
        <v>382320</v>
      </c>
      <c r="AB65" s="54">
        <f t="shared" si="70"/>
        <v>0</v>
      </c>
      <c r="AC65" s="54">
        <f t="shared" si="70"/>
        <v>382320</v>
      </c>
      <c r="AD65" s="54">
        <f aca="true" t="shared" si="71" ref="AD65:AI65">SUM(AD66:AD82)</f>
        <v>0</v>
      </c>
      <c r="AE65" s="54">
        <f t="shared" si="71"/>
        <v>382320</v>
      </c>
      <c r="AF65" s="54">
        <f t="shared" si="71"/>
        <v>0</v>
      </c>
      <c r="AG65" s="54">
        <f t="shared" si="71"/>
        <v>382320</v>
      </c>
      <c r="AH65" s="54">
        <f t="shared" si="71"/>
        <v>0</v>
      </c>
      <c r="AI65" s="54">
        <f t="shared" si="71"/>
        <v>382320</v>
      </c>
      <c r="AJ65" s="54">
        <f>SUM(AJ66:AJ82)</f>
        <v>0</v>
      </c>
      <c r="AK65" s="54">
        <f>SUM(AK66:AK82)</f>
        <v>382320</v>
      </c>
    </row>
    <row r="66" spans="1:37" s="20" customFormat="1" ht="21" customHeight="1">
      <c r="A66" s="41"/>
      <c r="B66" s="55"/>
      <c r="C66" s="58">
        <v>3020</v>
      </c>
      <c r="D66" s="31" t="s">
        <v>159</v>
      </c>
      <c r="E66" s="54">
        <v>1760</v>
      </c>
      <c r="F66" s="54"/>
      <c r="G66" s="54">
        <f>SUM(E66:F66)</f>
        <v>1760</v>
      </c>
      <c r="H66" s="54"/>
      <c r="I66" s="54">
        <f>SUM(G66:H66)</f>
        <v>1760</v>
      </c>
      <c r="J66" s="54"/>
      <c r="K66" s="54">
        <f>SUM(I66:J66)</f>
        <v>1760</v>
      </c>
      <c r="L66" s="54"/>
      <c r="M66" s="54">
        <f>SUM(K66:L66)</f>
        <v>1760</v>
      </c>
      <c r="N66" s="54"/>
      <c r="O66" s="54">
        <f>SUM(M66:N66)</f>
        <v>1760</v>
      </c>
      <c r="P66" s="54"/>
      <c r="Q66" s="54">
        <f>SUM(O66:P66)</f>
        <v>1760</v>
      </c>
      <c r="R66" s="54"/>
      <c r="S66" s="54">
        <f>SUM(Q66:R66)</f>
        <v>1760</v>
      </c>
      <c r="T66" s="54"/>
      <c r="U66" s="54">
        <f>SUM(S66:T66)</f>
        <v>1760</v>
      </c>
      <c r="V66" s="54"/>
      <c r="W66" s="54">
        <f>SUM(U66:V66)</f>
        <v>1760</v>
      </c>
      <c r="X66" s="54"/>
      <c r="Y66" s="54">
        <f>SUM(W66:X66)</f>
        <v>1760</v>
      </c>
      <c r="Z66" s="54"/>
      <c r="AA66" s="54">
        <f>SUM(Y66:Z66)</f>
        <v>1760</v>
      </c>
      <c r="AB66" s="54"/>
      <c r="AC66" s="54">
        <f>SUM(AA66:AB66)</f>
        <v>1760</v>
      </c>
      <c r="AD66" s="54"/>
      <c r="AE66" s="54">
        <f>SUM(AC66:AD66)</f>
        <v>1760</v>
      </c>
      <c r="AF66" s="54"/>
      <c r="AG66" s="54">
        <f>SUM(AE66:AF66)</f>
        <v>1760</v>
      </c>
      <c r="AH66" s="54"/>
      <c r="AI66" s="54">
        <f>SUM(AG66:AH66)</f>
        <v>1760</v>
      </c>
      <c r="AJ66" s="54"/>
      <c r="AK66" s="54">
        <f>SUM(AI66:AJ66)</f>
        <v>1760</v>
      </c>
    </row>
    <row r="67" spans="1:39" s="20" customFormat="1" ht="21" customHeight="1">
      <c r="A67" s="41"/>
      <c r="B67" s="140"/>
      <c r="C67" s="41">
        <v>4010</v>
      </c>
      <c r="D67" s="31" t="s">
        <v>79</v>
      </c>
      <c r="E67" s="54">
        <f>112525+155895</f>
        <v>268420</v>
      </c>
      <c r="F67" s="54"/>
      <c r="G67" s="54">
        <f aca="true" t="shared" si="72" ref="G67:G82">SUM(E67:F67)</f>
        <v>268420</v>
      </c>
      <c r="H67" s="54"/>
      <c r="I67" s="54">
        <f aca="true" t="shared" si="73" ref="I67:I82">SUM(G67:H67)</f>
        <v>268420</v>
      </c>
      <c r="J67" s="54"/>
      <c r="K67" s="54">
        <f aca="true" t="shared" si="74" ref="K67:K82">SUM(I67:J67)</f>
        <v>268420</v>
      </c>
      <c r="L67" s="54"/>
      <c r="M67" s="54">
        <f aca="true" t="shared" si="75" ref="M67:M78">SUM(K67:L67)</f>
        <v>268420</v>
      </c>
      <c r="N67" s="54"/>
      <c r="O67" s="54">
        <f aca="true" t="shared" si="76" ref="O67:O78">SUM(M67:N67)</f>
        <v>268420</v>
      </c>
      <c r="P67" s="54"/>
      <c r="Q67" s="54">
        <f aca="true" t="shared" si="77" ref="Q67:Q78">SUM(O67:P67)</f>
        <v>268420</v>
      </c>
      <c r="R67" s="54"/>
      <c r="S67" s="54">
        <f aca="true" t="shared" si="78" ref="S67:S78">SUM(Q67:R67)</f>
        <v>268420</v>
      </c>
      <c r="T67" s="54"/>
      <c r="U67" s="54">
        <f aca="true" t="shared" si="79" ref="U67:U78">SUM(S67:T67)</f>
        <v>268420</v>
      </c>
      <c r="V67" s="54"/>
      <c r="W67" s="54">
        <f aca="true" t="shared" si="80" ref="W67:W78">SUM(U67:V67)</f>
        <v>268420</v>
      </c>
      <c r="X67" s="54"/>
      <c r="Y67" s="54">
        <f aca="true" t="shared" si="81" ref="Y67:Y78">SUM(W67:X67)</f>
        <v>268420</v>
      </c>
      <c r="Z67" s="54"/>
      <c r="AA67" s="54">
        <f aca="true" t="shared" si="82" ref="AA67:AA78">SUM(Y67:Z67)</f>
        <v>268420</v>
      </c>
      <c r="AB67" s="54"/>
      <c r="AC67" s="54">
        <f aca="true" t="shared" si="83" ref="AC67:AC78">SUM(AA67:AB67)</f>
        <v>268420</v>
      </c>
      <c r="AD67" s="54"/>
      <c r="AE67" s="54">
        <f aca="true" t="shared" si="84" ref="AE67:AE78">SUM(AC67:AD67)</f>
        <v>268420</v>
      </c>
      <c r="AF67" s="54"/>
      <c r="AG67" s="54">
        <f aca="true" t="shared" si="85" ref="AG67:AG78">SUM(AE67:AF67)</f>
        <v>268420</v>
      </c>
      <c r="AH67" s="54">
        <v>1462</v>
      </c>
      <c r="AI67" s="54">
        <f aca="true" t="shared" si="86" ref="AI67:AI78">SUM(AG67:AH67)</f>
        <v>269882</v>
      </c>
      <c r="AJ67" s="54"/>
      <c r="AK67" s="54">
        <f aca="true" t="shared" si="87" ref="AK67:AK78">SUM(AI67:AJ67)</f>
        <v>269882</v>
      </c>
      <c r="AL67" s="67"/>
      <c r="AM67" s="67"/>
    </row>
    <row r="68" spans="1:39" s="20" customFormat="1" ht="21" customHeight="1">
      <c r="A68" s="41"/>
      <c r="B68" s="140"/>
      <c r="C68" s="41">
        <v>4040</v>
      </c>
      <c r="D68" s="31" t="s">
        <v>80</v>
      </c>
      <c r="E68" s="54">
        <v>19000</v>
      </c>
      <c r="F68" s="54"/>
      <c r="G68" s="54">
        <f t="shared" si="72"/>
        <v>19000</v>
      </c>
      <c r="H68" s="54"/>
      <c r="I68" s="54">
        <f t="shared" si="73"/>
        <v>19000</v>
      </c>
      <c r="J68" s="54"/>
      <c r="K68" s="54">
        <f t="shared" si="74"/>
        <v>19000</v>
      </c>
      <c r="L68" s="54"/>
      <c r="M68" s="54">
        <f t="shared" si="75"/>
        <v>19000</v>
      </c>
      <c r="N68" s="54"/>
      <c r="O68" s="54">
        <f t="shared" si="76"/>
        <v>19000</v>
      </c>
      <c r="P68" s="54"/>
      <c r="Q68" s="54">
        <f t="shared" si="77"/>
        <v>19000</v>
      </c>
      <c r="R68" s="54"/>
      <c r="S68" s="54">
        <f t="shared" si="78"/>
        <v>19000</v>
      </c>
      <c r="T68" s="54"/>
      <c r="U68" s="54">
        <f t="shared" si="79"/>
        <v>19000</v>
      </c>
      <c r="V68" s="54"/>
      <c r="W68" s="54">
        <f t="shared" si="80"/>
        <v>19000</v>
      </c>
      <c r="X68" s="54"/>
      <c r="Y68" s="54">
        <f t="shared" si="81"/>
        <v>19000</v>
      </c>
      <c r="Z68" s="54"/>
      <c r="AA68" s="54">
        <f t="shared" si="82"/>
        <v>19000</v>
      </c>
      <c r="AB68" s="54"/>
      <c r="AC68" s="54">
        <f t="shared" si="83"/>
        <v>19000</v>
      </c>
      <c r="AD68" s="54"/>
      <c r="AE68" s="54">
        <f t="shared" si="84"/>
        <v>19000</v>
      </c>
      <c r="AF68" s="54"/>
      <c r="AG68" s="54">
        <f t="shared" si="85"/>
        <v>19000</v>
      </c>
      <c r="AH68" s="54">
        <v>-1700</v>
      </c>
      <c r="AI68" s="54">
        <f t="shared" si="86"/>
        <v>17300</v>
      </c>
      <c r="AJ68" s="54"/>
      <c r="AK68" s="54">
        <f t="shared" si="87"/>
        <v>17300</v>
      </c>
      <c r="AL68" s="67"/>
      <c r="AM68" s="67"/>
    </row>
    <row r="69" spans="1:39" s="20" customFormat="1" ht="21" customHeight="1">
      <c r="A69" s="41"/>
      <c r="B69" s="140"/>
      <c r="C69" s="41">
        <v>4110</v>
      </c>
      <c r="D69" s="31" t="s">
        <v>81</v>
      </c>
      <c r="E69" s="54">
        <f>13626+29582</f>
        <v>43208</v>
      </c>
      <c r="F69" s="54"/>
      <c r="G69" s="54">
        <f t="shared" si="72"/>
        <v>43208</v>
      </c>
      <c r="H69" s="54"/>
      <c r="I69" s="54">
        <f t="shared" si="73"/>
        <v>43208</v>
      </c>
      <c r="J69" s="54"/>
      <c r="K69" s="54">
        <f t="shared" si="74"/>
        <v>43208</v>
      </c>
      <c r="L69" s="54"/>
      <c r="M69" s="54">
        <f t="shared" si="75"/>
        <v>43208</v>
      </c>
      <c r="N69" s="54"/>
      <c r="O69" s="54">
        <f t="shared" si="76"/>
        <v>43208</v>
      </c>
      <c r="P69" s="54"/>
      <c r="Q69" s="54">
        <f t="shared" si="77"/>
        <v>43208</v>
      </c>
      <c r="R69" s="54"/>
      <c r="S69" s="54">
        <f t="shared" si="78"/>
        <v>43208</v>
      </c>
      <c r="T69" s="54"/>
      <c r="U69" s="54">
        <f t="shared" si="79"/>
        <v>43208</v>
      </c>
      <c r="V69" s="54"/>
      <c r="W69" s="54">
        <f t="shared" si="80"/>
        <v>43208</v>
      </c>
      <c r="X69" s="54"/>
      <c r="Y69" s="54">
        <f t="shared" si="81"/>
        <v>43208</v>
      </c>
      <c r="Z69" s="54"/>
      <c r="AA69" s="54">
        <f t="shared" si="82"/>
        <v>43208</v>
      </c>
      <c r="AB69" s="54"/>
      <c r="AC69" s="54">
        <f t="shared" si="83"/>
        <v>43208</v>
      </c>
      <c r="AD69" s="54"/>
      <c r="AE69" s="54">
        <f t="shared" si="84"/>
        <v>43208</v>
      </c>
      <c r="AF69" s="54"/>
      <c r="AG69" s="54">
        <f t="shared" si="85"/>
        <v>43208</v>
      </c>
      <c r="AH69" s="54"/>
      <c r="AI69" s="54">
        <f t="shared" si="86"/>
        <v>43208</v>
      </c>
      <c r="AJ69" s="54"/>
      <c r="AK69" s="54">
        <f t="shared" si="87"/>
        <v>43208</v>
      </c>
      <c r="AL69" s="67"/>
      <c r="AM69" s="67"/>
    </row>
    <row r="70" spans="1:39" s="20" customFormat="1" ht="21" customHeight="1">
      <c r="A70" s="41"/>
      <c r="B70" s="140"/>
      <c r="C70" s="41">
        <v>4120</v>
      </c>
      <c r="D70" s="31" t="s">
        <v>82</v>
      </c>
      <c r="E70" s="54">
        <f>2186+4743</f>
        <v>6929</v>
      </c>
      <c r="F70" s="54"/>
      <c r="G70" s="54">
        <f t="shared" si="72"/>
        <v>6929</v>
      </c>
      <c r="H70" s="54"/>
      <c r="I70" s="54">
        <f t="shared" si="73"/>
        <v>6929</v>
      </c>
      <c r="J70" s="54"/>
      <c r="K70" s="54">
        <f t="shared" si="74"/>
        <v>6929</v>
      </c>
      <c r="L70" s="54"/>
      <c r="M70" s="54">
        <f t="shared" si="75"/>
        <v>6929</v>
      </c>
      <c r="N70" s="54"/>
      <c r="O70" s="54">
        <f t="shared" si="76"/>
        <v>6929</v>
      </c>
      <c r="P70" s="54"/>
      <c r="Q70" s="54">
        <f t="shared" si="77"/>
        <v>6929</v>
      </c>
      <c r="R70" s="54"/>
      <c r="S70" s="54">
        <f t="shared" si="78"/>
        <v>6929</v>
      </c>
      <c r="T70" s="54"/>
      <c r="U70" s="54">
        <f t="shared" si="79"/>
        <v>6929</v>
      </c>
      <c r="V70" s="54"/>
      <c r="W70" s="54">
        <f t="shared" si="80"/>
        <v>6929</v>
      </c>
      <c r="X70" s="54"/>
      <c r="Y70" s="54">
        <f t="shared" si="81"/>
        <v>6929</v>
      </c>
      <c r="Z70" s="54"/>
      <c r="AA70" s="54">
        <f t="shared" si="82"/>
        <v>6929</v>
      </c>
      <c r="AB70" s="54"/>
      <c r="AC70" s="54">
        <f t="shared" si="83"/>
        <v>6929</v>
      </c>
      <c r="AD70" s="54"/>
      <c r="AE70" s="54">
        <f t="shared" si="84"/>
        <v>6929</v>
      </c>
      <c r="AF70" s="54"/>
      <c r="AG70" s="54">
        <f t="shared" si="85"/>
        <v>6929</v>
      </c>
      <c r="AH70" s="54"/>
      <c r="AI70" s="54">
        <f t="shared" si="86"/>
        <v>6929</v>
      </c>
      <c r="AJ70" s="54"/>
      <c r="AK70" s="54">
        <f t="shared" si="87"/>
        <v>6929</v>
      </c>
      <c r="AL70" s="67"/>
      <c r="AM70" s="67"/>
    </row>
    <row r="71" spans="1:37" s="20" customFormat="1" ht="21" customHeight="1">
      <c r="A71" s="41"/>
      <c r="B71" s="140"/>
      <c r="C71" s="41">
        <v>4210</v>
      </c>
      <c r="D71" s="31" t="s">
        <v>86</v>
      </c>
      <c r="E71" s="54">
        <v>13980</v>
      </c>
      <c r="F71" s="54"/>
      <c r="G71" s="54">
        <f t="shared" si="72"/>
        <v>13980</v>
      </c>
      <c r="H71" s="54"/>
      <c r="I71" s="54">
        <f t="shared" si="73"/>
        <v>13980</v>
      </c>
      <c r="J71" s="54">
        <v>-500</v>
      </c>
      <c r="K71" s="54">
        <f t="shared" si="74"/>
        <v>13480</v>
      </c>
      <c r="L71" s="54"/>
      <c r="M71" s="54">
        <f t="shared" si="75"/>
        <v>13480</v>
      </c>
      <c r="N71" s="54"/>
      <c r="O71" s="54">
        <f t="shared" si="76"/>
        <v>13480</v>
      </c>
      <c r="P71" s="54"/>
      <c r="Q71" s="54">
        <f t="shared" si="77"/>
        <v>13480</v>
      </c>
      <c r="R71" s="54"/>
      <c r="S71" s="54">
        <f t="shared" si="78"/>
        <v>13480</v>
      </c>
      <c r="T71" s="54"/>
      <c r="U71" s="54">
        <f t="shared" si="79"/>
        <v>13480</v>
      </c>
      <c r="V71" s="54"/>
      <c r="W71" s="54">
        <f t="shared" si="80"/>
        <v>13480</v>
      </c>
      <c r="X71" s="54"/>
      <c r="Y71" s="54">
        <f t="shared" si="81"/>
        <v>13480</v>
      </c>
      <c r="Z71" s="54"/>
      <c r="AA71" s="54">
        <f t="shared" si="82"/>
        <v>13480</v>
      </c>
      <c r="AB71" s="54"/>
      <c r="AC71" s="54">
        <f t="shared" si="83"/>
        <v>13480</v>
      </c>
      <c r="AD71" s="54"/>
      <c r="AE71" s="54">
        <f t="shared" si="84"/>
        <v>13480</v>
      </c>
      <c r="AF71" s="54"/>
      <c r="AG71" s="54">
        <f t="shared" si="85"/>
        <v>13480</v>
      </c>
      <c r="AH71" s="54"/>
      <c r="AI71" s="54">
        <f t="shared" si="86"/>
        <v>13480</v>
      </c>
      <c r="AJ71" s="54"/>
      <c r="AK71" s="54">
        <f t="shared" si="87"/>
        <v>13480</v>
      </c>
    </row>
    <row r="72" spans="1:37" s="20" customFormat="1" ht="21" customHeight="1">
      <c r="A72" s="41"/>
      <c r="B72" s="140"/>
      <c r="C72" s="41">
        <v>4270</v>
      </c>
      <c r="D72" s="31" t="s">
        <v>74</v>
      </c>
      <c r="E72" s="54">
        <v>2000</v>
      </c>
      <c r="F72" s="54"/>
      <c r="G72" s="54">
        <f t="shared" si="72"/>
        <v>2000</v>
      </c>
      <c r="H72" s="54"/>
      <c r="I72" s="54">
        <f t="shared" si="73"/>
        <v>2000</v>
      </c>
      <c r="J72" s="54"/>
      <c r="K72" s="54">
        <f t="shared" si="74"/>
        <v>2000</v>
      </c>
      <c r="L72" s="54"/>
      <c r="M72" s="54">
        <f t="shared" si="75"/>
        <v>2000</v>
      </c>
      <c r="N72" s="54"/>
      <c r="O72" s="54">
        <f t="shared" si="76"/>
        <v>2000</v>
      </c>
      <c r="P72" s="54"/>
      <c r="Q72" s="54">
        <f t="shared" si="77"/>
        <v>2000</v>
      </c>
      <c r="R72" s="54"/>
      <c r="S72" s="54">
        <f t="shared" si="78"/>
        <v>2000</v>
      </c>
      <c r="T72" s="54"/>
      <c r="U72" s="54">
        <f t="shared" si="79"/>
        <v>2000</v>
      </c>
      <c r="V72" s="54"/>
      <c r="W72" s="54">
        <f t="shared" si="80"/>
        <v>2000</v>
      </c>
      <c r="X72" s="54"/>
      <c r="Y72" s="54">
        <f t="shared" si="81"/>
        <v>2000</v>
      </c>
      <c r="Z72" s="54"/>
      <c r="AA72" s="54">
        <f t="shared" si="82"/>
        <v>2000</v>
      </c>
      <c r="AB72" s="54"/>
      <c r="AC72" s="54">
        <f t="shared" si="83"/>
        <v>2000</v>
      </c>
      <c r="AD72" s="54"/>
      <c r="AE72" s="54">
        <f t="shared" si="84"/>
        <v>2000</v>
      </c>
      <c r="AF72" s="54"/>
      <c r="AG72" s="54">
        <f t="shared" si="85"/>
        <v>2000</v>
      </c>
      <c r="AH72" s="54"/>
      <c r="AI72" s="54">
        <f t="shared" si="86"/>
        <v>2000</v>
      </c>
      <c r="AJ72" s="54"/>
      <c r="AK72" s="54">
        <f t="shared" si="87"/>
        <v>2000</v>
      </c>
    </row>
    <row r="73" spans="1:37" s="20" customFormat="1" ht="21" customHeight="1">
      <c r="A73" s="41"/>
      <c r="B73" s="140"/>
      <c r="C73" s="41">
        <v>4280</v>
      </c>
      <c r="D73" s="31" t="s">
        <v>311</v>
      </c>
      <c r="E73" s="54">
        <v>960</v>
      </c>
      <c r="F73" s="54"/>
      <c r="G73" s="54">
        <f t="shared" si="72"/>
        <v>960</v>
      </c>
      <c r="H73" s="54"/>
      <c r="I73" s="54">
        <f t="shared" si="73"/>
        <v>960</v>
      </c>
      <c r="J73" s="54"/>
      <c r="K73" s="54">
        <f t="shared" si="74"/>
        <v>960</v>
      </c>
      <c r="L73" s="54"/>
      <c r="M73" s="54">
        <f t="shared" si="75"/>
        <v>960</v>
      </c>
      <c r="N73" s="54"/>
      <c r="O73" s="54">
        <f t="shared" si="76"/>
        <v>960</v>
      </c>
      <c r="P73" s="54"/>
      <c r="Q73" s="54">
        <f t="shared" si="77"/>
        <v>960</v>
      </c>
      <c r="R73" s="54"/>
      <c r="S73" s="54">
        <f t="shared" si="78"/>
        <v>960</v>
      </c>
      <c r="T73" s="54"/>
      <c r="U73" s="54">
        <f t="shared" si="79"/>
        <v>960</v>
      </c>
      <c r="V73" s="54"/>
      <c r="W73" s="54">
        <f t="shared" si="80"/>
        <v>960</v>
      </c>
      <c r="X73" s="54"/>
      <c r="Y73" s="54">
        <f t="shared" si="81"/>
        <v>960</v>
      </c>
      <c r="Z73" s="54"/>
      <c r="AA73" s="54">
        <f t="shared" si="82"/>
        <v>960</v>
      </c>
      <c r="AB73" s="54"/>
      <c r="AC73" s="54">
        <f t="shared" si="83"/>
        <v>960</v>
      </c>
      <c r="AD73" s="54"/>
      <c r="AE73" s="54">
        <f t="shared" si="84"/>
        <v>960</v>
      </c>
      <c r="AF73" s="54"/>
      <c r="AG73" s="54">
        <f t="shared" si="85"/>
        <v>960</v>
      </c>
      <c r="AH73" s="54"/>
      <c r="AI73" s="54">
        <f t="shared" si="86"/>
        <v>960</v>
      </c>
      <c r="AJ73" s="54"/>
      <c r="AK73" s="54">
        <f t="shared" si="87"/>
        <v>960</v>
      </c>
    </row>
    <row r="74" spans="1:37" s="20" customFormat="1" ht="21" customHeight="1">
      <c r="A74" s="41"/>
      <c r="B74" s="140"/>
      <c r="C74" s="41">
        <v>4300</v>
      </c>
      <c r="D74" s="31" t="s">
        <v>75</v>
      </c>
      <c r="E74" s="54">
        <v>5000</v>
      </c>
      <c r="F74" s="54"/>
      <c r="G74" s="54">
        <f t="shared" si="72"/>
        <v>5000</v>
      </c>
      <c r="H74" s="54"/>
      <c r="I74" s="54">
        <f t="shared" si="73"/>
        <v>5000</v>
      </c>
      <c r="J74" s="54"/>
      <c r="K74" s="54">
        <f t="shared" si="74"/>
        <v>5000</v>
      </c>
      <c r="L74" s="54"/>
      <c r="M74" s="54">
        <f t="shared" si="75"/>
        <v>5000</v>
      </c>
      <c r="N74" s="54"/>
      <c r="O74" s="54">
        <f t="shared" si="76"/>
        <v>5000</v>
      </c>
      <c r="P74" s="54"/>
      <c r="Q74" s="54">
        <f t="shared" si="77"/>
        <v>5000</v>
      </c>
      <c r="R74" s="54">
        <v>-1500</v>
      </c>
      <c r="S74" s="54">
        <f t="shared" si="78"/>
        <v>3500</v>
      </c>
      <c r="T74" s="54">
        <v>1500</v>
      </c>
      <c r="U74" s="54">
        <f t="shared" si="79"/>
        <v>5000</v>
      </c>
      <c r="V74" s="54"/>
      <c r="W74" s="54">
        <f t="shared" si="80"/>
        <v>5000</v>
      </c>
      <c r="X74" s="54"/>
      <c r="Y74" s="54">
        <f t="shared" si="81"/>
        <v>5000</v>
      </c>
      <c r="Z74" s="54"/>
      <c r="AA74" s="54">
        <f t="shared" si="82"/>
        <v>5000</v>
      </c>
      <c r="AB74" s="54"/>
      <c r="AC74" s="54">
        <f t="shared" si="83"/>
        <v>5000</v>
      </c>
      <c r="AD74" s="54"/>
      <c r="AE74" s="54">
        <f t="shared" si="84"/>
        <v>5000</v>
      </c>
      <c r="AF74" s="54"/>
      <c r="AG74" s="54">
        <f t="shared" si="85"/>
        <v>5000</v>
      </c>
      <c r="AH74" s="54"/>
      <c r="AI74" s="54">
        <f t="shared" si="86"/>
        <v>5000</v>
      </c>
      <c r="AJ74" s="54"/>
      <c r="AK74" s="54">
        <f t="shared" si="87"/>
        <v>5000</v>
      </c>
    </row>
    <row r="75" spans="1:37" s="20" customFormat="1" ht="24">
      <c r="A75" s="41"/>
      <c r="B75" s="140"/>
      <c r="C75" s="41">
        <v>4370</v>
      </c>
      <c r="D75" s="31" t="s">
        <v>182</v>
      </c>
      <c r="E75" s="54">
        <v>2000</v>
      </c>
      <c r="F75" s="54"/>
      <c r="G75" s="54">
        <f t="shared" si="72"/>
        <v>2000</v>
      </c>
      <c r="H75" s="54"/>
      <c r="I75" s="54">
        <f t="shared" si="73"/>
        <v>2000</v>
      </c>
      <c r="J75" s="54"/>
      <c r="K75" s="54">
        <f t="shared" si="74"/>
        <v>2000</v>
      </c>
      <c r="L75" s="54"/>
      <c r="M75" s="54">
        <f t="shared" si="75"/>
        <v>2000</v>
      </c>
      <c r="N75" s="54"/>
      <c r="O75" s="54">
        <f t="shared" si="76"/>
        <v>2000</v>
      </c>
      <c r="P75" s="54"/>
      <c r="Q75" s="54">
        <f t="shared" si="77"/>
        <v>2000</v>
      </c>
      <c r="R75" s="54"/>
      <c r="S75" s="54">
        <f t="shared" si="78"/>
        <v>2000</v>
      </c>
      <c r="T75" s="54"/>
      <c r="U75" s="54">
        <f t="shared" si="79"/>
        <v>2000</v>
      </c>
      <c r="V75" s="54"/>
      <c r="W75" s="54">
        <f t="shared" si="80"/>
        <v>2000</v>
      </c>
      <c r="X75" s="54"/>
      <c r="Y75" s="54">
        <f t="shared" si="81"/>
        <v>2000</v>
      </c>
      <c r="Z75" s="54"/>
      <c r="AA75" s="54">
        <f t="shared" si="82"/>
        <v>2000</v>
      </c>
      <c r="AB75" s="54"/>
      <c r="AC75" s="54">
        <f t="shared" si="83"/>
        <v>2000</v>
      </c>
      <c r="AD75" s="54"/>
      <c r="AE75" s="54">
        <f t="shared" si="84"/>
        <v>2000</v>
      </c>
      <c r="AF75" s="54"/>
      <c r="AG75" s="54">
        <f t="shared" si="85"/>
        <v>2000</v>
      </c>
      <c r="AH75" s="54"/>
      <c r="AI75" s="54">
        <f t="shared" si="86"/>
        <v>2000</v>
      </c>
      <c r="AJ75" s="54"/>
      <c r="AK75" s="54">
        <f t="shared" si="87"/>
        <v>2000</v>
      </c>
    </row>
    <row r="76" spans="1:37" s="20" customFormat="1" ht="21" customHeight="1">
      <c r="A76" s="41"/>
      <c r="B76" s="140"/>
      <c r="C76" s="41">
        <v>4410</v>
      </c>
      <c r="D76" s="31" t="s">
        <v>85</v>
      </c>
      <c r="E76" s="54">
        <v>1000</v>
      </c>
      <c r="F76" s="54"/>
      <c r="G76" s="54">
        <f t="shared" si="72"/>
        <v>1000</v>
      </c>
      <c r="H76" s="54"/>
      <c r="I76" s="54">
        <f t="shared" si="73"/>
        <v>1000</v>
      </c>
      <c r="J76" s="54"/>
      <c r="K76" s="54">
        <f t="shared" si="74"/>
        <v>1000</v>
      </c>
      <c r="L76" s="54"/>
      <c r="M76" s="54">
        <f t="shared" si="75"/>
        <v>1000</v>
      </c>
      <c r="N76" s="54"/>
      <c r="O76" s="54">
        <f t="shared" si="76"/>
        <v>1000</v>
      </c>
      <c r="P76" s="54"/>
      <c r="Q76" s="54">
        <f t="shared" si="77"/>
        <v>1000</v>
      </c>
      <c r="R76" s="54"/>
      <c r="S76" s="54">
        <f t="shared" si="78"/>
        <v>1000</v>
      </c>
      <c r="T76" s="54"/>
      <c r="U76" s="54">
        <f t="shared" si="79"/>
        <v>1000</v>
      </c>
      <c r="V76" s="54"/>
      <c r="W76" s="54">
        <f t="shared" si="80"/>
        <v>1000</v>
      </c>
      <c r="X76" s="54"/>
      <c r="Y76" s="54">
        <f t="shared" si="81"/>
        <v>1000</v>
      </c>
      <c r="Z76" s="54"/>
      <c r="AA76" s="54">
        <f t="shared" si="82"/>
        <v>1000</v>
      </c>
      <c r="AB76" s="54"/>
      <c r="AC76" s="54">
        <f t="shared" si="83"/>
        <v>1000</v>
      </c>
      <c r="AD76" s="54"/>
      <c r="AE76" s="54">
        <f t="shared" si="84"/>
        <v>1000</v>
      </c>
      <c r="AF76" s="54"/>
      <c r="AG76" s="54">
        <f t="shared" si="85"/>
        <v>1000</v>
      </c>
      <c r="AH76" s="54"/>
      <c r="AI76" s="54">
        <f t="shared" si="86"/>
        <v>1000</v>
      </c>
      <c r="AJ76" s="54"/>
      <c r="AK76" s="54">
        <f t="shared" si="87"/>
        <v>1000</v>
      </c>
    </row>
    <row r="77" spans="1:37" s="20" customFormat="1" ht="21" customHeight="1">
      <c r="A77" s="41"/>
      <c r="B77" s="140"/>
      <c r="C77" s="41">
        <v>4430</v>
      </c>
      <c r="D77" s="31" t="s">
        <v>87</v>
      </c>
      <c r="E77" s="54">
        <v>3500</v>
      </c>
      <c r="F77" s="54"/>
      <c r="G77" s="54">
        <f t="shared" si="72"/>
        <v>3500</v>
      </c>
      <c r="H77" s="54"/>
      <c r="I77" s="54">
        <f t="shared" si="73"/>
        <v>3500</v>
      </c>
      <c r="J77" s="54"/>
      <c r="K77" s="54">
        <f t="shared" si="74"/>
        <v>3500</v>
      </c>
      <c r="L77" s="54"/>
      <c r="M77" s="54">
        <f t="shared" si="75"/>
        <v>3500</v>
      </c>
      <c r="N77" s="54"/>
      <c r="O77" s="54">
        <f t="shared" si="76"/>
        <v>3500</v>
      </c>
      <c r="P77" s="54"/>
      <c r="Q77" s="54">
        <f t="shared" si="77"/>
        <v>3500</v>
      </c>
      <c r="R77" s="54"/>
      <c r="S77" s="54">
        <f t="shared" si="78"/>
        <v>3500</v>
      </c>
      <c r="T77" s="54"/>
      <c r="U77" s="54">
        <f t="shared" si="79"/>
        <v>3500</v>
      </c>
      <c r="V77" s="54"/>
      <c r="W77" s="54">
        <f t="shared" si="80"/>
        <v>3500</v>
      </c>
      <c r="X77" s="54"/>
      <c r="Y77" s="54">
        <f t="shared" si="81"/>
        <v>3500</v>
      </c>
      <c r="Z77" s="54"/>
      <c r="AA77" s="54">
        <f t="shared" si="82"/>
        <v>3500</v>
      </c>
      <c r="AB77" s="54"/>
      <c r="AC77" s="54">
        <f t="shared" si="83"/>
        <v>3500</v>
      </c>
      <c r="AD77" s="54"/>
      <c r="AE77" s="54">
        <f t="shared" si="84"/>
        <v>3500</v>
      </c>
      <c r="AF77" s="54"/>
      <c r="AG77" s="54">
        <f t="shared" si="85"/>
        <v>3500</v>
      </c>
      <c r="AH77" s="54"/>
      <c r="AI77" s="54">
        <f t="shared" si="86"/>
        <v>3500</v>
      </c>
      <c r="AJ77" s="54"/>
      <c r="AK77" s="54">
        <f t="shared" si="87"/>
        <v>3500</v>
      </c>
    </row>
    <row r="78" spans="1:37" s="20" customFormat="1" ht="24">
      <c r="A78" s="41"/>
      <c r="B78" s="140"/>
      <c r="C78" s="135">
        <v>4440</v>
      </c>
      <c r="D78" s="31" t="s">
        <v>83</v>
      </c>
      <c r="E78" s="54">
        <v>9263</v>
      </c>
      <c r="F78" s="54"/>
      <c r="G78" s="54">
        <f t="shared" si="72"/>
        <v>9263</v>
      </c>
      <c r="H78" s="54"/>
      <c r="I78" s="54">
        <f t="shared" si="73"/>
        <v>9263</v>
      </c>
      <c r="J78" s="54"/>
      <c r="K78" s="54">
        <f t="shared" si="74"/>
        <v>9263</v>
      </c>
      <c r="L78" s="54"/>
      <c r="M78" s="54">
        <f t="shared" si="75"/>
        <v>9263</v>
      </c>
      <c r="N78" s="54"/>
      <c r="O78" s="54">
        <f t="shared" si="76"/>
        <v>9263</v>
      </c>
      <c r="P78" s="54"/>
      <c r="Q78" s="54">
        <f t="shared" si="77"/>
        <v>9263</v>
      </c>
      <c r="R78" s="54"/>
      <c r="S78" s="54">
        <f t="shared" si="78"/>
        <v>9263</v>
      </c>
      <c r="T78" s="54"/>
      <c r="U78" s="54">
        <f t="shared" si="79"/>
        <v>9263</v>
      </c>
      <c r="V78" s="54"/>
      <c r="W78" s="54">
        <f t="shared" si="80"/>
        <v>9263</v>
      </c>
      <c r="X78" s="54"/>
      <c r="Y78" s="54">
        <f t="shared" si="81"/>
        <v>9263</v>
      </c>
      <c r="Z78" s="54"/>
      <c r="AA78" s="54">
        <f t="shared" si="82"/>
        <v>9263</v>
      </c>
      <c r="AB78" s="54"/>
      <c r="AC78" s="54">
        <f t="shared" si="83"/>
        <v>9263</v>
      </c>
      <c r="AD78" s="54"/>
      <c r="AE78" s="54">
        <f t="shared" si="84"/>
        <v>9263</v>
      </c>
      <c r="AF78" s="54"/>
      <c r="AG78" s="54">
        <f t="shared" si="85"/>
        <v>9263</v>
      </c>
      <c r="AH78" s="54">
        <v>238</v>
      </c>
      <c r="AI78" s="54">
        <f t="shared" si="86"/>
        <v>9501</v>
      </c>
      <c r="AJ78" s="54"/>
      <c r="AK78" s="54">
        <f t="shared" si="87"/>
        <v>9501</v>
      </c>
    </row>
    <row r="79" spans="1:37" s="20" customFormat="1" ht="21" customHeight="1">
      <c r="A79" s="41"/>
      <c r="B79" s="140"/>
      <c r="C79" s="135">
        <v>4580</v>
      </c>
      <c r="D79" s="31" t="s">
        <v>11</v>
      </c>
      <c r="E79" s="54"/>
      <c r="F79" s="54"/>
      <c r="G79" s="54"/>
      <c r="H79" s="54"/>
      <c r="I79" s="54">
        <v>0</v>
      </c>
      <c r="J79" s="54">
        <v>500</v>
      </c>
      <c r="K79" s="54">
        <f>SUM(I79:J79)</f>
        <v>500</v>
      </c>
      <c r="L79" s="54"/>
      <c r="M79" s="54">
        <f>SUM(K79:L79)</f>
        <v>500</v>
      </c>
      <c r="N79" s="54"/>
      <c r="O79" s="54">
        <f>SUM(M79:N79)</f>
        <v>500</v>
      </c>
      <c r="P79" s="54"/>
      <c r="Q79" s="54">
        <f>SUM(O79:P79)</f>
        <v>500</v>
      </c>
      <c r="R79" s="54"/>
      <c r="S79" s="54">
        <f>SUM(Q79:R79)</f>
        <v>500</v>
      </c>
      <c r="T79" s="54"/>
      <c r="U79" s="54">
        <f>SUM(S79:T79)</f>
        <v>500</v>
      </c>
      <c r="V79" s="54"/>
      <c r="W79" s="54">
        <f>SUM(U79:V79)</f>
        <v>500</v>
      </c>
      <c r="X79" s="54"/>
      <c r="Y79" s="54">
        <f>SUM(W79:X79)</f>
        <v>500</v>
      </c>
      <c r="Z79" s="54"/>
      <c r="AA79" s="54">
        <f>SUM(Y79:Z79)</f>
        <v>500</v>
      </c>
      <c r="AB79" s="54"/>
      <c r="AC79" s="54">
        <f>SUM(AA79:AB79)</f>
        <v>500</v>
      </c>
      <c r="AD79" s="54"/>
      <c r="AE79" s="54">
        <f>SUM(AC79:AD79)</f>
        <v>500</v>
      </c>
      <c r="AF79" s="54"/>
      <c r="AG79" s="54">
        <f>SUM(AE79:AF79)</f>
        <v>500</v>
      </c>
      <c r="AH79" s="54"/>
      <c r="AI79" s="54">
        <f>SUM(AG79:AH79)</f>
        <v>500</v>
      </c>
      <c r="AJ79" s="54"/>
      <c r="AK79" s="54">
        <f>SUM(AI79:AJ79)</f>
        <v>500</v>
      </c>
    </row>
    <row r="80" spans="1:37" s="20" customFormat="1" ht="24">
      <c r="A80" s="41"/>
      <c r="B80" s="140"/>
      <c r="C80" s="135">
        <v>4700</v>
      </c>
      <c r="D80" s="31" t="s">
        <v>193</v>
      </c>
      <c r="E80" s="54">
        <v>3300</v>
      </c>
      <c r="F80" s="54"/>
      <c r="G80" s="54">
        <f t="shared" si="72"/>
        <v>3300</v>
      </c>
      <c r="H80" s="54"/>
      <c r="I80" s="54">
        <f t="shared" si="73"/>
        <v>3300</v>
      </c>
      <c r="J80" s="54"/>
      <c r="K80" s="54">
        <f t="shared" si="74"/>
        <v>3300</v>
      </c>
      <c r="L80" s="54"/>
      <c r="M80" s="54">
        <f>SUM(K80:L80)</f>
        <v>3300</v>
      </c>
      <c r="N80" s="54"/>
      <c r="O80" s="54">
        <f>SUM(M80:N80)</f>
        <v>3300</v>
      </c>
      <c r="P80" s="54"/>
      <c r="Q80" s="54">
        <f>SUM(O80:P80)</f>
        <v>3300</v>
      </c>
      <c r="R80" s="54"/>
      <c r="S80" s="54">
        <f>SUM(Q80:R80)</f>
        <v>3300</v>
      </c>
      <c r="T80" s="54"/>
      <c r="U80" s="54">
        <f>SUM(S80:T80)</f>
        <v>3300</v>
      </c>
      <c r="V80" s="54"/>
      <c r="W80" s="54">
        <f>SUM(U80:V80)</f>
        <v>3300</v>
      </c>
      <c r="X80" s="54"/>
      <c r="Y80" s="54">
        <f>SUM(W80:X80)</f>
        <v>3300</v>
      </c>
      <c r="Z80" s="54">
        <v>-1000</v>
      </c>
      <c r="AA80" s="54">
        <f>SUM(Y80:Z80)</f>
        <v>2300</v>
      </c>
      <c r="AB80" s="54"/>
      <c r="AC80" s="54">
        <f>SUM(AA80:AB80)</f>
        <v>2300</v>
      </c>
      <c r="AD80" s="54"/>
      <c r="AE80" s="54">
        <f>SUM(AC80:AD80)</f>
        <v>2300</v>
      </c>
      <c r="AF80" s="54"/>
      <c r="AG80" s="54">
        <f>SUM(AE80:AF80)</f>
        <v>2300</v>
      </c>
      <c r="AH80" s="54"/>
      <c r="AI80" s="54">
        <f>SUM(AG80:AH80)</f>
        <v>2300</v>
      </c>
      <c r="AJ80" s="54"/>
      <c r="AK80" s="54">
        <f>SUM(AI80:AJ80)</f>
        <v>2300</v>
      </c>
    </row>
    <row r="81" spans="1:37" s="20" customFormat="1" ht="36">
      <c r="A81" s="41"/>
      <c r="B81" s="140"/>
      <c r="C81" s="135">
        <v>4740</v>
      </c>
      <c r="D81" s="31" t="s">
        <v>183</v>
      </c>
      <c r="E81" s="54">
        <v>1000</v>
      </c>
      <c r="F81" s="54"/>
      <c r="G81" s="54">
        <f t="shared" si="72"/>
        <v>1000</v>
      </c>
      <c r="H81" s="54"/>
      <c r="I81" s="54">
        <f t="shared" si="73"/>
        <v>1000</v>
      </c>
      <c r="J81" s="54"/>
      <c r="K81" s="54">
        <f t="shared" si="74"/>
        <v>1000</v>
      </c>
      <c r="L81" s="54"/>
      <c r="M81" s="54">
        <f>SUM(K81:L81)</f>
        <v>1000</v>
      </c>
      <c r="N81" s="54"/>
      <c r="O81" s="54">
        <f>SUM(M81:N81)</f>
        <v>1000</v>
      </c>
      <c r="P81" s="54"/>
      <c r="Q81" s="54">
        <f>SUM(O81:P81)</f>
        <v>1000</v>
      </c>
      <c r="R81" s="54"/>
      <c r="S81" s="54">
        <f>SUM(Q81:R81)</f>
        <v>1000</v>
      </c>
      <c r="T81" s="54"/>
      <c r="U81" s="54">
        <f>SUM(S81:T81)</f>
        <v>1000</v>
      </c>
      <c r="V81" s="54"/>
      <c r="W81" s="54">
        <f>SUM(U81:V81)</f>
        <v>1000</v>
      </c>
      <c r="X81" s="54"/>
      <c r="Y81" s="54">
        <f>SUM(W81:X81)</f>
        <v>1000</v>
      </c>
      <c r="Z81" s="54">
        <v>-500</v>
      </c>
      <c r="AA81" s="54">
        <f>SUM(Y81:Z81)</f>
        <v>500</v>
      </c>
      <c r="AB81" s="54"/>
      <c r="AC81" s="54">
        <f>SUM(AA81:AB81)</f>
        <v>500</v>
      </c>
      <c r="AD81" s="54"/>
      <c r="AE81" s="54">
        <f>SUM(AC81:AD81)</f>
        <v>500</v>
      </c>
      <c r="AF81" s="54"/>
      <c r="AG81" s="54">
        <f>SUM(AE81:AF81)</f>
        <v>500</v>
      </c>
      <c r="AH81" s="54"/>
      <c r="AI81" s="54">
        <f>SUM(AG81:AH81)</f>
        <v>500</v>
      </c>
      <c r="AJ81" s="54"/>
      <c r="AK81" s="54">
        <f>SUM(AI81:AJ81)</f>
        <v>500</v>
      </c>
    </row>
    <row r="82" spans="1:37" s="20" customFormat="1" ht="21" customHeight="1">
      <c r="A82" s="41"/>
      <c r="B82" s="140"/>
      <c r="C82" s="135">
        <v>4750</v>
      </c>
      <c r="D82" s="31" t="s">
        <v>305</v>
      </c>
      <c r="E82" s="54">
        <v>1000</v>
      </c>
      <c r="F82" s="54"/>
      <c r="G82" s="54">
        <f t="shared" si="72"/>
        <v>1000</v>
      </c>
      <c r="H82" s="54"/>
      <c r="I82" s="54">
        <f t="shared" si="73"/>
        <v>1000</v>
      </c>
      <c r="J82" s="54"/>
      <c r="K82" s="54">
        <f t="shared" si="74"/>
        <v>1000</v>
      </c>
      <c r="L82" s="54"/>
      <c r="M82" s="54">
        <f>SUM(K82:L82)</f>
        <v>1000</v>
      </c>
      <c r="N82" s="54"/>
      <c r="O82" s="54">
        <f>SUM(M82:N82)</f>
        <v>1000</v>
      </c>
      <c r="P82" s="54"/>
      <c r="Q82" s="54">
        <f>SUM(O82:P82)</f>
        <v>1000</v>
      </c>
      <c r="R82" s="54"/>
      <c r="S82" s="54">
        <f>SUM(Q82:R82)</f>
        <v>1000</v>
      </c>
      <c r="T82" s="54"/>
      <c r="U82" s="54">
        <f>SUM(S82:T82)</f>
        <v>1000</v>
      </c>
      <c r="V82" s="54"/>
      <c r="W82" s="54">
        <f>SUM(U82:V82)</f>
        <v>1000</v>
      </c>
      <c r="X82" s="54"/>
      <c r="Y82" s="54">
        <f>SUM(W82:X82)</f>
        <v>1000</v>
      </c>
      <c r="Z82" s="54">
        <v>1500</v>
      </c>
      <c r="AA82" s="54">
        <f>SUM(Y82:Z82)</f>
        <v>2500</v>
      </c>
      <c r="AB82" s="54"/>
      <c r="AC82" s="54">
        <f>SUM(AA82:AB82)</f>
        <v>2500</v>
      </c>
      <c r="AD82" s="54"/>
      <c r="AE82" s="54">
        <f>SUM(AC82:AD82)</f>
        <v>2500</v>
      </c>
      <c r="AF82" s="54"/>
      <c r="AG82" s="54">
        <f>SUM(AE82:AF82)</f>
        <v>2500</v>
      </c>
      <c r="AH82" s="54"/>
      <c r="AI82" s="54">
        <f>SUM(AG82:AH82)</f>
        <v>2500</v>
      </c>
      <c r="AJ82" s="54"/>
      <c r="AK82" s="54">
        <f>SUM(AI82:AJ82)</f>
        <v>2500</v>
      </c>
    </row>
    <row r="83" spans="1:37" s="20" customFormat="1" ht="21" customHeight="1">
      <c r="A83" s="58"/>
      <c r="B83" s="55" t="s">
        <v>312</v>
      </c>
      <c r="C83" s="58"/>
      <c r="D83" s="31" t="s">
        <v>313</v>
      </c>
      <c r="E83" s="54">
        <f aca="true" t="shared" si="88" ref="E83:W83">SUM(E84:E94)</f>
        <v>312700</v>
      </c>
      <c r="F83" s="54">
        <f t="shared" si="88"/>
        <v>0</v>
      </c>
      <c r="G83" s="54">
        <f t="shared" si="88"/>
        <v>312700</v>
      </c>
      <c r="H83" s="54">
        <f t="shared" si="88"/>
        <v>0</v>
      </c>
      <c r="I83" s="54">
        <f t="shared" si="88"/>
        <v>312700</v>
      </c>
      <c r="J83" s="54">
        <f t="shared" si="88"/>
        <v>0</v>
      </c>
      <c r="K83" s="54">
        <f t="shared" si="88"/>
        <v>312700</v>
      </c>
      <c r="L83" s="54">
        <f t="shared" si="88"/>
        <v>14000</v>
      </c>
      <c r="M83" s="54">
        <f t="shared" si="88"/>
        <v>326700</v>
      </c>
      <c r="N83" s="54">
        <f t="shared" si="88"/>
        <v>-6000</v>
      </c>
      <c r="O83" s="54">
        <f t="shared" si="88"/>
        <v>320700</v>
      </c>
      <c r="P83" s="54">
        <f t="shared" si="88"/>
        <v>0</v>
      </c>
      <c r="Q83" s="54">
        <f t="shared" si="88"/>
        <v>320700</v>
      </c>
      <c r="R83" s="54">
        <f t="shared" si="88"/>
        <v>0</v>
      </c>
      <c r="S83" s="54">
        <f t="shared" si="88"/>
        <v>320700</v>
      </c>
      <c r="T83" s="54">
        <f t="shared" si="88"/>
        <v>0</v>
      </c>
      <c r="U83" s="54">
        <f t="shared" si="88"/>
        <v>320700</v>
      </c>
      <c r="V83" s="54">
        <f t="shared" si="88"/>
        <v>0</v>
      </c>
      <c r="W83" s="54">
        <f t="shared" si="88"/>
        <v>320700</v>
      </c>
      <c r="X83" s="54">
        <f aca="true" t="shared" si="89" ref="X83:AC83">SUM(X84:X94)</f>
        <v>0</v>
      </c>
      <c r="Y83" s="54">
        <f t="shared" si="89"/>
        <v>320700</v>
      </c>
      <c r="Z83" s="54">
        <f t="shared" si="89"/>
        <v>0</v>
      </c>
      <c r="AA83" s="54">
        <f t="shared" si="89"/>
        <v>320700</v>
      </c>
      <c r="AB83" s="54">
        <f t="shared" si="89"/>
        <v>0</v>
      </c>
      <c r="AC83" s="54">
        <f t="shared" si="89"/>
        <v>320700</v>
      </c>
      <c r="AD83" s="54">
        <f aca="true" t="shared" si="90" ref="AD83:AI83">SUM(AD84:AD94)</f>
        <v>0</v>
      </c>
      <c r="AE83" s="54">
        <f t="shared" si="90"/>
        <v>320700</v>
      </c>
      <c r="AF83" s="54">
        <f t="shared" si="90"/>
        <v>0</v>
      </c>
      <c r="AG83" s="54">
        <f t="shared" si="90"/>
        <v>320700</v>
      </c>
      <c r="AH83" s="54">
        <f t="shared" si="90"/>
        <v>0</v>
      </c>
      <c r="AI83" s="54">
        <f t="shared" si="90"/>
        <v>320700</v>
      </c>
      <c r="AJ83" s="54">
        <f>SUM(AJ84:AJ94)</f>
        <v>0</v>
      </c>
      <c r="AK83" s="54">
        <f>SUM(AK84:AK94)</f>
        <v>320700</v>
      </c>
    </row>
    <row r="84" spans="1:37" s="20" customFormat="1" ht="21" customHeight="1">
      <c r="A84" s="58"/>
      <c r="B84" s="55"/>
      <c r="C84" s="41">
        <v>3030</v>
      </c>
      <c r="D84" s="31" t="s">
        <v>84</v>
      </c>
      <c r="E84" s="54">
        <v>261600</v>
      </c>
      <c r="F84" s="54"/>
      <c r="G84" s="54">
        <f>SUM(E84:F84)</f>
        <v>261600</v>
      </c>
      <c r="H84" s="54"/>
      <c r="I84" s="54">
        <f>SUM(G84:H84)</f>
        <v>261600</v>
      </c>
      <c r="J84" s="54"/>
      <c r="K84" s="54">
        <f>SUM(I84:J84)</f>
        <v>261600</v>
      </c>
      <c r="L84" s="54"/>
      <c r="M84" s="54">
        <f>SUM(K84:L84)</f>
        <v>261600</v>
      </c>
      <c r="N84" s="54">
        <v>-6000</v>
      </c>
      <c r="O84" s="54">
        <f>SUM(M84:N84)</f>
        <v>255600</v>
      </c>
      <c r="P84" s="54"/>
      <c r="Q84" s="54">
        <f>SUM(O84:P84)</f>
        <v>255600</v>
      </c>
      <c r="R84" s="54"/>
      <c r="S84" s="54">
        <f>SUM(Q84:R84)</f>
        <v>255600</v>
      </c>
      <c r="T84" s="54"/>
      <c r="U84" s="54">
        <f>SUM(S84:T84)</f>
        <v>255600</v>
      </c>
      <c r="V84" s="54"/>
      <c r="W84" s="54">
        <f>SUM(U84:V84)</f>
        <v>255600</v>
      </c>
      <c r="X84" s="54"/>
      <c r="Y84" s="54">
        <f>SUM(W84:X84)</f>
        <v>255600</v>
      </c>
      <c r="Z84" s="54"/>
      <c r="AA84" s="54">
        <f>SUM(Y84:Z84)</f>
        <v>255600</v>
      </c>
      <c r="AB84" s="54"/>
      <c r="AC84" s="54">
        <f>SUM(AA84:AB84)</f>
        <v>255600</v>
      </c>
      <c r="AD84" s="54"/>
      <c r="AE84" s="54">
        <f>SUM(AC84:AD84)</f>
        <v>255600</v>
      </c>
      <c r="AF84" s="54"/>
      <c r="AG84" s="54">
        <f>SUM(AE84:AF84)</f>
        <v>255600</v>
      </c>
      <c r="AH84" s="54"/>
      <c r="AI84" s="54">
        <f>SUM(AG84:AH84)</f>
        <v>255600</v>
      </c>
      <c r="AJ84" s="54"/>
      <c r="AK84" s="54">
        <f>SUM(AI84:AJ84)</f>
        <v>255600</v>
      </c>
    </row>
    <row r="85" spans="1:39" s="20" customFormat="1" ht="21" customHeight="1">
      <c r="A85" s="58"/>
      <c r="B85" s="55"/>
      <c r="C85" s="41">
        <v>4170</v>
      </c>
      <c r="D85" s="31" t="s">
        <v>161</v>
      </c>
      <c r="E85" s="54">
        <v>2000</v>
      </c>
      <c r="F85" s="54"/>
      <c r="G85" s="54">
        <f aca="true" t="shared" si="91" ref="G85:G94">SUM(E85:F85)</f>
        <v>2000</v>
      </c>
      <c r="H85" s="54"/>
      <c r="I85" s="54">
        <f aca="true" t="shared" si="92" ref="I85:I94">SUM(G85:H85)</f>
        <v>2000</v>
      </c>
      <c r="J85" s="54"/>
      <c r="K85" s="54">
        <f aca="true" t="shared" si="93" ref="K85:K94">SUM(I85:J85)</f>
        <v>2000</v>
      </c>
      <c r="L85" s="54"/>
      <c r="M85" s="54">
        <f aca="true" t="shared" si="94" ref="M85:M94">SUM(K85:L85)</f>
        <v>2000</v>
      </c>
      <c r="N85" s="54"/>
      <c r="O85" s="54">
        <f aca="true" t="shared" si="95" ref="O85:O94">SUM(M85:N85)</f>
        <v>2000</v>
      </c>
      <c r="P85" s="54"/>
      <c r="Q85" s="54">
        <f aca="true" t="shared" si="96" ref="Q85:Q94">SUM(O85:P85)</f>
        <v>2000</v>
      </c>
      <c r="R85" s="54"/>
      <c r="S85" s="54">
        <f aca="true" t="shared" si="97" ref="S85:S94">SUM(Q85:R85)</f>
        <v>2000</v>
      </c>
      <c r="T85" s="54"/>
      <c r="U85" s="54">
        <f aca="true" t="shared" si="98" ref="U85:U94">SUM(S85:T85)</f>
        <v>2000</v>
      </c>
      <c r="V85" s="54"/>
      <c r="W85" s="54">
        <f aca="true" t="shared" si="99" ref="W85:W94">SUM(U85:V85)</f>
        <v>2000</v>
      </c>
      <c r="X85" s="54"/>
      <c r="Y85" s="54">
        <f aca="true" t="shared" si="100" ref="Y85:Y94">SUM(W85:X85)</f>
        <v>2000</v>
      </c>
      <c r="Z85" s="54"/>
      <c r="AA85" s="54">
        <f aca="true" t="shared" si="101" ref="AA85:AA94">SUM(Y85:Z85)</f>
        <v>2000</v>
      </c>
      <c r="AB85" s="54"/>
      <c r="AC85" s="54">
        <f aca="true" t="shared" si="102" ref="AC85:AC94">SUM(AA85:AB85)</f>
        <v>2000</v>
      </c>
      <c r="AD85" s="54"/>
      <c r="AE85" s="54">
        <f aca="true" t="shared" si="103" ref="AE85:AE94">SUM(AC85:AD85)</f>
        <v>2000</v>
      </c>
      <c r="AF85" s="54"/>
      <c r="AG85" s="54">
        <f aca="true" t="shared" si="104" ref="AG85:AG94">SUM(AE85:AF85)</f>
        <v>2000</v>
      </c>
      <c r="AH85" s="54"/>
      <c r="AI85" s="54">
        <f aca="true" t="shared" si="105" ref="AI85:AI94">SUM(AG85:AH85)</f>
        <v>2000</v>
      </c>
      <c r="AJ85" s="54"/>
      <c r="AK85" s="54">
        <f aca="true" t="shared" si="106" ref="AK85:AK94">SUM(AI85:AJ85)</f>
        <v>2000</v>
      </c>
      <c r="AL85" s="67"/>
      <c r="AM85" s="67"/>
    </row>
    <row r="86" spans="1:37" s="20" customFormat="1" ht="21" customHeight="1">
      <c r="A86" s="58"/>
      <c r="B86" s="55"/>
      <c r="C86" s="41">
        <v>4210</v>
      </c>
      <c r="D86" s="31" t="s">
        <v>86</v>
      </c>
      <c r="E86" s="54">
        <v>17500</v>
      </c>
      <c r="F86" s="54"/>
      <c r="G86" s="54">
        <f t="shared" si="91"/>
        <v>17500</v>
      </c>
      <c r="H86" s="54"/>
      <c r="I86" s="54">
        <f t="shared" si="92"/>
        <v>17500</v>
      </c>
      <c r="J86" s="54"/>
      <c r="K86" s="54">
        <f t="shared" si="93"/>
        <v>17500</v>
      </c>
      <c r="L86" s="54">
        <v>14000</v>
      </c>
      <c r="M86" s="54">
        <f t="shared" si="94"/>
        <v>31500</v>
      </c>
      <c r="N86" s="54"/>
      <c r="O86" s="54">
        <f t="shared" si="95"/>
        <v>31500</v>
      </c>
      <c r="P86" s="54"/>
      <c r="Q86" s="54">
        <f t="shared" si="96"/>
        <v>31500</v>
      </c>
      <c r="R86" s="54"/>
      <c r="S86" s="54">
        <f t="shared" si="97"/>
        <v>31500</v>
      </c>
      <c r="T86" s="54"/>
      <c r="U86" s="54">
        <f t="shared" si="98"/>
        <v>31500</v>
      </c>
      <c r="V86" s="54"/>
      <c r="W86" s="54">
        <f t="shared" si="99"/>
        <v>31500</v>
      </c>
      <c r="X86" s="54"/>
      <c r="Y86" s="54">
        <f t="shared" si="100"/>
        <v>31500</v>
      </c>
      <c r="Z86" s="54"/>
      <c r="AA86" s="54">
        <f t="shared" si="101"/>
        <v>31500</v>
      </c>
      <c r="AB86" s="54"/>
      <c r="AC86" s="54">
        <f t="shared" si="102"/>
        <v>31500</v>
      </c>
      <c r="AD86" s="54"/>
      <c r="AE86" s="54">
        <f t="shared" si="103"/>
        <v>31500</v>
      </c>
      <c r="AF86" s="54"/>
      <c r="AG86" s="54">
        <f t="shared" si="104"/>
        <v>31500</v>
      </c>
      <c r="AH86" s="54"/>
      <c r="AI86" s="54">
        <f t="shared" si="105"/>
        <v>31500</v>
      </c>
      <c r="AJ86" s="54"/>
      <c r="AK86" s="54">
        <f t="shared" si="106"/>
        <v>31500</v>
      </c>
    </row>
    <row r="87" spans="1:37" s="20" customFormat="1" ht="21" customHeight="1">
      <c r="A87" s="58"/>
      <c r="B87" s="55"/>
      <c r="C87" s="41">
        <v>4300</v>
      </c>
      <c r="D87" s="31" t="s">
        <v>75</v>
      </c>
      <c r="E87" s="54">
        <v>22000</v>
      </c>
      <c r="F87" s="54"/>
      <c r="G87" s="54">
        <f t="shared" si="91"/>
        <v>22000</v>
      </c>
      <c r="H87" s="54"/>
      <c r="I87" s="54">
        <f t="shared" si="92"/>
        <v>22000</v>
      </c>
      <c r="J87" s="54"/>
      <c r="K87" s="54">
        <f t="shared" si="93"/>
        <v>22000</v>
      </c>
      <c r="L87" s="54"/>
      <c r="M87" s="54">
        <f t="shared" si="94"/>
        <v>22000</v>
      </c>
      <c r="N87" s="54"/>
      <c r="O87" s="54">
        <f t="shared" si="95"/>
        <v>22000</v>
      </c>
      <c r="P87" s="54"/>
      <c r="Q87" s="54">
        <f t="shared" si="96"/>
        <v>22000</v>
      </c>
      <c r="R87" s="54"/>
      <c r="S87" s="54">
        <f t="shared" si="97"/>
        <v>22000</v>
      </c>
      <c r="T87" s="54"/>
      <c r="U87" s="54">
        <f t="shared" si="98"/>
        <v>22000</v>
      </c>
      <c r="V87" s="54"/>
      <c r="W87" s="54">
        <f t="shared" si="99"/>
        <v>22000</v>
      </c>
      <c r="X87" s="54"/>
      <c r="Y87" s="54">
        <f t="shared" si="100"/>
        <v>22000</v>
      </c>
      <c r="Z87" s="54"/>
      <c r="AA87" s="54">
        <f t="shared" si="101"/>
        <v>22000</v>
      </c>
      <c r="AB87" s="54"/>
      <c r="AC87" s="54">
        <f t="shared" si="102"/>
        <v>22000</v>
      </c>
      <c r="AD87" s="54">
        <v>-4000</v>
      </c>
      <c r="AE87" s="54">
        <f t="shared" si="103"/>
        <v>18000</v>
      </c>
      <c r="AF87" s="54"/>
      <c r="AG87" s="54">
        <f t="shared" si="104"/>
        <v>18000</v>
      </c>
      <c r="AH87" s="54"/>
      <c r="AI87" s="54">
        <f t="shared" si="105"/>
        <v>18000</v>
      </c>
      <c r="AJ87" s="54"/>
      <c r="AK87" s="54">
        <f t="shared" si="106"/>
        <v>18000</v>
      </c>
    </row>
    <row r="88" spans="1:37" s="20" customFormat="1" ht="24">
      <c r="A88" s="58"/>
      <c r="B88" s="55"/>
      <c r="C88" s="41">
        <v>4370</v>
      </c>
      <c r="D88" s="31" t="s">
        <v>182</v>
      </c>
      <c r="E88" s="54">
        <v>100</v>
      </c>
      <c r="F88" s="54"/>
      <c r="G88" s="54">
        <f t="shared" si="91"/>
        <v>100</v>
      </c>
      <c r="H88" s="54"/>
      <c r="I88" s="54">
        <f t="shared" si="92"/>
        <v>100</v>
      </c>
      <c r="J88" s="54"/>
      <c r="K88" s="54">
        <f t="shared" si="93"/>
        <v>100</v>
      </c>
      <c r="L88" s="54"/>
      <c r="M88" s="54">
        <f t="shared" si="94"/>
        <v>100</v>
      </c>
      <c r="N88" s="54"/>
      <c r="O88" s="54">
        <f t="shared" si="95"/>
        <v>100</v>
      </c>
      <c r="P88" s="54"/>
      <c r="Q88" s="54">
        <f t="shared" si="96"/>
        <v>100</v>
      </c>
      <c r="R88" s="54"/>
      <c r="S88" s="54">
        <f t="shared" si="97"/>
        <v>100</v>
      </c>
      <c r="T88" s="54"/>
      <c r="U88" s="54">
        <f t="shared" si="98"/>
        <v>100</v>
      </c>
      <c r="V88" s="54"/>
      <c r="W88" s="54">
        <f t="shared" si="99"/>
        <v>100</v>
      </c>
      <c r="X88" s="54"/>
      <c r="Y88" s="54">
        <f t="shared" si="100"/>
        <v>100</v>
      </c>
      <c r="Z88" s="54"/>
      <c r="AA88" s="54">
        <f t="shared" si="101"/>
        <v>100</v>
      </c>
      <c r="AB88" s="54"/>
      <c r="AC88" s="54">
        <f t="shared" si="102"/>
        <v>100</v>
      </c>
      <c r="AD88" s="54"/>
      <c r="AE88" s="54">
        <f t="shared" si="103"/>
        <v>100</v>
      </c>
      <c r="AF88" s="54"/>
      <c r="AG88" s="54">
        <f t="shared" si="104"/>
        <v>100</v>
      </c>
      <c r="AH88" s="54"/>
      <c r="AI88" s="54">
        <f t="shared" si="105"/>
        <v>100</v>
      </c>
      <c r="AJ88" s="54"/>
      <c r="AK88" s="54">
        <f t="shared" si="106"/>
        <v>100</v>
      </c>
    </row>
    <row r="89" spans="1:37" s="20" customFormat="1" ht="21" customHeight="1">
      <c r="A89" s="58"/>
      <c r="B89" s="55"/>
      <c r="C89" s="41">
        <v>4410</v>
      </c>
      <c r="D89" s="31" t="s">
        <v>85</v>
      </c>
      <c r="E89" s="54">
        <v>4000</v>
      </c>
      <c r="F89" s="54"/>
      <c r="G89" s="54">
        <f t="shared" si="91"/>
        <v>4000</v>
      </c>
      <c r="H89" s="54"/>
      <c r="I89" s="54">
        <f t="shared" si="92"/>
        <v>4000</v>
      </c>
      <c r="J89" s="54"/>
      <c r="K89" s="54">
        <f t="shared" si="93"/>
        <v>4000</v>
      </c>
      <c r="L89" s="54"/>
      <c r="M89" s="54">
        <f t="shared" si="94"/>
        <v>4000</v>
      </c>
      <c r="N89" s="54"/>
      <c r="O89" s="54">
        <f t="shared" si="95"/>
        <v>4000</v>
      </c>
      <c r="P89" s="54"/>
      <c r="Q89" s="54">
        <f t="shared" si="96"/>
        <v>4000</v>
      </c>
      <c r="R89" s="54"/>
      <c r="S89" s="54">
        <f t="shared" si="97"/>
        <v>4000</v>
      </c>
      <c r="T89" s="54"/>
      <c r="U89" s="54">
        <f t="shared" si="98"/>
        <v>4000</v>
      </c>
      <c r="V89" s="54"/>
      <c r="W89" s="54">
        <f t="shared" si="99"/>
        <v>4000</v>
      </c>
      <c r="X89" s="54"/>
      <c r="Y89" s="54">
        <f t="shared" si="100"/>
        <v>4000</v>
      </c>
      <c r="Z89" s="54"/>
      <c r="AA89" s="54">
        <f t="shared" si="101"/>
        <v>4000</v>
      </c>
      <c r="AB89" s="54"/>
      <c r="AC89" s="54">
        <f t="shared" si="102"/>
        <v>4000</v>
      </c>
      <c r="AD89" s="54"/>
      <c r="AE89" s="54">
        <f t="shared" si="103"/>
        <v>4000</v>
      </c>
      <c r="AF89" s="54"/>
      <c r="AG89" s="54">
        <f t="shared" si="104"/>
        <v>4000</v>
      </c>
      <c r="AH89" s="54"/>
      <c r="AI89" s="54">
        <f t="shared" si="105"/>
        <v>4000</v>
      </c>
      <c r="AJ89" s="54"/>
      <c r="AK89" s="54">
        <f t="shared" si="106"/>
        <v>4000</v>
      </c>
    </row>
    <row r="90" spans="1:37" s="20" customFormat="1" ht="21" customHeight="1">
      <c r="A90" s="58"/>
      <c r="B90" s="55"/>
      <c r="C90" s="41">
        <v>4420</v>
      </c>
      <c r="D90" s="31" t="s">
        <v>314</v>
      </c>
      <c r="E90" s="54">
        <v>2000</v>
      </c>
      <c r="F90" s="54"/>
      <c r="G90" s="54">
        <f t="shared" si="91"/>
        <v>2000</v>
      </c>
      <c r="H90" s="54"/>
      <c r="I90" s="54">
        <f t="shared" si="92"/>
        <v>2000</v>
      </c>
      <c r="J90" s="54"/>
      <c r="K90" s="54">
        <f t="shared" si="93"/>
        <v>2000</v>
      </c>
      <c r="L90" s="54"/>
      <c r="M90" s="54">
        <f t="shared" si="94"/>
        <v>2000</v>
      </c>
      <c r="N90" s="54"/>
      <c r="O90" s="54">
        <f t="shared" si="95"/>
        <v>2000</v>
      </c>
      <c r="P90" s="54"/>
      <c r="Q90" s="54">
        <f t="shared" si="96"/>
        <v>2000</v>
      </c>
      <c r="R90" s="54"/>
      <c r="S90" s="54">
        <f t="shared" si="97"/>
        <v>2000</v>
      </c>
      <c r="T90" s="54"/>
      <c r="U90" s="54">
        <f t="shared" si="98"/>
        <v>2000</v>
      </c>
      <c r="V90" s="54"/>
      <c r="W90" s="54">
        <f t="shared" si="99"/>
        <v>2000</v>
      </c>
      <c r="X90" s="54"/>
      <c r="Y90" s="54">
        <f t="shared" si="100"/>
        <v>2000</v>
      </c>
      <c r="Z90" s="54"/>
      <c r="AA90" s="54">
        <f t="shared" si="101"/>
        <v>2000</v>
      </c>
      <c r="AB90" s="54"/>
      <c r="AC90" s="54">
        <f t="shared" si="102"/>
        <v>2000</v>
      </c>
      <c r="AD90" s="54"/>
      <c r="AE90" s="54">
        <f t="shared" si="103"/>
        <v>2000</v>
      </c>
      <c r="AF90" s="54"/>
      <c r="AG90" s="54">
        <f t="shared" si="104"/>
        <v>2000</v>
      </c>
      <c r="AH90" s="54"/>
      <c r="AI90" s="54">
        <f t="shared" si="105"/>
        <v>2000</v>
      </c>
      <c r="AJ90" s="54"/>
      <c r="AK90" s="54">
        <f t="shared" si="106"/>
        <v>2000</v>
      </c>
    </row>
    <row r="91" spans="1:37" s="20" customFormat="1" ht="21" customHeight="1">
      <c r="A91" s="58"/>
      <c r="B91" s="55"/>
      <c r="C91" s="135">
        <v>4430</v>
      </c>
      <c r="D91" s="31" t="s">
        <v>87</v>
      </c>
      <c r="E91" s="54">
        <v>500</v>
      </c>
      <c r="F91" s="54"/>
      <c r="G91" s="54">
        <f t="shared" si="91"/>
        <v>500</v>
      </c>
      <c r="H91" s="54"/>
      <c r="I91" s="54">
        <f t="shared" si="92"/>
        <v>500</v>
      </c>
      <c r="J91" s="54"/>
      <c r="K91" s="54">
        <f t="shared" si="93"/>
        <v>500</v>
      </c>
      <c r="L91" s="54"/>
      <c r="M91" s="54">
        <f t="shared" si="94"/>
        <v>500</v>
      </c>
      <c r="N91" s="54"/>
      <c r="O91" s="54">
        <f t="shared" si="95"/>
        <v>500</v>
      </c>
      <c r="P91" s="54"/>
      <c r="Q91" s="54">
        <f t="shared" si="96"/>
        <v>500</v>
      </c>
      <c r="R91" s="54"/>
      <c r="S91" s="54">
        <f t="shared" si="97"/>
        <v>500</v>
      </c>
      <c r="T91" s="54"/>
      <c r="U91" s="54">
        <f t="shared" si="98"/>
        <v>500</v>
      </c>
      <c r="V91" s="54"/>
      <c r="W91" s="54">
        <f t="shared" si="99"/>
        <v>500</v>
      </c>
      <c r="X91" s="54"/>
      <c r="Y91" s="54">
        <f t="shared" si="100"/>
        <v>500</v>
      </c>
      <c r="Z91" s="54"/>
      <c r="AA91" s="54">
        <f t="shared" si="101"/>
        <v>500</v>
      </c>
      <c r="AB91" s="54"/>
      <c r="AC91" s="54">
        <f t="shared" si="102"/>
        <v>500</v>
      </c>
      <c r="AD91" s="54"/>
      <c r="AE91" s="54">
        <f t="shared" si="103"/>
        <v>500</v>
      </c>
      <c r="AF91" s="54"/>
      <c r="AG91" s="54">
        <f t="shared" si="104"/>
        <v>500</v>
      </c>
      <c r="AH91" s="54"/>
      <c r="AI91" s="54">
        <f t="shared" si="105"/>
        <v>500</v>
      </c>
      <c r="AJ91" s="54"/>
      <c r="AK91" s="54">
        <f t="shared" si="106"/>
        <v>500</v>
      </c>
    </row>
    <row r="92" spans="1:37" s="20" customFormat="1" ht="21" customHeight="1">
      <c r="A92" s="58"/>
      <c r="B92" s="55"/>
      <c r="C92" s="135">
        <v>4610</v>
      </c>
      <c r="D92" s="31" t="s">
        <v>151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>
        <v>0</v>
      </c>
      <c r="AD92" s="54">
        <v>4000</v>
      </c>
      <c r="AE92" s="54">
        <f t="shared" si="103"/>
        <v>4000</v>
      </c>
      <c r="AF92" s="54"/>
      <c r="AG92" s="54">
        <f t="shared" si="104"/>
        <v>4000</v>
      </c>
      <c r="AH92" s="54"/>
      <c r="AI92" s="54">
        <f t="shared" si="105"/>
        <v>4000</v>
      </c>
      <c r="AJ92" s="54"/>
      <c r="AK92" s="54">
        <f t="shared" si="106"/>
        <v>4000</v>
      </c>
    </row>
    <row r="93" spans="1:37" s="20" customFormat="1" ht="36">
      <c r="A93" s="58"/>
      <c r="B93" s="55"/>
      <c r="C93" s="135">
        <v>4740</v>
      </c>
      <c r="D93" s="31" t="s">
        <v>315</v>
      </c>
      <c r="E93" s="54">
        <v>2000</v>
      </c>
      <c r="F93" s="54"/>
      <c r="G93" s="54">
        <f t="shared" si="91"/>
        <v>2000</v>
      </c>
      <c r="H93" s="54"/>
      <c r="I93" s="54">
        <f t="shared" si="92"/>
        <v>2000</v>
      </c>
      <c r="J93" s="54"/>
      <c r="K93" s="54">
        <f t="shared" si="93"/>
        <v>2000</v>
      </c>
      <c r="L93" s="54"/>
      <c r="M93" s="54">
        <f t="shared" si="94"/>
        <v>2000</v>
      </c>
      <c r="N93" s="54"/>
      <c r="O93" s="54">
        <f t="shared" si="95"/>
        <v>2000</v>
      </c>
      <c r="P93" s="54"/>
      <c r="Q93" s="54">
        <f t="shared" si="96"/>
        <v>2000</v>
      </c>
      <c r="R93" s="54"/>
      <c r="S93" s="54">
        <f t="shared" si="97"/>
        <v>2000</v>
      </c>
      <c r="T93" s="54"/>
      <c r="U93" s="54">
        <f t="shared" si="98"/>
        <v>2000</v>
      </c>
      <c r="V93" s="54"/>
      <c r="W93" s="54">
        <f t="shared" si="99"/>
        <v>2000</v>
      </c>
      <c r="X93" s="54"/>
      <c r="Y93" s="54">
        <f t="shared" si="100"/>
        <v>2000</v>
      </c>
      <c r="Z93" s="54"/>
      <c r="AA93" s="54">
        <f t="shared" si="101"/>
        <v>2000</v>
      </c>
      <c r="AB93" s="54"/>
      <c r="AC93" s="54">
        <f t="shared" si="102"/>
        <v>2000</v>
      </c>
      <c r="AD93" s="54"/>
      <c r="AE93" s="54">
        <f t="shared" si="103"/>
        <v>2000</v>
      </c>
      <c r="AF93" s="54"/>
      <c r="AG93" s="54">
        <f t="shared" si="104"/>
        <v>2000</v>
      </c>
      <c r="AH93" s="54"/>
      <c r="AI93" s="54">
        <f t="shared" si="105"/>
        <v>2000</v>
      </c>
      <c r="AJ93" s="54"/>
      <c r="AK93" s="54">
        <f t="shared" si="106"/>
        <v>2000</v>
      </c>
    </row>
    <row r="94" spans="1:37" s="20" customFormat="1" ht="24">
      <c r="A94" s="58"/>
      <c r="B94" s="55"/>
      <c r="C94" s="135">
        <v>4750</v>
      </c>
      <c r="D94" s="31" t="s">
        <v>305</v>
      </c>
      <c r="E94" s="54">
        <v>1000</v>
      </c>
      <c r="F94" s="54"/>
      <c r="G94" s="54">
        <f t="shared" si="91"/>
        <v>1000</v>
      </c>
      <c r="H94" s="54"/>
      <c r="I94" s="54">
        <f t="shared" si="92"/>
        <v>1000</v>
      </c>
      <c r="J94" s="54"/>
      <c r="K94" s="54">
        <f t="shared" si="93"/>
        <v>1000</v>
      </c>
      <c r="L94" s="54"/>
      <c r="M94" s="54">
        <f t="shared" si="94"/>
        <v>1000</v>
      </c>
      <c r="N94" s="54"/>
      <c r="O94" s="54">
        <f t="shared" si="95"/>
        <v>1000</v>
      </c>
      <c r="P94" s="54"/>
      <c r="Q94" s="54">
        <f t="shared" si="96"/>
        <v>1000</v>
      </c>
      <c r="R94" s="54"/>
      <c r="S94" s="54">
        <f t="shared" si="97"/>
        <v>1000</v>
      </c>
      <c r="T94" s="54"/>
      <c r="U94" s="54">
        <f t="shared" si="98"/>
        <v>1000</v>
      </c>
      <c r="V94" s="54"/>
      <c r="W94" s="54">
        <f t="shared" si="99"/>
        <v>1000</v>
      </c>
      <c r="X94" s="54"/>
      <c r="Y94" s="54">
        <f t="shared" si="100"/>
        <v>1000</v>
      </c>
      <c r="Z94" s="54"/>
      <c r="AA94" s="54">
        <f t="shared" si="101"/>
        <v>1000</v>
      </c>
      <c r="AB94" s="54"/>
      <c r="AC94" s="54">
        <f t="shared" si="102"/>
        <v>1000</v>
      </c>
      <c r="AD94" s="54"/>
      <c r="AE94" s="54">
        <f t="shared" si="103"/>
        <v>1000</v>
      </c>
      <c r="AF94" s="54"/>
      <c r="AG94" s="54">
        <f t="shared" si="104"/>
        <v>1000</v>
      </c>
      <c r="AH94" s="54"/>
      <c r="AI94" s="54">
        <f t="shared" si="105"/>
        <v>1000</v>
      </c>
      <c r="AJ94" s="54"/>
      <c r="AK94" s="54">
        <f t="shared" si="106"/>
        <v>1000</v>
      </c>
    </row>
    <row r="95" spans="1:37" s="20" customFormat="1" ht="24">
      <c r="A95" s="58"/>
      <c r="B95" s="55" t="s">
        <v>17</v>
      </c>
      <c r="C95" s="58"/>
      <c r="D95" s="31" t="s">
        <v>18</v>
      </c>
      <c r="E95" s="54">
        <f aca="true" t="shared" si="107" ref="E95:W95">SUM(E96:E119)</f>
        <v>5019517</v>
      </c>
      <c r="F95" s="54">
        <f t="shared" si="107"/>
        <v>-380000</v>
      </c>
      <c r="G95" s="54">
        <f t="shared" si="107"/>
        <v>4639517</v>
      </c>
      <c r="H95" s="54">
        <f t="shared" si="107"/>
        <v>0</v>
      </c>
      <c r="I95" s="54">
        <f t="shared" si="107"/>
        <v>4639517</v>
      </c>
      <c r="J95" s="54">
        <f t="shared" si="107"/>
        <v>0</v>
      </c>
      <c r="K95" s="54">
        <f t="shared" si="107"/>
        <v>4639517</v>
      </c>
      <c r="L95" s="54">
        <f t="shared" si="107"/>
        <v>0</v>
      </c>
      <c r="M95" s="54">
        <f t="shared" si="107"/>
        <v>4639517</v>
      </c>
      <c r="N95" s="54">
        <f t="shared" si="107"/>
        <v>-1000</v>
      </c>
      <c r="O95" s="54">
        <f t="shared" si="107"/>
        <v>4638517</v>
      </c>
      <c r="P95" s="54">
        <f t="shared" si="107"/>
        <v>0</v>
      </c>
      <c r="Q95" s="54">
        <f t="shared" si="107"/>
        <v>4638517</v>
      </c>
      <c r="R95" s="54">
        <f t="shared" si="107"/>
        <v>2000</v>
      </c>
      <c r="S95" s="54">
        <f t="shared" si="107"/>
        <v>4640517</v>
      </c>
      <c r="T95" s="54">
        <f t="shared" si="107"/>
        <v>-1500</v>
      </c>
      <c r="U95" s="54">
        <f t="shared" si="107"/>
        <v>4639017</v>
      </c>
      <c r="V95" s="54">
        <f t="shared" si="107"/>
        <v>0</v>
      </c>
      <c r="W95" s="54">
        <f t="shared" si="107"/>
        <v>4639017</v>
      </c>
      <c r="X95" s="54">
        <f aca="true" t="shared" si="108" ref="X95:AC95">SUM(X96:X119)</f>
        <v>0</v>
      </c>
      <c r="Y95" s="54">
        <f t="shared" si="108"/>
        <v>4639017</v>
      </c>
      <c r="Z95" s="54">
        <f t="shared" si="108"/>
        <v>-40000</v>
      </c>
      <c r="AA95" s="54">
        <f t="shared" si="108"/>
        <v>4599017</v>
      </c>
      <c r="AB95" s="54">
        <f t="shared" si="108"/>
        <v>0</v>
      </c>
      <c r="AC95" s="54">
        <f t="shared" si="108"/>
        <v>4599017</v>
      </c>
      <c r="AD95" s="54">
        <f aca="true" t="shared" si="109" ref="AD95:AI95">SUM(AD96:AD119)</f>
        <v>-6000</v>
      </c>
      <c r="AE95" s="54">
        <f t="shared" si="109"/>
        <v>4593017</v>
      </c>
      <c r="AF95" s="54">
        <f t="shared" si="109"/>
        <v>0</v>
      </c>
      <c r="AG95" s="54">
        <f t="shared" si="109"/>
        <v>4593017</v>
      </c>
      <c r="AH95" s="54">
        <f t="shared" si="109"/>
        <v>0</v>
      </c>
      <c r="AI95" s="54">
        <f t="shared" si="109"/>
        <v>4593017</v>
      </c>
      <c r="AJ95" s="54">
        <f>SUM(AJ96:AJ119)</f>
        <v>0</v>
      </c>
      <c r="AK95" s="54">
        <f>SUM(AK96:AK119)</f>
        <v>4593017</v>
      </c>
    </row>
    <row r="96" spans="1:37" s="20" customFormat="1" ht="21" customHeight="1">
      <c r="A96" s="58"/>
      <c r="B96" s="55"/>
      <c r="C96" s="41">
        <v>3020</v>
      </c>
      <c r="D96" s="31" t="s">
        <v>159</v>
      </c>
      <c r="E96" s="54">
        <v>24500</v>
      </c>
      <c r="F96" s="54"/>
      <c r="G96" s="54">
        <f>SUM(E96:F96)</f>
        <v>24500</v>
      </c>
      <c r="H96" s="54"/>
      <c r="I96" s="54">
        <f>SUM(G96:H96)</f>
        <v>24500</v>
      </c>
      <c r="J96" s="54"/>
      <c r="K96" s="54">
        <f>SUM(I96:J96)</f>
        <v>24500</v>
      </c>
      <c r="L96" s="54"/>
      <c r="M96" s="54">
        <f>SUM(K96:L96)</f>
        <v>24500</v>
      </c>
      <c r="N96" s="54"/>
      <c r="O96" s="54">
        <f>SUM(M96:N96)</f>
        <v>24500</v>
      </c>
      <c r="P96" s="54"/>
      <c r="Q96" s="54">
        <f>SUM(O96:P96)</f>
        <v>24500</v>
      </c>
      <c r="R96" s="54"/>
      <c r="S96" s="54">
        <f>SUM(Q96:R96)</f>
        <v>24500</v>
      </c>
      <c r="T96" s="54"/>
      <c r="U96" s="54">
        <f>SUM(S96:T96)</f>
        <v>24500</v>
      </c>
      <c r="V96" s="54"/>
      <c r="W96" s="54">
        <f>SUM(U96:V96)</f>
        <v>24500</v>
      </c>
      <c r="X96" s="54"/>
      <c r="Y96" s="54">
        <f>SUM(W96:X96)</f>
        <v>24500</v>
      </c>
      <c r="Z96" s="54">
        <v>-6000</v>
      </c>
      <c r="AA96" s="54">
        <f>SUM(Y96:Z96)</f>
        <v>18500</v>
      </c>
      <c r="AB96" s="54"/>
      <c r="AC96" s="54">
        <f>SUM(AA96:AB96)</f>
        <v>18500</v>
      </c>
      <c r="AD96" s="54"/>
      <c r="AE96" s="54">
        <f>SUM(AC96:AD96)</f>
        <v>18500</v>
      </c>
      <c r="AF96" s="54"/>
      <c r="AG96" s="54">
        <f>SUM(AE96:AF96)</f>
        <v>18500</v>
      </c>
      <c r="AH96" s="54"/>
      <c r="AI96" s="54">
        <f>SUM(AG96:AH96)</f>
        <v>18500</v>
      </c>
      <c r="AJ96" s="54"/>
      <c r="AK96" s="54">
        <f>SUM(AI96:AJ96)</f>
        <v>18500</v>
      </c>
    </row>
    <row r="97" spans="1:39" s="20" customFormat="1" ht="21" customHeight="1">
      <c r="A97" s="58"/>
      <c r="B97" s="55"/>
      <c r="C97" s="41">
        <v>4010</v>
      </c>
      <c r="D97" s="31" t="s">
        <v>79</v>
      </c>
      <c r="E97" s="54">
        <f>3084359-100000</f>
        <v>2984359</v>
      </c>
      <c r="F97" s="141">
        <v>-165000</v>
      </c>
      <c r="G97" s="54">
        <f aca="true" t="shared" si="110" ref="G97:G119">SUM(E97:F97)</f>
        <v>2819359</v>
      </c>
      <c r="H97" s="141"/>
      <c r="I97" s="54">
        <f aca="true" t="shared" si="111" ref="I97:I119">SUM(G97:H97)</f>
        <v>2819359</v>
      </c>
      <c r="J97" s="141"/>
      <c r="K97" s="54">
        <f aca="true" t="shared" si="112" ref="K97:K119">SUM(I97:J97)</f>
        <v>2819359</v>
      </c>
      <c r="L97" s="141"/>
      <c r="M97" s="54">
        <f aca="true" t="shared" si="113" ref="M97:M119">SUM(K97:L97)</f>
        <v>2819359</v>
      </c>
      <c r="N97" s="141"/>
      <c r="O97" s="54">
        <f aca="true" t="shared" si="114" ref="O97:O119">SUM(M97:N97)</f>
        <v>2819359</v>
      </c>
      <c r="P97" s="141"/>
      <c r="Q97" s="54">
        <f aca="true" t="shared" si="115" ref="Q97:Q119">SUM(O97:P97)</f>
        <v>2819359</v>
      </c>
      <c r="R97" s="141"/>
      <c r="S97" s="54">
        <f aca="true" t="shared" si="116" ref="S97:S119">SUM(Q97:R97)</f>
        <v>2819359</v>
      </c>
      <c r="T97" s="141"/>
      <c r="U97" s="54">
        <f aca="true" t="shared" si="117" ref="U97:U119">SUM(S97:T97)</f>
        <v>2819359</v>
      </c>
      <c r="V97" s="54">
        <v>6120</v>
      </c>
      <c r="W97" s="54">
        <f aca="true" t="shared" si="118" ref="W97:W119">SUM(U97:V97)</f>
        <v>2825479</v>
      </c>
      <c r="X97" s="54"/>
      <c r="Y97" s="54">
        <f aca="true" t="shared" si="119" ref="Y97:Y119">SUM(W97:X97)</f>
        <v>2825479</v>
      </c>
      <c r="Z97" s="54">
        <v>-5000</v>
      </c>
      <c r="AA97" s="54">
        <f aca="true" t="shared" si="120" ref="AA97:AA119">SUM(Y97:Z97)</f>
        <v>2820479</v>
      </c>
      <c r="AB97" s="54"/>
      <c r="AC97" s="54">
        <f aca="true" t="shared" si="121" ref="AC97:AC119">SUM(AA97:AB97)</f>
        <v>2820479</v>
      </c>
      <c r="AD97" s="54"/>
      <c r="AE97" s="54">
        <f aca="true" t="shared" si="122" ref="AE97:AE119">SUM(AC97:AD97)</f>
        <v>2820479</v>
      </c>
      <c r="AF97" s="54"/>
      <c r="AG97" s="54">
        <f aca="true" t="shared" si="123" ref="AG97:AG119">SUM(AE97:AF97)</f>
        <v>2820479</v>
      </c>
      <c r="AH97" s="54"/>
      <c r="AI97" s="54">
        <f aca="true" t="shared" si="124" ref="AI97:AI119">SUM(AG97:AH97)</f>
        <v>2820479</v>
      </c>
      <c r="AJ97" s="54"/>
      <c r="AK97" s="54">
        <f aca="true" t="shared" si="125" ref="AK97:AK119">SUM(AI97:AJ97)</f>
        <v>2820479</v>
      </c>
      <c r="AL97" s="67"/>
      <c r="AM97" s="67"/>
    </row>
    <row r="98" spans="1:39" s="20" customFormat="1" ht="21" customHeight="1">
      <c r="A98" s="58"/>
      <c r="B98" s="55"/>
      <c r="C98" s="41">
        <v>4040</v>
      </c>
      <c r="D98" s="31" t="s">
        <v>80</v>
      </c>
      <c r="E98" s="54">
        <v>182000</v>
      </c>
      <c r="F98" s="54"/>
      <c r="G98" s="54">
        <f t="shared" si="110"/>
        <v>182000</v>
      </c>
      <c r="H98" s="54"/>
      <c r="I98" s="54">
        <f t="shared" si="111"/>
        <v>182000</v>
      </c>
      <c r="J98" s="54"/>
      <c r="K98" s="54">
        <f t="shared" si="112"/>
        <v>182000</v>
      </c>
      <c r="L98" s="54"/>
      <c r="M98" s="54">
        <f t="shared" si="113"/>
        <v>182000</v>
      </c>
      <c r="N98" s="54"/>
      <c r="O98" s="54">
        <f t="shared" si="114"/>
        <v>182000</v>
      </c>
      <c r="P98" s="54"/>
      <c r="Q98" s="54">
        <f t="shared" si="115"/>
        <v>182000</v>
      </c>
      <c r="R98" s="54"/>
      <c r="S98" s="54">
        <f t="shared" si="116"/>
        <v>182000</v>
      </c>
      <c r="T98" s="54"/>
      <c r="U98" s="54">
        <f t="shared" si="117"/>
        <v>182000</v>
      </c>
      <c r="V98" s="54">
        <v>-6120</v>
      </c>
      <c r="W98" s="54">
        <f t="shared" si="118"/>
        <v>175880</v>
      </c>
      <c r="X98" s="54"/>
      <c r="Y98" s="54">
        <f t="shared" si="119"/>
        <v>175880</v>
      </c>
      <c r="Z98" s="54"/>
      <c r="AA98" s="54">
        <f t="shared" si="120"/>
        <v>175880</v>
      </c>
      <c r="AB98" s="54"/>
      <c r="AC98" s="54">
        <f t="shared" si="121"/>
        <v>175880</v>
      </c>
      <c r="AD98" s="54"/>
      <c r="AE98" s="54">
        <f t="shared" si="122"/>
        <v>175880</v>
      </c>
      <c r="AF98" s="54"/>
      <c r="AG98" s="54">
        <f t="shared" si="123"/>
        <v>175880</v>
      </c>
      <c r="AH98" s="54"/>
      <c r="AI98" s="54">
        <f t="shared" si="124"/>
        <v>175880</v>
      </c>
      <c r="AJ98" s="54"/>
      <c r="AK98" s="54">
        <f t="shared" si="125"/>
        <v>175880</v>
      </c>
      <c r="AL98" s="67"/>
      <c r="AM98" s="67"/>
    </row>
    <row r="99" spans="1:39" s="20" customFormat="1" ht="21" customHeight="1">
      <c r="A99" s="58"/>
      <c r="B99" s="55"/>
      <c r="C99" s="41">
        <v>4110</v>
      </c>
      <c r="D99" s="31" t="s">
        <v>81</v>
      </c>
      <c r="E99" s="54">
        <f>511390-15000</f>
        <v>496390</v>
      </c>
      <c r="F99" s="54">
        <v>-30000</v>
      </c>
      <c r="G99" s="54">
        <f t="shared" si="110"/>
        <v>466390</v>
      </c>
      <c r="H99" s="54"/>
      <c r="I99" s="54">
        <f t="shared" si="111"/>
        <v>466390</v>
      </c>
      <c r="J99" s="54"/>
      <c r="K99" s="54">
        <f t="shared" si="112"/>
        <v>466390</v>
      </c>
      <c r="L99" s="54"/>
      <c r="M99" s="54">
        <f t="shared" si="113"/>
        <v>466390</v>
      </c>
      <c r="N99" s="54"/>
      <c r="O99" s="54">
        <f t="shared" si="114"/>
        <v>466390</v>
      </c>
      <c r="P99" s="54"/>
      <c r="Q99" s="54">
        <f t="shared" si="115"/>
        <v>466390</v>
      </c>
      <c r="R99" s="54"/>
      <c r="S99" s="54">
        <f t="shared" si="116"/>
        <v>466390</v>
      </c>
      <c r="T99" s="54"/>
      <c r="U99" s="54">
        <f t="shared" si="117"/>
        <v>466390</v>
      </c>
      <c r="V99" s="54"/>
      <c r="W99" s="54">
        <f t="shared" si="118"/>
        <v>466390</v>
      </c>
      <c r="X99" s="54"/>
      <c r="Y99" s="54">
        <f t="shared" si="119"/>
        <v>466390</v>
      </c>
      <c r="Z99" s="54">
        <v>-5000</v>
      </c>
      <c r="AA99" s="54">
        <f t="shared" si="120"/>
        <v>461390</v>
      </c>
      <c r="AB99" s="54"/>
      <c r="AC99" s="54">
        <f t="shared" si="121"/>
        <v>461390</v>
      </c>
      <c r="AD99" s="54"/>
      <c r="AE99" s="54">
        <f t="shared" si="122"/>
        <v>461390</v>
      </c>
      <c r="AF99" s="54"/>
      <c r="AG99" s="54">
        <f t="shared" si="123"/>
        <v>461390</v>
      </c>
      <c r="AH99" s="54"/>
      <c r="AI99" s="54">
        <f t="shared" si="124"/>
        <v>461390</v>
      </c>
      <c r="AJ99" s="54"/>
      <c r="AK99" s="54">
        <f t="shared" si="125"/>
        <v>461390</v>
      </c>
      <c r="AL99" s="67"/>
      <c r="AM99" s="67"/>
    </row>
    <row r="100" spans="1:39" s="20" customFormat="1" ht="21" customHeight="1">
      <c r="A100" s="58"/>
      <c r="B100" s="55"/>
      <c r="C100" s="41">
        <v>4120</v>
      </c>
      <c r="D100" s="31" t="s">
        <v>82</v>
      </c>
      <c r="E100" s="54">
        <v>91712</v>
      </c>
      <c r="F100" s="54">
        <v>-5000</v>
      </c>
      <c r="G100" s="54">
        <f t="shared" si="110"/>
        <v>86712</v>
      </c>
      <c r="H100" s="54"/>
      <c r="I100" s="54">
        <f t="shared" si="111"/>
        <v>86712</v>
      </c>
      <c r="J100" s="54"/>
      <c r="K100" s="54">
        <f t="shared" si="112"/>
        <v>86712</v>
      </c>
      <c r="L100" s="54"/>
      <c r="M100" s="54">
        <f t="shared" si="113"/>
        <v>86712</v>
      </c>
      <c r="N100" s="54"/>
      <c r="O100" s="54">
        <f t="shared" si="114"/>
        <v>86712</v>
      </c>
      <c r="P100" s="54"/>
      <c r="Q100" s="54">
        <f t="shared" si="115"/>
        <v>86712</v>
      </c>
      <c r="R100" s="54"/>
      <c r="S100" s="54">
        <f t="shared" si="116"/>
        <v>86712</v>
      </c>
      <c r="T100" s="54"/>
      <c r="U100" s="54">
        <f t="shared" si="117"/>
        <v>86712</v>
      </c>
      <c r="V100" s="54"/>
      <c r="W100" s="54">
        <f t="shared" si="118"/>
        <v>86712</v>
      </c>
      <c r="X100" s="54"/>
      <c r="Y100" s="54">
        <f t="shared" si="119"/>
        <v>86712</v>
      </c>
      <c r="Z100" s="54"/>
      <c r="AA100" s="54">
        <f t="shared" si="120"/>
        <v>86712</v>
      </c>
      <c r="AB100" s="54"/>
      <c r="AC100" s="54">
        <f t="shared" si="121"/>
        <v>86712</v>
      </c>
      <c r="AD100" s="54"/>
      <c r="AE100" s="54">
        <f t="shared" si="122"/>
        <v>86712</v>
      </c>
      <c r="AF100" s="54"/>
      <c r="AG100" s="54">
        <f t="shared" si="123"/>
        <v>86712</v>
      </c>
      <c r="AH100" s="54"/>
      <c r="AI100" s="54">
        <f t="shared" si="124"/>
        <v>86712</v>
      </c>
      <c r="AJ100" s="54"/>
      <c r="AK100" s="54">
        <f t="shared" si="125"/>
        <v>86712</v>
      </c>
      <c r="AL100" s="67"/>
      <c r="AM100" s="67"/>
    </row>
    <row r="101" spans="1:39" s="20" customFormat="1" ht="21" customHeight="1">
      <c r="A101" s="58"/>
      <c r="B101" s="55"/>
      <c r="C101" s="41">
        <v>4170</v>
      </c>
      <c r="D101" s="31" t="s">
        <v>161</v>
      </c>
      <c r="E101" s="54">
        <v>23728</v>
      </c>
      <c r="F101" s="54"/>
      <c r="G101" s="54">
        <f t="shared" si="110"/>
        <v>23728</v>
      </c>
      <c r="H101" s="54"/>
      <c r="I101" s="54">
        <f t="shared" si="111"/>
        <v>23728</v>
      </c>
      <c r="J101" s="54">
        <v>8000</v>
      </c>
      <c r="K101" s="54">
        <f t="shared" si="112"/>
        <v>31728</v>
      </c>
      <c r="L101" s="54">
        <v>10000</v>
      </c>
      <c r="M101" s="54">
        <f t="shared" si="113"/>
        <v>41728</v>
      </c>
      <c r="N101" s="54"/>
      <c r="O101" s="54">
        <f t="shared" si="114"/>
        <v>41728</v>
      </c>
      <c r="P101" s="54"/>
      <c r="Q101" s="54">
        <f t="shared" si="115"/>
        <v>41728</v>
      </c>
      <c r="R101" s="54">
        <v>2000</v>
      </c>
      <c r="S101" s="54">
        <f t="shared" si="116"/>
        <v>43728</v>
      </c>
      <c r="T101" s="54"/>
      <c r="U101" s="54">
        <f t="shared" si="117"/>
        <v>43728</v>
      </c>
      <c r="V101" s="54"/>
      <c r="W101" s="54">
        <f t="shared" si="118"/>
        <v>43728</v>
      </c>
      <c r="X101" s="54"/>
      <c r="Y101" s="54">
        <f t="shared" si="119"/>
        <v>43728</v>
      </c>
      <c r="Z101" s="54">
        <v>25000</v>
      </c>
      <c r="AA101" s="54">
        <f t="shared" si="120"/>
        <v>68728</v>
      </c>
      <c r="AB101" s="54"/>
      <c r="AC101" s="54">
        <f t="shared" si="121"/>
        <v>68728</v>
      </c>
      <c r="AD101" s="54"/>
      <c r="AE101" s="54">
        <f t="shared" si="122"/>
        <v>68728</v>
      </c>
      <c r="AF101" s="54"/>
      <c r="AG101" s="54">
        <f t="shared" si="123"/>
        <v>68728</v>
      </c>
      <c r="AH101" s="54"/>
      <c r="AI101" s="54">
        <f t="shared" si="124"/>
        <v>68728</v>
      </c>
      <c r="AJ101" s="54"/>
      <c r="AK101" s="54">
        <f t="shared" si="125"/>
        <v>68728</v>
      </c>
      <c r="AL101" s="67"/>
      <c r="AM101" s="67"/>
    </row>
    <row r="102" spans="1:37" s="20" customFormat="1" ht="21" customHeight="1">
      <c r="A102" s="58"/>
      <c r="B102" s="55"/>
      <c r="C102" s="41">
        <v>4210</v>
      </c>
      <c r="D102" s="31" t="s">
        <v>86</v>
      </c>
      <c r="E102" s="54">
        <v>216450</v>
      </c>
      <c r="F102" s="141">
        <f>-60000</f>
        <v>-60000</v>
      </c>
      <c r="G102" s="54">
        <f t="shared" si="110"/>
        <v>156450</v>
      </c>
      <c r="H102" s="141"/>
      <c r="I102" s="54">
        <f t="shared" si="111"/>
        <v>156450</v>
      </c>
      <c r="J102" s="141"/>
      <c r="K102" s="54">
        <f t="shared" si="112"/>
        <v>156450</v>
      </c>
      <c r="L102" s="141"/>
      <c r="M102" s="54">
        <f t="shared" si="113"/>
        <v>156450</v>
      </c>
      <c r="N102" s="54">
        <v>3000</v>
      </c>
      <c r="O102" s="54">
        <f t="shared" si="114"/>
        <v>159450</v>
      </c>
      <c r="P102" s="54"/>
      <c r="Q102" s="54">
        <f t="shared" si="115"/>
        <v>159450</v>
      </c>
      <c r="R102" s="54"/>
      <c r="S102" s="54">
        <f t="shared" si="116"/>
        <v>159450</v>
      </c>
      <c r="T102" s="54"/>
      <c r="U102" s="54">
        <f t="shared" si="117"/>
        <v>159450</v>
      </c>
      <c r="V102" s="54"/>
      <c r="W102" s="54">
        <f t="shared" si="118"/>
        <v>159450</v>
      </c>
      <c r="X102" s="54"/>
      <c r="Y102" s="54">
        <f t="shared" si="119"/>
        <v>159450</v>
      </c>
      <c r="Z102" s="54">
        <v>-4000</v>
      </c>
      <c r="AA102" s="54">
        <f t="shared" si="120"/>
        <v>155450</v>
      </c>
      <c r="AB102" s="54"/>
      <c r="AC102" s="54">
        <f t="shared" si="121"/>
        <v>155450</v>
      </c>
      <c r="AD102" s="54"/>
      <c r="AE102" s="54">
        <f t="shared" si="122"/>
        <v>155450</v>
      </c>
      <c r="AF102" s="54"/>
      <c r="AG102" s="54">
        <f t="shared" si="123"/>
        <v>155450</v>
      </c>
      <c r="AH102" s="54"/>
      <c r="AI102" s="54">
        <f t="shared" si="124"/>
        <v>155450</v>
      </c>
      <c r="AJ102" s="54"/>
      <c r="AK102" s="54">
        <f t="shared" si="125"/>
        <v>155450</v>
      </c>
    </row>
    <row r="103" spans="1:37" s="20" customFormat="1" ht="21" customHeight="1">
      <c r="A103" s="58"/>
      <c r="B103" s="55"/>
      <c r="C103" s="41">
        <v>4260</v>
      </c>
      <c r="D103" s="31" t="s">
        <v>88</v>
      </c>
      <c r="E103" s="54">
        <v>89200</v>
      </c>
      <c r="F103" s="54"/>
      <c r="G103" s="54">
        <f t="shared" si="110"/>
        <v>89200</v>
      </c>
      <c r="H103" s="54"/>
      <c r="I103" s="54">
        <f t="shared" si="111"/>
        <v>89200</v>
      </c>
      <c r="J103" s="54"/>
      <c r="K103" s="54">
        <f t="shared" si="112"/>
        <v>89200</v>
      </c>
      <c r="L103" s="54"/>
      <c r="M103" s="54">
        <f t="shared" si="113"/>
        <v>89200</v>
      </c>
      <c r="N103" s="54"/>
      <c r="O103" s="54">
        <f t="shared" si="114"/>
        <v>89200</v>
      </c>
      <c r="P103" s="54"/>
      <c r="Q103" s="54">
        <f t="shared" si="115"/>
        <v>89200</v>
      </c>
      <c r="R103" s="54"/>
      <c r="S103" s="54">
        <f t="shared" si="116"/>
        <v>89200</v>
      </c>
      <c r="T103" s="54"/>
      <c r="U103" s="54">
        <f t="shared" si="117"/>
        <v>89200</v>
      </c>
      <c r="V103" s="54"/>
      <c r="W103" s="54">
        <f t="shared" si="118"/>
        <v>89200</v>
      </c>
      <c r="X103" s="54"/>
      <c r="Y103" s="54">
        <f t="shared" si="119"/>
        <v>89200</v>
      </c>
      <c r="Z103" s="54">
        <v>29000</v>
      </c>
      <c r="AA103" s="54">
        <f t="shared" si="120"/>
        <v>118200</v>
      </c>
      <c r="AB103" s="54"/>
      <c r="AC103" s="54">
        <f t="shared" si="121"/>
        <v>118200</v>
      </c>
      <c r="AD103" s="54"/>
      <c r="AE103" s="54">
        <f t="shared" si="122"/>
        <v>118200</v>
      </c>
      <c r="AF103" s="54"/>
      <c r="AG103" s="54">
        <f t="shared" si="123"/>
        <v>118200</v>
      </c>
      <c r="AH103" s="54"/>
      <c r="AI103" s="54">
        <f t="shared" si="124"/>
        <v>118200</v>
      </c>
      <c r="AJ103" s="54"/>
      <c r="AK103" s="54">
        <f t="shared" si="125"/>
        <v>118200</v>
      </c>
    </row>
    <row r="104" spans="1:37" s="20" customFormat="1" ht="21" customHeight="1">
      <c r="A104" s="58"/>
      <c r="B104" s="55"/>
      <c r="C104" s="41">
        <v>4270</v>
      </c>
      <c r="D104" s="31" t="s">
        <v>74</v>
      </c>
      <c r="E104" s="54">
        <f>10000+100000+20000</f>
        <v>130000</v>
      </c>
      <c r="F104" s="54">
        <v>-80000</v>
      </c>
      <c r="G104" s="54">
        <f t="shared" si="110"/>
        <v>50000</v>
      </c>
      <c r="H104" s="54"/>
      <c r="I104" s="54">
        <f t="shared" si="111"/>
        <v>50000</v>
      </c>
      <c r="J104" s="54">
        <v>0</v>
      </c>
      <c r="K104" s="54">
        <f t="shared" si="112"/>
        <v>50000</v>
      </c>
      <c r="L104" s="54"/>
      <c r="M104" s="54">
        <f t="shared" si="113"/>
        <v>50000</v>
      </c>
      <c r="N104" s="54"/>
      <c r="O104" s="54">
        <f t="shared" si="114"/>
        <v>50000</v>
      </c>
      <c r="P104" s="54"/>
      <c r="Q104" s="54">
        <f t="shared" si="115"/>
        <v>50000</v>
      </c>
      <c r="R104" s="54"/>
      <c r="S104" s="54">
        <f t="shared" si="116"/>
        <v>50000</v>
      </c>
      <c r="T104" s="54"/>
      <c r="U104" s="54">
        <f t="shared" si="117"/>
        <v>50000</v>
      </c>
      <c r="V104" s="54"/>
      <c r="W104" s="54">
        <f t="shared" si="118"/>
        <v>50000</v>
      </c>
      <c r="X104" s="54"/>
      <c r="Y104" s="54">
        <f t="shared" si="119"/>
        <v>50000</v>
      </c>
      <c r="Z104" s="54"/>
      <c r="AA104" s="54">
        <f t="shared" si="120"/>
        <v>50000</v>
      </c>
      <c r="AB104" s="54"/>
      <c r="AC104" s="54">
        <f t="shared" si="121"/>
        <v>50000</v>
      </c>
      <c r="AD104" s="54"/>
      <c r="AE104" s="54">
        <f t="shared" si="122"/>
        <v>50000</v>
      </c>
      <c r="AF104" s="54"/>
      <c r="AG104" s="54">
        <f t="shared" si="123"/>
        <v>50000</v>
      </c>
      <c r="AH104" s="54"/>
      <c r="AI104" s="54">
        <f t="shared" si="124"/>
        <v>50000</v>
      </c>
      <c r="AJ104" s="54">
        <v>2000</v>
      </c>
      <c r="AK104" s="54">
        <f t="shared" si="125"/>
        <v>52000</v>
      </c>
    </row>
    <row r="105" spans="1:37" s="20" customFormat="1" ht="21" customHeight="1">
      <c r="A105" s="58"/>
      <c r="B105" s="55"/>
      <c r="C105" s="41">
        <v>4280</v>
      </c>
      <c r="D105" s="31" t="s">
        <v>311</v>
      </c>
      <c r="E105" s="54">
        <v>10000</v>
      </c>
      <c r="F105" s="54"/>
      <c r="G105" s="54">
        <f t="shared" si="110"/>
        <v>10000</v>
      </c>
      <c r="H105" s="54"/>
      <c r="I105" s="54">
        <f t="shared" si="111"/>
        <v>10000</v>
      </c>
      <c r="J105" s="54"/>
      <c r="K105" s="54">
        <f t="shared" si="112"/>
        <v>10000</v>
      </c>
      <c r="L105" s="54"/>
      <c r="M105" s="54">
        <f t="shared" si="113"/>
        <v>10000</v>
      </c>
      <c r="N105" s="54"/>
      <c r="O105" s="54">
        <f t="shared" si="114"/>
        <v>10000</v>
      </c>
      <c r="P105" s="54"/>
      <c r="Q105" s="54">
        <f t="shared" si="115"/>
        <v>10000</v>
      </c>
      <c r="R105" s="54"/>
      <c r="S105" s="54">
        <f t="shared" si="116"/>
        <v>10000</v>
      </c>
      <c r="T105" s="54"/>
      <c r="U105" s="54">
        <f t="shared" si="117"/>
        <v>10000</v>
      </c>
      <c r="V105" s="54"/>
      <c r="W105" s="54">
        <f t="shared" si="118"/>
        <v>10000</v>
      </c>
      <c r="X105" s="54"/>
      <c r="Y105" s="54">
        <f t="shared" si="119"/>
        <v>10000</v>
      </c>
      <c r="Z105" s="54">
        <v>1000</v>
      </c>
      <c r="AA105" s="54">
        <f t="shared" si="120"/>
        <v>11000</v>
      </c>
      <c r="AB105" s="54">
        <v>2000</v>
      </c>
      <c r="AC105" s="54">
        <f t="shared" si="121"/>
        <v>13000</v>
      </c>
      <c r="AD105" s="54"/>
      <c r="AE105" s="54">
        <f t="shared" si="122"/>
        <v>13000</v>
      </c>
      <c r="AF105" s="54"/>
      <c r="AG105" s="54">
        <f t="shared" si="123"/>
        <v>13000</v>
      </c>
      <c r="AH105" s="54"/>
      <c r="AI105" s="54">
        <f t="shared" si="124"/>
        <v>13000</v>
      </c>
      <c r="AJ105" s="54"/>
      <c r="AK105" s="54">
        <f t="shared" si="125"/>
        <v>13000</v>
      </c>
    </row>
    <row r="106" spans="1:37" s="20" customFormat="1" ht="21" customHeight="1">
      <c r="A106" s="58"/>
      <c r="B106" s="55"/>
      <c r="C106" s="41">
        <v>4300</v>
      </c>
      <c r="D106" s="31" t="s">
        <v>75</v>
      </c>
      <c r="E106" s="54">
        <v>210700</v>
      </c>
      <c r="F106" s="54"/>
      <c r="G106" s="54">
        <f t="shared" si="110"/>
        <v>210700</v>
      </c>
      <c r="H106" s="54"/>
      <c r="I106" s="54">
        <f t="shared" si="111"/>
        <v>210700</v>
      </c>
      <c r="J106" s="54">
        <v>-9000</v>
      </c>
      <c r="K106" s="54">
        <f t="shared" si="112"/>
        <v>201700</v>
      </c>
      <c r="L106" s="54"/>
      <c r="M106" s="54">
        <f t="shared" si="113"/>
        <v>201700</v>
      </c>
      <c r="N106" s="54"/>
      <c r="O106" s="54">
        <f t="shared" si="114"/>
        <v>201700</v>
      </c>
      <c r="P106" s="54"/>
      <c r="Q106" s="54">
        <f t="shared" si="115"/>
        <v>201700</v>
      </c>
      <c r="R106" s="54"/>
      <c r="S106" s="54">
        <f t="shared" si="116"/>
        <v>201700</v>
      </c>
      <c r="T106" s="54">
        <v>-1500</v>
      </c>
      <c r="U106" s="54">
        <f t="shared" si="117"/>
        <v>200200</v>
      </c>
      <c r="V106" s="54"/>
      <c r="W106" s="54">
        <f t="shared" si="118"/>
        <v>200200</v>
      </c>
      <c r="X106" s="54"/>
      <c r="Y106" s="54">
        <f t="shared" si="119"/>
        <v>200200</v>
      </c>
      <c r="Z106" s="54"/>
      <c r="AA106" s="54">
        <f t="shared" si="120"/>
        <v>200200</v>
      </c>
      <c r="AB106" s="54">
        <v>-2000</v>
      </c>
      <c r="AC106" s="54">
        <f t="shared" si="121"/>
        <v>198200</v>
      </c>
      <c r="AD106" s="54">
        <v>-6000</v>
      </c>
      <c r="AE106" s="54">
        <f t="shared" si="122"/>
        <v>192200</v>
      </c>
      <c r="AF106" s="54">
        <v>-1000</v>
      </c>
      <c r="AG106" s="54">
        <f t="shared" si="123"/>
        <v>191200</v>
      </c>
      <c r="AH106" s="54">
        <v>20000</v>
      </c>
      <c r="AI106" s="54">
        <f t="shared" si="124"/>
        <v>211200</v>
      </c>
      <c r="AJ106" s="54">
        <v>-2000</v>
      </c>
      <c r="AK106" s="54">
        <f t="shared" si="125"/>
        <v>209200</v>
      </c>
    </row>
    <row r="107" spans="1:37" s="20" customFormat="1" ht="21" customHeight="1">
      <c r="A107" s="58"/>
      <c r="B107" s="55"/>
      <c r="C107" s="41">
        <v>4350</v>
      </c>
      <c r="D107" s="31" t="s">
        <v>316</v>
      </c>
      <c r="E107" s="54">
        <v>15000</v>
      </c>
      <c r="F107" s="54"/>
      <c r="G107" s="54">
        <f t="shared" si="110"/>
        <v>15000</v>
      </c>
      <c r="H107" s="54"/>
      <c r="I107" s="54">
        <f t="shared" si="111"/>
        <v>15000</v>
      </c>
      <c r="J107" s="54"/>
      <c r="K107" s="54">
        <f t="shared" si="112"/>
        <v>15000</v>
      </c>
      <c r="L107" s="54"/>
      <c r="M107" s="54">
        <f t="shared" si="113"/>
        <v>15000</v>
      </c>
      <c r="N107" s="54"/>
      <c r="O107" s="54">
        <f t="shared" si="114"/>
        <v>15000</v>
      </c>
      <c r="P107" s="54"/>
      <c r="Q107" s="54">
        <f t="shared" si="115"/>
        <v>15000</v>
      </c>
      <c r="R107" s="54"/>
      <c r="S107" s="54">
        <f t="shared" si="116"/>
        <v>15000</v>
      </c>
      <c r="T107" s="54"/>
      <c r="U107" s="54">
        <f t="shared" si="117"/>
        <v>15000</v>
      </c>
      <c r="V107" s="54"/>
      <c r="W107" s="54">
        <f t="shared" si="118"/>
        <v>15000</v>
      </c>
      <c r="X107" s="54"/>
      <c r="Y107" s="54">
        <f t="shared" si="119"/>
        <v>15000</v>
      </c>
      <c r="Z107" s="54"/>
      <c r="AA107" s="54">
        <f t="shared" si="120"/>
        <v>15000</v>
      </c>
      <c r="AB107" s="54"/>
      <c r="AC107" s="54">
        <f t="shared" si="121"/>
        <v>15000</v>
      </c>
      <c r="AD107" s="54"/>
      <c r="AE107" s="54">
        <f t="shared" si="122"/>
        <v>15000</v>
      </c>
      <c r="AF107" s="54"/>
      <c r="AG107" s="54">
        <f t="shared" si="123"/>
        <v>15000</v>
      </c>
      <c r="AH107" s="54"/>
      <c r="AI107" s="54">
        <f t="shared" si="124"/>
        <v>15000</v>
      </c>
      <c r="AJ107" s="54"/>
      <c r="AK107" s="54">
        <f t="shared" si="125"/>
        <v>15000</v>
      </c>
    </row>
    <row r="108" spans="1:37" s="20" customFormat="1" ht="24">
      <c r="A108" s="58"/>
      <c r="B108" s="55"/>
      <c r="C108" s="41">
        <v>4360</v>
      </c>
      <c r="D108" s="31" t="s">
        <v>317</v>
      </c>
      <c r="E108" s="54">
        <v>23500</v>
      </c>
      <c r="F108" s="54"/>
      <c r="G108" s="54">
        <f t="shared" si="110"/>
        <v>23500</v>
      </c>
      <c r="H108" s="54"/>
      <c r="I108" s="54">
        <f t="shared" si="111"/>
        <v>23500</v>
      </c>
      <c r="J108" s="54"/>
      <c r="K108" s="54">
        <f t="shared" si="112"/>
        <v>23500</v>
      </c>
      <c r="L108" s="54"/>
      <c r="M108" s="54">
        <f t="shared" si="113"/>
        <v>23500</v>
      </c>
      <c r="N108" s="54"/>
      <c r="O108" s="54">
        <f t="shared" si="114"/>
        <v>23500</v>
      </c>
      <c r="P108" s="54"/>
      <c r="Q108" s="54">
        <f t="shared" si="115"/>
        <v>23500</v>
      </c>
      <c r="R108" s="54"/>
      <c r="S108" s="54">
        <f t="shared" si="116"/>
        <v>23500</v>
      </c>
      <c r="T108" s="54"/>
      <c r="U108" s="54">
        <f t="shared" si="117"/>
        <v>23500</v>
      </c>
      <c r="V108" s="54"/>
      <c r="W108" s="54">
        <f t="shared" si="118"/>
        <v>23500</v>
      </c>
      <c r="X108" s="54"/>
      <c r="Y108" s="54">
        <f t="shared" si="119"/>
        <v>23500</v>
      </c>
      <c r="Z108" s="54"/>
      <c r="AA108" s="54">
        <f t="shared" si="120"/>
        <v>23500</v>
      </c>
      <c r="AB108" s="54"/>
      <c r="AC108" s="54">
        <f t="shared" si="121"/>
        <v>23500</v>
      </c>
      <c r="AD108" s="54"/>
      <c r="AE108" s="54">
        <f t="shared" si="122"/>
        <v>23500</v>
      </c>
      <c r="AF108" s="54"/>
      <c r="AG108" s="54">
        <f t="shared" si="123"/>
        <v>23500</v>
      </c>
      <c r="AH108" s="54"/>
      <c r="AI108" s="54">
        <f t="shared" si="124"/>
        <v>23500</v>
      </c>
      <c r="AJ108" s="54"/>
      <c r="AK108" s="54">
        <f t="shared" si="125"/>
        <v>23500</v>
      </c>
    </row>
    <row r="109" spans="1:37" s="20" customFormat="1" ht="24">
      <c r="A109" s="58"/>
      <c r="B109" s="55"/>
      <c r="C109" s="41">
        <v>4370</v>
      </c>
      <c r="D109" s="31" t="s">
        <v>182</v>
      </c>
      <c r="E109" s="54">
        <v>51500</v>
      </c>
      <c r="F109" s="54"/>
      <c r="G109" s="54">
        <f t="shared" si="110"/>
        <v>51500</v>
      </c>
      <c r="H109" s="54"/>
      <c r="I109" s="54">
        <f t="shared" si="111"/>
        <v>51500</v>
      </c>
      <c r="J109" s="54"/>
      <c r="K109" s="54">
        <f t="shared" si="112"/>
        <v>51500</v>
      </c>
      <c r="L109" s="54"/>
      <c r="M109" s="54">
        <f t="shared" si="113"/>
        <v>51500</v>
      </c>
      <c r="N109" s="54"/>
      <c r="O109" s="54">
        <f t="shared" si="114"/>
        <v>51500</v>
      </c>
      <c r="P109" s="54"/>
      <c r="Q109" s="54">
        <f t="shared" si="115"/>
        <v>51500</v>
      </c>
      <c r="R109" s="54"/>
      <c r="S109" s="54">
        <f t="shared" si="116"/>
        <v>51500</v>
      </c>
      <c r="T109" s="54"/>
      <c r="U109" s="54">
        <f t="shared" si="117"/>
        <v>51500</v>
      </c>
      <c r="V109" s="54"/>
      <c r="W109" s="54">
        <f t="shared" si="118"/>
        <v>51500</v>
      </c>
      <c r="X109" s="54"/>
      <c r="Y109" s="54">
        <f t="shared" si="119"/>
        <v>51500</v>
      </c>
      <c r="Z109" s="54">
        <v>-7000</v>
      </c>
      <c r="AA109" s="54">
        <f t="shared" si="120"/>
        <v>44500</v>
      </c>
      <c r="AB109" s="54"/>
      <c r="AC109" s="54">
        <f t="shared" si="121"/>
        <v>44500</v>
      </c>
      <c r="AD109" s="54"/>
      <c r="AE109" s="54">
        <f t="shared" si="122"/>
        <v>44500</v>
      </c>
      <c r="AF109" s="54"/>
      <c r="AG109" s="54">
        <f t="shared" si="123"/>
        <v>44500</v>
      </c>
      <c r="AH109" s="54"/>
      <c r="AI109" s="54">
        <f t="shared" si="124"/>
        <v>44500</v>
      </c>
      <c r="AJ109" s="54"/>
      <c r="AK109" s="54">
        <f t="shared" si="125"/>
        <v>44500</v>
      </c>
    </row>
    <row r="110" spans="1:37" s="20" customFormat="1" ht="21" customHeight="1">
      <c r="A110" s="58"/>
      <c r="B110" s="55"/>
      <c r="C110" s="41">
        <v>4410</v>
      </c>
      <c r="D110" s="31" t="s">
        <v>85</v>
      </c>
      <c r="E110" s="54">
        <v>53200</v>
      </c>
      <c r="F110" s="54"/>
      <c r="G110" s="54">
        <f t="shared" si="110"/>
        <v>53200</v>
      </c>
      <c r="H110" s="54"/>
      <c r="I110" s="54">
        <f t="shared" si="111"/>
        <v>53200</v>
      </c>
      <c r="J110" s="54"/>
      <c r="K110" s="54">
        <f t="shared" si="112"/>
        <v>53200</v>
      </c>
      <c r="L110" s="54"/>
      <c r="M110" s="54">
        <f t="shared" si="113"/>
        <v>53200</v>
      </c>
      <c r="N110" s="54"/>
      <c r="O110" s="54">
        <f t="shared" si="114"/>
        <v>53200</v>
      </c>
      <c r="P110" s="54"/>
      <c r="Q110" s="54">
        <f t="shared" si="115"/>
        <v>53200</v>
      </c>
      <c r="R110" s="54"/>
      <c r="S110" s="54">
        <f t="shared" si="116"/>
        <v>53200</v>
      </c>
      <c r="T110" s="54"/>
      <c r="U110" s="54">
        <f t="shared" si="117"/>
        <v>53200</v>
      </c>
      <c r="V110" s="54"/>
      <c r="W110" s="54">
        <f t="shared" si="118"/>
        <v>53200</v>
      </c>
      <c r="X110" s="54"/>
      <c r="Y110" s="54">
        <f t="shared" si="119"/>
        <v>53200</v>
      </c>
      <c r="Z110" s="54"/>
      <c r="AA110" s="54">
        <f t="shared" si="120"/>
        <v>53200</v>
      </c>
      <c r="AB110" s="54"/>
      <c r="AC110" s="54">
        <f t="shared" si="121"/>
        <v>53200</v>
      </c>
      <c r="AD110" s="54"/>
      <c r="AE110" s="54">
        <f t="shared" si="122"/>
        <v>53200</v>
      </c>
      <c r="AF110" s="54"/>
      <c r="AG110" s="54">
        <f t="shared" si="123"/>
        <v>53200</v>
      </c>
      <c r="AH110" s="54"/>
      <c r="AI110" s="54">
        <f t="shared" si="124"/>
        <v>53200</v>
      </c>
      <c r="AJ110" s="54"/>
      <c r="AK110" s="54">
        <f t="shared" si="125"/>
        <v>53200</v>
      </c>
    </row>
    <row r="111" spans="1:37" s="20" customFormat="1" ht="21" customHeight="1">
      <c r="A111" s="58"/>
      <c r="B111" s="55"/>
      <c r="C111" s="58">
        <v>4420</v>
      </c>
      <c r="D111" s="31" t="s">
        <v>314</v>
      </c>
      <c r="E111" s="54">
        <v>5000</v>
      </c>
      <c r="F111" s="54"/>
      <c r="G111" s="54">
        <f t="shared" si="110"/>
        <v>5000</v>
      </c>
      <c r="H111" s="54"/>
      <c r="I111" s="54">
        <f t="shared" si="111"/>
        <v>5000</v>
      </c>
      <c r="J111" s="54"/>
      <c r="K111" s="54">
        <f t="shared" si="112"/>
        <v>5000</v>
      </c>
      <c r="L111" s="54"/>
      <c r="M111" s="54">
        <f t="shared" si="113"/>
        <v>5000</v>
      </c>
      <c r="N111" s="54"/>
      <c r="O111" s="54">
        <f t="shared" si="114"/>
        <v>5000</v>
      </c>
      <c r="P111" s="54"/>
      <c r="Q111" s="54">
        <f t="shared" si="115"/>
        <v>5000</v>
      </c>
      <c r="R111" s="54"/>
      <c r="S111" s="54">
        <f t="shared" si="116"/>
        <v>5000</v>
      </c>
      <c r="T111" s="54"/>
      <c r="U111" s="54">
        <f t="shared" si="117"/>
        <v>5000</v>
      </c>
      <c r="V111" s="54"/>
      <c r="W111" s="54">
        <f t="shared" si="118"/>
        <v>5000</v>
      </c>
      <c r="X111" s="54"/>
      <c r="Y111" s="54">
        <f t="shared" si="119"/>
        <v>5000</v>
      </c>
      <c r="Z111" s="54"/>
      <c r="AA111" s="54">
        <f t="shared" si="120"/>
        <v>5000</v>
      </c>
      <c r="AB111" s="54"/>
      <c r="AC111" s="54">
        <f t="shared" si="121"/>
        <v>5000</v>
      </c>
      <c r="AD111" s="54"/>
      <c r="AE111" s="54">
        <f t="shared" si="122"/>
        <v>5000</v>
      </c>
      <c r="AF111" s="54">
        <v>-4800</v>
      </c>
      <c r="AG111" s="54">
        <f t="shared" si="123"/>
        <v>200</v>
      </c>
      <c r="AH111" s="54"/>
      <c r="AI111" s="54">
        <f t="shared" si="124"/>
        <v>200</v>
      </c>
      <c r="AJ111" s="54"/>
      <c r="AK111" s="54">
        <f t="shared" si="125"/>
        <v>200</v>
      </c>
    </row>
    <row r="112" spans="1:37" s="20" customFormat="1" ht="21" customHeight="1">
      <c r="A112" s="58"/>
      <c r="B112" s="55"/>
      <c r="C112" s="135">
        <v>4430</v>
      </c>
      <c r="D112" s="31" t="s">
        <v>87</v>
      </c>
      <c r="E112" s="54">
        <v>63502</v>
      </c>
      <c r="F112" s="54"/>
      <c r="G112" s="54">
        <f t="shared" si="110"/>
        <v>63502</v>
      </c>
      <c r="H112" s="54"/>
      <c r="I112" s="54">
        <f t="shared" si="111"/>
        <v>63502</v>
      </c>
      <c r="J112" s="54"/>
      <c r="K112" s="54">
        <f t="shared" si="112"/>
        <v>63502</v>
      </c>
      <c r="L112" s="54">
        <v>-10000</v>
      </c>
      <c r="M112" s="54">
        <f t="shared" si="113"/>
        <v>53502</v>
      </c>
      <c r="N112" s="54">
        <v>-4000</v>
      </c>
      <c r="O112" s="54">
        <f t="shared" si="114"/>
        <v>49502</v>
      </c>
      <c r="P112" s="54"/>
      <c r="Q112" s="54">
        <f t="shared" si="115"/>
        <v>49502</v>
      </c>
      <c r="R112" s="54"/>
      <c r="S112" s="54">
        <f t="shared" si="116"/>
        <v>49502</v>
      </c>
      <c r="T112" s="54"/>
      <c r="U112" s="54">
        <f t="shared" si="117"/>
        <v>49502</v>
      </c>
      <c r="V112" s="54"/>
      <c r="W112" s="54">
        <f t="shared" si="118"/>
        <v>49502</v>
      </c>
      <c r="X112" s="54"/>
      <c r="Y112" s="54">
        <f t="shared" si="119"/>
        <v>49502</v>
      </c>
      <c r="Z112" s="54">
        <v>-6000</v>
      </c>
      <c r="AA112" s="54">
        <f t="shared" si="120"/>
        <v>43502</v>
      </c>
      <c r="AB112" s="54"/>
      <c r="AC112" s="54">
        <f t="shared" si="121"/>
        <v>43502</v>
      </c>
      <c r="AD112" s="54"/>
      <c r="AE112" s="54">
        <f t="shared" si="122"/>
        <v>43502</v>
      </c>
      <c r="AF112" s="54"/>
      <c r="AG112" s="54">
        <f t="shared" si="123"/>
        <v>43502</v>
      </c>
      <c r="AH112" s="54"/>
      <c r="AI112" s="54">
        <f t="shared" si="124"/>
        <v>43502</v>
      </c>
      <c r="AJ112" s="54"/>
      <c r="AK112" s="54">
        <f t="shared" si="125"/>
        <v>43502</v>
      </c>
    </row>
    <row r="113" spans="1:37" s="20" customFormat="1" ht="21" customHeight="1">
      <c r="A113" s="58"/>
      <c r="B113" s="55"/>
      <c r="C113" s="135">
        <v>4440</v>
      </c>
      <c r="D113" s="31" t="s">
        <v>83</v>
      </c>
      <c r="E113" s="54">
        <f>125776-5000</f>
        <v>120776</v>
      </c>
      <c r="F113" s="54"/>
      <c r="G113" s="54">
        <f t="shared" si="110"/>
        <v>120776</v>
      </c>
      <c r="H113" s="54"/>
      <c r="I113" s="54">
        <f t="shared" si="111"/>
        <v>120776</v>
      </c>
      <c r="J113" s="54"/>
      <c r="K113" s="54">
        <f t="shared" si="112"/>
        <v>120776</v>
      </c>
      <c r="L113" s="54"/>
      <c r="M113" s="54">
        <f t="shared" si="113"/>
        <v>120776</v>
      </c>
      <c r="N113" s="54"/>
      <c r="O113" s="54">
        <f t="shared" si="114"/>
        <v>120776</v>
      </c>
      <c r="P113" s="54"/>
      <c r="Q113" s="54">
        <f t="shared" si="115"/>
        <v>120776</v>
      </c>
      <c r="R113" s="54"/>
      <c r="S113" s="54">
        <f t="shared" si="116"/>
        <v>120776</v>
      </c>
      <c r="T113" s="54"/>
      <c r="U113" s="54">
        <f t="shared" si="117"/>
        <v>120776</v>
      </c>
      <c r="V113" s="54"/>
      <c r="W113" s="54">
        <f t="shared" si="118"/>
        <v>120776</v>
      </c>
      <c r="X113" s="54"/>
      <c r="Y113" s="54">
        <f t="shared" si="119"/>
        <v>120776</v>
      </c>
      <c r="Z113" s="54"/>
      <c r="AA113" s="54">
        <f t="shared" si="120"/>
        <v>120776</v>
      </c>
      <c r="AB113" s="54"/>
      <c r="AC113" s="54">
        <f t="shared" si="121"/>
        <v>120776</v>
      </c>
      <c r="AD113" s="54"/>
      <c r="AE113" s="54">
        <f t="shared" si="122"/>
        <v>120776</v>
      </c>
      <c r="AF113" s="54"/>
      <c r="AG113" s="54">
        <f t="shared" si="123"/>
        <v>120776</v>
      </c>
      <c r="AH113" s="54">
        <v>-20000</v>
      </c>
      <c r="AI113" s="54">
        <f t="shared" si="124"/>
        <v>100776</v>
      </c>
      <c r="AJ113" s="54"/>
      <c r="AK113" s="54">
        <f t="shared" si="125"/>
        <v>100776</v>
      </c>
    </row>
    <row r="114" spans="1:37" s="20" customFormat="1" ht="21" customHeight="1">
      <c r="A114" s="58"/>
      <c r="B114" s="55"/>
      <c r="C114" s="135">
        <v>4510</v>
      </c>
      <c r="D114" s="31" t="s">
        <v>307</v>
      </c>
      <c r="E114" s="54">
        <v>4000</v>
      </c>
      <c r="F114" s="54"/>
      <c r="G114" s="54">
        <f t="shared" si="110"/>
        <v>4000</v>
      </c>
      <c r="H114" s="54"/>
      <c r="I114" s="54">
        <f t="shared" si="111"/>
        <v>4000</v>
      </c>
      <c r="J114" s="54"/>
      <c r="K114" s="54">
        <f t="shared" si="112"/>
        <v>4000</v>
      </c>
      <c r="L114" s="54"/>
      <c r="M114" s="54">
        <f t="shared" si="113"/>
        <v>4000</v>
      </c>
      <c r="N114" s="54"/>
      <c r="O114" s="54">
        <f t="shared" si="114"/>
        <v>4000</v>
      </c>
      <c r="P114" s="54"/>
      <c r="Q114" s="54">
        <f t="shared" si="115"/>
        <v>4000</v>
      </c>
      <c r="R114" s="54"/>
      <c r="S114" s="54">
        <f t="shared" si="116"/>
        <v>4000</v>
      </c>
      <c r="T114" s="54"/>
      <c r="U114" s="54">
        <f t="shared" si="117"/>
        <v>4000</v>
      </c>
      <c r="V114" s="54"/>
      <c r="W114" s="54">
        <f t="shared" si="118"/>
        <v>4000</v>
      </c>
      <c r="X114" s="54"/>
      <c r="Y114" s="54">
        <f t="shared" si="119"/>
        <v>4000</v>
      </c>
      <c r="Z114" s="54">
        <v>-3500</v>
      </c>
      <c r="AA114" s="54">
        <f t="shared" si="120"/>
        <v>500</v>
      </c>
      <c r="AB114" s="54"/>
      <c r="AC114" s="54">
        <f t="shared" si="121"/>
        <v>500</v>
      </c>
      <c r="AD114" s="54"/>
      <c r="AE114" s="54">
        <f t="shared" si="122"/>
        <v>500</v>
      </c>
      <c r="AF114" s="54"/>
      <c r="AG114" s="54">
        <f t="shared" si="123"/>
        <v>500</v>
      </c>
      <c r="AH114" s="54"/>
      <c r="AI114" s="54">
        <f t="shared" si="124"/>
        <v>500</v>
      </c>
      <c r="AJ114" s="54"/>
      <c r="AK114" s="54">
        <f t="shared" si="125"/>
        <v>500</v>
      </c>
    </row>
    <row r="115" spans="1:37" s="20" customFormat="1" ht="21" customHeight="1">
      <c r="A115" s="58"/>
      <c r="B115" s="55"/>
      <c r="C115" s="135">
        <v>4580</v>
      </c>
      <c r="D115" s="31" t="s">
        <v>11</v>
      </c>
      <c r="E115" s="54"/>
      <c r="F115" s="54"/>
      <c r="G115" s="54"/>
      <c r="H115" s="54"/>
      <c r="I115" s="54">
        <v>0</v>
      </c>
      <c r="J115" s="54">
        <v>1000</v>
      </c>
      <c r="K115" s="54">
        <f t="shared" si="112"/>
        <v>1000</v>
      </c>
      <c r="L115" s="54"/>
      <c r="M115" s="54">
        <f t="shared" si="113"/>
        <v>1000</v>
      </c>
      <c r="N115" s="54"/>
      <c r="O115" s="54">
        <f t="shared" si="114"/>
        <v>1000</v>
      </c>
      <c r="P115" s="54"/>
      <c r="Q115" s="54">
        <f t="shared" si="115"/>
        <v>1000</v>
      </c>
      <c r="R115" s="54"/>
      <c r="S115" s="54">
        <f t="shared" si="116"/>
        <v>1000</v>
      </c>
      <c r="T115" s="54"/>
      <c r="U115" s="54">
        <f t="shared" si="117"/>
        <v>1000</v>
      </c>
      <c r="V115" s="54"/>
      <c r="W115" s="54">
        <f t="shared" si="118"/>
        <v>1000</v>
      </c>
      <c r="X115" s="54"/>
      <c r="Y115" s="54">
        <f t="shared" si="119"/>
        <v>1000</v>
      </c>
      <c r="Z115" s="54"/>
      <c r="AA115" s="54">
        <f t="shared" si="120"/>
        <v>1000</v>
      </c>
      <c r="AB115" s="54"/>
      <c r="AC115" s="54">
        <f t="shared" si="121"/>
        <v>1000</v>
      </c>
      <c r="AD115" s="54"/>
      <c r="AE115" s="54">
        <f t="shared" si="122"/>
        <v>1000</v>
      </c>
      <c r="AF115" s="54"/>
      <c r="AG115" s="54">
        <f t="shared" si="123"/>
        <v>1000</v>
      </c>
      <c r="AH115" s="54"/>
      <c r="AI115" s="54">
        <f t="shared" si="124"/>
        <v>1000</v>
      </c>
      <c r="AJ115" s="54"/>
      <c r="AK115" s="54">
        <f t="shared" si="125"/>
        <v>1000</v>
      </c>
    </row>
    <row r="116" spans="1:37" s="20" customFormat="1" ht="24">
      <c r="A116" s="58"/>
      <c r="B116" s="55"/>
      <c r="C116" s="135">
        <v>4700</v>
      </c>
      <c r="D116" s="31" t="s">
        <v>193</v>
      </c>
      <c r="E116" s="54">
        <v>31000</v>
      </c>
      <c r="F116" s="54"/>
      <c r="G116" s="54">
        <f t="shared" si="110"/>
        <v>31000</v>
      </c>
      <c r="H116" s="54"/>
      <c r="I116" s="54">
        <f t="shared" si="111"/>
        <v>31000</v>
      </c>
      <c r="J116" s="54"/>
      <c r="K116" s="54">
        <f t="shared" si="112"/>
        <v>31000</v>
      </c>
      <c r="L116" s="54"/>
      <c r="M116" s="54">
        <f t="shared" si="113"/>
        <v>31000</v>
      </c>
      <c r="N116" s="54"/>
      <c r="O116" s="54">
        <f t="shared" si="114"/>
        <v>31000</v>
      </c>
      <c r="P116" s="54"/>
      <c r="Q116" s="54">
        <f t="shared" si="115"/>
        <v>31000</v>
      </c>
      <c r="R116" s="54"/>
      <c r="S116" s="54">
        <f t="shared" si="116"/>
        <v>31000</v>
      </c>
      <c r="T116" s="54"/>
      <c r="U116" s="54">
        <f t="shared" si="117"/>
        <v>31000</v>
      </c>
      <c r="V116" s="54"/>
      <c r="W116" s="54">
        <f t="shared" si="118"/>
        <v>31000</v>
      </c>
      <c r="X116" s="54"/>
      <c r="Y116" s="54">
        <f t="shared" si="119"/>
        <v>31000</v>
      </c>
      <c r="Z116" s="54">
        <v>5000</v>
      </c>
      <c r="AA116" s="54">
        <f t="shared" si="120"/>
        <v>36000</v>
      </c>
      <c r="AB116" s="54"/>
      <c r="AC116" s="54">
        <f t="shared" si="121"/>
        <v>36000</v>
      </c>
      <c r="AD116" s="54"/>
      <c r="AE116" s="54">
        <f t="shared" si="122"/>
        <v>36000</v>
      </c>
      <c r="AF116" s="54">
        <v>5800</v>
      </c>
      <c r="AG116" s="54">
        <f t="shared" si="123"/>
        <v>41800</v>
      </c>
      <c r="AH116" s="54"/>
      <c r="AI116" s="54">
        <f t="shared" si="124"/>
        <v>41800</v>
      </c>
      <c r="AJ116" s="54"/>
      <c r="AK116" s="54">
        <f t="shared" si="125"/>
        <v>41800</v>
      </c>
    </row>
    <row r="117" spans="1:37" s="20" customFormat="1" ht="36">
      <c r="A117" s="58"/>
      <c r="B117" s="55"/>
      <c r="C117" s="135">
        <v>4740</v>
      </c>
      <c r="D117" s="31" t="s">
        <v>183</v>
      </c>
      <c r="E117" s="54">
        <v>20000</v>
      </c>
      <c r="F117" s="54"/>
      <c r="G117" s="54">
        <f t="shared" si="110"/>
        <v>20000</v>
      </c>
      <c r="H117" s="54"/>
      <c r="I117" s="54">
        <f t="shared" si="111"/>
        <v>20000</v>
      </c>
      <c r="J117" s="54"/>
      <c r="K117" s="54">
        <f t="shared" si="112"/>
        <v>20000</v>
      </c>
      <c r="L117" s="54"/>
      <c r="M117" s="54">
        <f t="shared" si="113"/>
        <v>20000</v>
      </c>
      <c r="N117" s="54"/>
      <c r="O117" s="54">
        <f t="shared" si="114"/>
        <v>20000</v>
      </c>
      <c r="P117" s="54"/>
      <c r="Q117" s="54">
        <f t="shared" si="115"/>
        <v>20000</v>
      </c>
      <c r="R117" s="54"/>
      <c r="S117" s="54">
        <f t="shared" si="116"/>
        <v>20000</v>
      </c>
      <c r="T117" s="54"/>
      <c r="U117" s="54">
        <f t="shared" si="117"/>
        <v>20000</v>
      </c>
      <c r="V117" s="54"/>
      <c r="W117" s="54">
        <f t="shared" si="118"/>
        <v>20000</v>
      </c>
      <c r="X117" s="54"/>
      <c r="Y117" s="54">
        <f t="shared" si="119"/>
        <v>20000</v>
      </c>
      <c r="Z117" s="54"/>
      <c r="AA117" s="54">
        <f t="shared" si="120"/>
        <v>20000</v>
      </c>
      <c r="AB117" s="54"/>
      <c r="AC117" s="54">
        <f t="shared" si="121"/>
        <v>20000</v>
      </c>
      <c r="AD117" s="54"/>
      <c r="AE117" s="54">
        <f t="shared" si="122"/>
        <v>20000</v>
      </c>
      <c r="AF117" s="54"/>
      <c r="AG117" s="54">
        <f t="shared" si="123"/>
        <v>20000</v>
      </c>
      <c r="AH117" s="54"/>
      <c r="AI117" s="54">
        <f t="shared" si="124"/>
        <v>20000</v>
      </c>
      <c r="AJ117" s="54"/>
      <c r="AK117" s="54">
        <f t="shared" si="125"/>
        <v>20000</v>
      </c>
    </row>
    <row r="118" spans="1:37" s="20" customFormat="1" ht="24">
      <c r="A118" s="58"/>
      <c r="B118" s="55"/>
      <c r="C118" s="135">
        <v>4750</v>
      </c>
      <c r="D118" s="31" t="s">
        <v>305</v>
      </c>
      <c r="E118" s="54">
        <v>38000</v>
      </c>
      <c r="F118" s="54"/>
      <c r="G118" s="54">
        <f t="shared" si="110"/>
        <v>38000</v>
      </c>
      <c r="H118" s="54"/>
      <c r="I118" s="54">
        <f t="shared" si="111"/>
        <v>38000</v>
      </c>
      <c r="J118" s="54"/>
      <c r="K118" s="54">
        <f t="shared" si="112"/>
        <v>38000</v>
      </c>
      <c r="L118" s="54"/>
      <c r="M118" s="54">
        <f t="shared" si="113"/>
        <v>38000</v>
      </c>
      <c r="N118" s="54"/>
      <c r="O118" s="54">
        <f t="shared" si="114"/>
        <v>38000</v>
      </c>
      <c r="P118" s="54"/>
      <c r="Q118" s="54">
        <f t="shared" si="115"/>
        <v>38000</v>
      </c>
      <c r="R118" s="54"/>
      <c r="S118" s="54">
        <f t="shared" si="116"/>
        <v>38000</v>
      </c>
      <c r="T118" s="54"/>
      <c r="U118" s="54">
        <f t="shared" si="117"/>
        <v>38000</v>
      </c>
      <c r="V118" s="54"/>
      <c r="W118" s="54">
        <f t="shared" si="118"/>
        <v>38000</v>
      </c>
      <c r="X118" s="54"/>
      <c r="Y118" s="54">
        <f t="shared" si="119"/>
        <v>38000</v>
      </c>
      <c r="Z118" s="54">
        <v>4387</v>
      </c>
      <c r="AA118" s="54">
        <f t="shared" si="120"/>
        <v>42387</v>
      </c>
      <c r="AB118" s="54"/>
      <c r="AC118" s="54">
        <f t="shared" si="121"/>
        <v>42387</v>
      </c>
      <c r="AD118" s="54"/>
      <c r="AE118" s="54">
        <f t="shared" si="122"/>
        <v>42387</v>
      </c>
      <c r="AF118" s="54"/>
      <c r="AG118" s="54">
        <f t="shared" si="123"/>
        <v>42387</v>
      </c>
      <c r="AH118" s="54"/>
      <c r="AI118" s="54">
        <f t="shared" si="124"/>
        <v>42387</v>
      </c>
      <c r="AJ118" s="54"/>
      <c r="AK118" s="54">
        <f t="shared" si="125"/>
        <v>42387</v>
      </c>
    </row>
    <row r="119" spans="1:41" s="20" customFormat="1" ht="24">
      <c r="A119" s="58"/>
      <c r="B119" s="55"/>
      <c r="C119" s="135">
        <v>6060</v>
      </c>
      <c r="D119" s="31" t="s">
        <v>89</v>
      </c>
      <c r="E119" s="54">
        <v>135000</v>
      </c>
      <c r="F119" s="54">
        <v>-40000</v>
      </c>
      <c r="G119" s="54">
        <f t="shared" si="110"/>
        <v>95000</v>
      </c>
      <c r="H119" s="54"/>
      <c r="I119" s="54">
        <f t="shared" si="111"/>
        <v>95000</v>
      </c>
      <c r="J119" s="54"/>
      <c r="K119" s="54">
        <f t="shared" si="112"/>
        <v>95000</v>
      </c>
      <c r="L119" s="54"/>
      <c r="M119" s="54">
        <f t="shared" si="113"/>
        <v>95000</v>
      </c>
      <c r="N119" s="54"/>
      <c r="O119" s="54">
        <f t="shared" si="114"/>
        <v>95000</v>
      </c>
      <c r="P119" s="54"/>
      <c r="Q119" s="54">
        <f t="shared" si="115"/>
        <v>95000</v>
      </c>
      <c r="R119" s="54"/>
      <c r="S119" s="54">
        <f t="shared" si="116"/>
        <v>95000</v>
      </c>
      <c r="T119" s="54"/>
      <c r="U119" s="54">
        <f t="shared" si="117"/>
        <v>95000</v>
      </c>
      <c r="V119" s="54"/>
      <c r="W119" s="54">
        <f t="shared" si="118"/>
        <v>95000</v>
      </c>
      <c r="X119" s="54"/>
      <c r="Y119" s="54">
        <f t="shared" si="119"/>
        <v>95000</v>
      </c>
      <c r="Z119" s="54">
        <v>-67887</v>
      </c>
      <c r="AA119" s="54">
        <f t="shared" si="120"/>
        <v>27113</v>
      </c>
      <c r="AB119" s="54"/>
      <c r="AC119" s="54">
        <f t="shared" si="121"/>
        <v>27113</v>
      </c>
      <c r="AD119" s="54"/>
      <c r="AE119" s="54">
        <f t="shared" si="122"/>
        <v>27113</v>
      </c>
      <c r="AF119" s="54"/>
      <c r="AG119" s="54">
        <f t="shared" si="123"/>
        <v>27113</v>
      </c>
      <c r="AH119" s="54"/>
      <c r="AI119" s="54">
        <f t="shared" si="124"/>
        <v>27113</v>
      </c>
      <c r="AJ119" s="54"/>
      <c r="AK119" s="54">
        <f t="shared" si="125"/>
        <v>27113</v>
      </c>
      <c r="AN119" s="67"/>
      <c r="AO119" s="67"/>
    </row>
    <row r="120" spans="1:37" s="20" customFormat="1" ht="24">
      <c r="A120" s="58"/>
      <c r="B120" s="55">
        <v>75075</v>
      </c>
      <c r="C120" s="58"/>
      <c r="D120" s="31" t="s">
        <v>318</v>
      </c>
      <c r="E120" s="54">
        <f aca="true" t="shared" si="126" ref="E120:W120">SUM(E121:E132)</f>
        <v>501460</v>
      </c>
      <c r="F120" s="54">
        <f t="shared" si="126"/>
        <v>-301500</v>
      </c>
      <c r="G120" s="54">
        <f t="shared" si="126"/>
        <v>199960</v>
      </c>
      <c r="H120" s="54">
        <f t="shared" si="126"/>
        <v>0</v>
      </c>
      <c r="I120" s="54">
        <f t="shared" si="126"/>
        <v>199960</v>
      </c>
      <c r="J120" s="54">
        <f t="shared" si="126"/>
        <v>0</v>
      </c>
      <c r="K120" s="54">
        <f t="shared" si="126"/>
        <v>199960</v>
      </c>
      <c r="L120" s="54">
        <f t="shared" si="126"/>
        <v>0</v>
      </c>
      <c r="M120" s="54">
        <f t="shared" si="126"/>
        <v>199960</v>
      </c>
      <c r="N120" s="54">
        <f t="shared" si="126"/>
        <v>7000</v>
      </c>
      <c r="O120" s="54">
        <f t="shared" si="126"/>
        <v>206960</v>
      </c>
      <c r="P120" s="54">
        <f t="shared" si="126"/>
        <v>0</v>
      </c>
      <c r="Q120" s="54">
        <f t="shared" si="126"/>
        <v>206960</v>
      </c>
      <c r="R120" s="54">
        <f t="shared" si="126"/>
        <v>0</v>
      </c>
      <c r="S120" s="54">
        <f t="shared" si="126"/>
        <v>206960</v>
      </c>
      <c r="T120" s="54">
        <f t="shared" si="126"/>
        <v>0</v>
      </c>
      <c r="U120" s="54">
        <f t="shared" si="126"/>
        <v>206960</v>
      </c>
      <c r="V120" s="54">
        <f t="shared" si="126"/>
        <v>0</v>
      </c>
      <c r="W120" s="54">
        <f t="shared" si="126"/>
        <v>206960</v>
      </c>
      <c r="X120" s="54">
        <f aca="true" t="shared" si="127" ref="X120:AC120">SUM(X121:X132)</f>
        <v>0</v>
      </c>
      <c r="Y120" s="54">
        <f t="shared" si="127"/>
        <v>206960</v>
      </c>
      <c r="Z120" s="54">
        <f t="shared" si="127"/>
        <v>0</v>
      </c>
      <c r="AA120" s="54">
        <f t="shared" si="127"/>
        <v>206960</v>
      </c>
      <c r="AB120" s="54">
        <f t="shared" si="127"/>
        <v>0</v>
      </c>
      <c r="AC120" s="54">
        <f t="shared" si="127"/>
        <v>206960</v>
      </c>
      <c r="AD120" s="54">
        <f aca="true" t="shared" si="128" ref="AD120:AI120">SUM(AD121:AD132)</f>
        <v>-3000</v>
      </c>
      <c r="AE120" s="54">
        <f t="shared" si="128"/>
        <v>203960</v>
      </c>
      <c r="AF120" s="54">
        <f t="shared" si="128"/>
        <v>0</v>
      </c>
      <c r="AG120" s="54">
        <f t="shared" si="128"/>
        <v>203960</v>
      </c>
      <c r="AH120" s="54">
        <f t="shared" si="128"/>
        <v>0</v>
      </c>
      <c r="AI120" s="54">
        <f t="shared" si="128"/>
        <v>203960</v>
      </c>
      <c r="AJ120" s="54">
        <f>SUM(AJ121:AJ132)</f>
        <v>0</v>
      </c>
      <c r="AK120" s="54">
        <f>SUM(AK121:AK132)</f>
        <v>203960</v>
      </c>
    </row>
    <row r="121" spans="1:37" s="20" customFormat="1" ht="24">
      <c r="A121" s="58"/>
      <c r="B121" s="55"/>
      <c r="C121" s="58">
        <v>3020</v>
      </c>
      <c r="D121" s="31" t="s">
        <v>159</v>
      </c>
      <c r="E121" s="54">
        <v>12000</v>
      </c>
      <c r="F121" s="54">
        <v>-4000</v>
      </c>
      <c r="G121" s="54">
        <f aca="true" t="shared" si="129" ref="G121:G132">SUM(E121:F121)</f>
        <v>8000</v>
      </c>
      <c r="H121" s="54"/>
      <c r="I121" s="54">
        <f aca="true" t="shared" si="130" ref="I121:I132">SUM(G121:H121)</f>
        <v>8000</v>
      </c>
      <c r="J121" s="54"/>
      <c r="K121" s="54">
        <f aca="true" t="shared" si="131" ref="K121:K132">SUM(I121:J121)</f>
        <v>8000</v>
      </c>
      <c r="L121" s="54"/>
      <c r="M121" s="54">
        <f aca="true" t="shared" si="132" ref="M121:M132">SUM(K121:L121)</f>
        <v>8000</v>
      </c>
      <c r="N121" s="54"/>
      <c r="O121" s="54">
        <f aca="true" t="shared" si="133" ref="O121:O132">SUM(M121:N121)</f>
        <v>8000</v>
      </c>
      <c r="P121" s="54"/>
      <c r="Q121" s="54">
        <f aca="true" t="shared" si="134" ref="Q121:Q132">SUM(O121:P121)</f>
        <v>8000</v>
      </c>
      <c r="R121" s="54"/>
      <c r="S121" s="54">
        <f aca="true" t="shared" si="135" ref="S121:S132">SUM(Q121:R121)</f>
        <v>8000</v>
      </c>
      <c r="T121" s="54"/>
      <c r="U121" s="54">
        <f aca="true" t="shared" si="136" ref="U121:U132">SUM(S121:T121)</f>
        <v>8000</v>
      </c>
      <c r="V121" s="54"/>
      <c r="W121" s="54">
        <f aca="true" t="shared" si="137" ref="W121:W132">SUM(U121:V121)</f>
        <v>8000</v>
      </c>
      <c r="X121" s="54"/>
      <c r="Y121" s="54">
        <f aca="true" t="shared" si="138" ref="Y121:Y132">SUM(W121:X121)</f>
        <v>8000</v>
      </c>
      <c r="Z121" s="54"/>
      <c r="AA121" s="54">
        <f aca="true" t="shared" si="139" ref="AA121:AA132">SUM(Y121:Z121)</f>
        <v>8000</v>
      </c>
      <c r="AB121" s="54"/>
      <c r="AC121" s="54">
        <f aca="true" t="shared" si="140" ref="AC121:AC132">SUM(AA121:AB121)</f>
        <v>8000</v>
      </c>
      <c r="AD121" s="54"/>
      <c r="AE121" s="54">
        <f aca="true" t="shared" si="141" ref="AE121:AE132">SUM(AC121:AD121)</f>
        <v>8000</v>
      </c>
      <c r="AF121" s="54"/>
      <c r="AG121" s="54">
        <f aca="true" t="shared" si="142" ref="AG121:AG132">SUM(AE121:AF121)</f>
        <v>8000</v>
      </c>
      <c r="AH121" s="54"/>
      <c r="AI121" s="54">
        <f aca="true" t="shared" si="143" ref="AI121:AI132">SUM(AG121:AH121)</f>
        <v>8000</v>
      </c>
      <c r="AJ121" s="54"/>
      <c r="AK121" s="54">
        <f aca="true" t="shared" si="144" ref="AK121:AK132">SUM(AI121:AJ121)</f>
        <v>8000</v>
      </c>
    </row>
    <row r="122" spans="1:39" s="20" customFormat="1" ht="21" customHeight="1">
      <c r="A122" s="58"/>
      <c r="B122" s="55"/>
      <c r="C122" s="58">
        <v>4110</v>
      </c>
      <c r="D122" s="31" t="s">
        <v>81</v>
      </c>
      <c r="E122" s="54">
        <v>1000</v>
      </c>
      <c r="F122" s="54"/>
      <c r="G122" s="54">
        <f t="shared" si="129"/>
        <v>1000</v>
      </c>
      <c r="H122" s="54"/>
      <c r="I122" s="54">
        <f t="shared" si="130"/>
        <v>1000</v>
      </c>
      <c r="J122" s="54"/>
      <c r="K122" s="54">
        <f t="shared" si="131"/>
        <v>1000</v>
      </c>
      <c r="L122" s="54"/>
      <c r="M122" s="54">
        <f t="shared" si="132"/>
        <v>1000</v>
      </c>
      <c r="N122" s="54"/>
      <c r="O122" s="54">
        <f t="shared" si="133"/>
        <v>1000</v>
      </c>
      <c r="P122" s="54"/>
      <c r="Q122" s="54">
        <f t="shared" si="134"/>
        <v>1000</v>
      </c>
      <c r="R122" s="54"/>
      <c r="S122" s="54">
        <f t="shared" si="135"/>
        <v>1000</v>
      </c>
      <c r="T122" s="54"/>
      <c r="U122" s="54">
        <f t="shared" si="136"/>
        <v>1000</v>
      </c>
      <c r="V122" s="54"/>
      <c r="W122" s="54">
        <f t="shared" si="137"/>
        <v>1000</v>
      </c>
      <c r="X122" s="54"/>
      <c r="Y122" s="54">
        <f t="shared" si="138"/>
        <v>1000</v>
      </c>
      <c r="Z122" s="54">
        <v>-800</v>
      </c>
      <c r="AA122" s="54">
        <f t="shared" si="139"/>
        <v>200</v>
      </c>
      <c r="AB122" s="54"/>
      <c r="AC122" s="54">
        <f t="shared" si="140"/>
        <v>200</v>
      </c>
      <c r="AD122" s="54"/>
      <c r="AE122" s="54">
        <f t="shared" si="141"/>
        <v>200</v>
      </c>
      <c r="AF122" s="54"/>
      <c r="AG122" s="54">
        <f t="shared" si="142"/>
        <v>200</v>
      </c>
      <c r="AH122" s="54"/>
      <c r="AI122" s="54">
        <f t="shared" si="143"/>
        <v>200</v>
      </c>
      <c r="AJ122" s="54"/>
      <c r="AK122" s="54">
        <f t="shared" si="144"/>
        <v>200</v>
      </c>
      <c r="AL122" s="67"/>
      <c r="AM122" s="67"/>
    </row>
    <row r="123" spans="1:39" s="20" customFormat="1" ht="21" customHeight="1">
      <c r="A123" s="58"/>
      <c r="B123" s="55"/>
      <c r="C123" s="58">
        <v>4120</v>
      </c>
      <c r="D123" s="31" t="s">
        <v>82</v>
      </c>
      <c r="E123" s="54">
        <v>100</v>
      </c>
      <c r="F123" s="54"/>
      <c r="G123" s="54">
        <f t="shared" si="129"/>
        <v>100</v>
      </c>
      <c r="H123" s="54"/>
      <c r="I123" s="54">
        <f t="shared" si="130"/>
        <v>100</v>
      </c>
      <c r="J123" s="54"/>
      <c r="K123" s="54">
        <f t="shared" si="131"/>
        <v>100</v>
      </c>
      <c r="L123" s="54"/>
      <c r="M123" s="54">
        <f t="shared" si="132"/>
        <v>100</v>
      </c>
      <c r="N123" s="54"/>
      <c r="O123" s="54">
        <f t="shared" si="133"/>
        <v>100</v>
      </c>
      <c r="P123" s="54"/>
      <c r="Q123" s="54">
        <f t="shared" si="134"/>
        <v>100</v>
      </c>
      <c r="R123" s="54"/>
      <c r="S123" s="54">
        <f t="shared" si="135"/>
        <v>100</v>
      </c>
      <c r="T123" s="54"/>
      <c r="U123" s="54">
        <f t="shared" si="136"/>
        <v>100</v>
      </c>
      <c r="V123" s="54"/>
      <c r="W123" s="54">
        <f t="shared" si="137"/>
        <v>100</v>
      </c>
      <c r="X123" s="54"/>
      <c r="Y123" s="54">
        <f t="shared" si="138"/>
        <v>100</v>
      </c>
      <c r="Z123" s="54">
        <v>-70</v>
      </c>
      <c r="AA123" s="54">
        <f t="shared" si="139"/>
        <v>30</v>
      </c>
      <c r="AB123" s="54"/>
      <c r="AC123" s="54">
        <f t="shared" si="140"/>
        <v>30</v>
      </c>
      <c r="AD123" s="54"/>
      <c r="AE123" s="54">
        <f t="shared" si="141"/>
        <v>30</v>
      </c>
      <c r="AF123" s="54"/>
      <c r="AG123" s="54">
        <f t="shared" si="142"/>
        <v>30</v>
      </c>
      <c r="AH123" s="54"/>
      <c r="AI123" s="54">
        <f t="shared" si="143"/>
        <v>30</v>
      </c>
      <c r="AJ123" s="54"/>
      <c r="AK123" s="54">
        <f t="shared" si="144"/>
        <v>30</v>
      </c>
      <c r="AL123" s="67"/>
      <c r="AM123" s="67"/>
    </row>
    <row r="124" spans="1:39" s="20" customFormat="1" ht="21" customHeight="1">
      <c r="A124" s="58"/>
      <c r="B124" s="55"/>
      <c r="C124" s="58">
        <v>4170</v>
      </c>
      <c r="D124" s="31" t="s">
        <v>161</v>
      </c>
      <c r="E124" s="54">
        <v>6000</v>
      </c>
      <c r="F124" s="54"/>
      <c r="G124" s="54">
        <f t="shared" si="129"/>
        <v>6000</v>
      </c>
      <c r="H124" s="54"/>
      <c r="I124" s="54">
        <f t="shared" si="130"/>
        <v>6000</v>
      </c>
      <c r="J124" s="54"/>
      <c r="K124" s="54">
        <f t="shared" si="131"/>
        <v>6000</v>
      </c>
      <c r="L124" s="54"/>
      <c r="M124" s="54">
        <f t="shared" si="132"/>
        <v>6000</v>
      </c>
      <c r="N124" s="54"/>
      <c r="O124" s="54">
        <f t="shared" si="133"/>
        <v>6000</v>
      </c>
      <c r="P124" s="54"/>
      <c r="Q124" s="54">
        <f t="shared" si="134"/>
        <v>6000</v>
      </c>
      <c r="R124" s="54"/>
      <c r="S124" s="54">
        <f t="shared" si="135"/>
        <v>6000</v>
      </c>
      <c r="T124" s="54"/>
      <c r="U124" s="54">
        <f t="shared" si="136"/>
        <v>6000</v>
      </c>
      <c r="V124" s="54"/>
      <c r="W124" s="54">
        <f t="shared" si="137"/>
        <v>6000</v>
      </c>
      <c r="X124" s="54"/>
      <c r="Y124" s="54">
        <f t="shared" si="138"/>
        <v>6000</v>
      </c>
      <c r="Z124" s="54">
        <v>870</v>
      </c>
      <c r="AA124" s="54">
        <f t="shared" si="139"/>
        <v>6870</v>
      </c>
      <c r="AB124" s="54"/>
      <c r="AC124" s="54">
        <f t="shared" si="140"/>
        <v>6870</v>
      </c>
      <c r="AD124" s="54"/>
      <c r="AE124" s="54">
        <f t="shared" si="141"/>
        <v>6870</v>
      </c>
      <c r="AF124" s="54"/>
      <c r="AG124" s="54">
        <f t="shared" si="142"/>
        <v>6870</v>
      </c>
      <c r="AH124" s="54"/>
      <c r="AI124" s="54">
        <f t="shared" si="143"/>
        <v>6870</v>
      </c>
      <c r="AJ124" s="54"/>
      <c r="AK124" s="54">
        <f t="shared" si="144"/>
        <v>6870</v>
      </c>
      <c r="AL124" s="67"/>
      <c r="AM124" s="67"/>
    </row>
    <row r="125" spans="1:37" s="20" customFormat="1" ht="21" customHeight="1">
      <c r="A125" s="58"/>
      <c r="B125" s="55"/>
      <c r="C125" s="58">
        <v>4210</v>
      </c>
      <c r="D125" s="31" t="s">
        <v>86</v>
      </c>
      <c r="E125" s="54">
        <v>190000</v>
      </c>
      <c r="F125" s="54">
        <v>-115000</v>
      </c>
      <c r="G125" s="54">
        <f t="shared" si="129"/>
        <v>75000</v>
      </c>
      <c r="H125" s="54"/>
      <c r="I125" s="54">
        <f t="shared" si="130"/>
        <v>75000</v>
      </c>
      <c r="J125" s="54"/>
      <c r="K125" s="54">
        <f t="shared" si="131"/>
        <v>75000</v>
      </c>
      <c r="L125" s="54"/>
      <c r="M125" s="54">
        <f t="shared" si="132"/>
        <v>75000</v>
      </c>
      <c r="N125" s="54"/>
      <c r="O125" s="54">
        <f t="shared" si="133"/>
        <v>75000</v>
      </c>
      <c r="P125" s="54"/>
      <c r="Q125" s="54">
        <f t="shared" si="134"/>
        <v>75000</v>
      </c>
      <c r="R125" s="54"/>
      <c r="S125" s="54">
        <f t="shared" si="135"/>
        <v>75000</v>
      </c>
      <c r="T125" s="54"/>
      <c r="U125" s="54">
        <f t="shared" si="136"/>
        <v>75000</v>
      </c>
      <c r="V125" s="54"/>
      <c r="W125" s="54">
        <f t="shared" si="137"/>
        <v>75000</v>
      </c>
      <c r="X125" s="54">
        <v>-3000</v>
      </c>
      <c r="Y125" s="54">
        <f t="shared" si="138"/>
        <v>72000</v>
      </c>
      <c r="Z125" s="54"/>
      <c r="AA125" s="54">
        <f t="shared" si="139"/>
        <v>72000</v>
      </c>
      <c r="AB125" s="54"/>
      <c r="AC125" s="54">
        <f t="shared" si="140"/>
        <v>72000</v>
      </c>
      <c r="AD125" s="54"/>
      <c r="AE125" s="54">
        <f t="shared" si="141"/>
        <v>72000</v>
      </c>
      <c r="AF125" s="54">
        <v>-10000</v>
      </c>
      <c r="AG125" s="54">
        <f t="shared" si="142"/>
        <v>62000</v>
      </c>
      <c r="AH125" s="54"/>
      <c r="AI125" s="54">
        <f t="shared" si="143"/>
        <v>62000</v>
      </c>
      <c r="AJ125" s="54">
        <v>-3000</v>
      </c>
      <c r="AK125" s="54">
        <f t="shared" si="144"/>
        <v>59000</v>
      </c>
    </row>
    <row r="126" spans="1:37" s="20" customFormat="1" ht="21" customHeight="1">
      <c r="A126" s="58"/>
      <c r="B126" s="55"/>
      <c r="C126" s="41">
        <v>4300</v>
      </c>
      <c r="D126" s="31" t="s">
        <v>75</v>
      </c>
      <c r="E126" s="54">
        <f>268360+3000</f>
        <v>271360</v>
      </c>
      <c r="F126" s="141">
        <v>-175000</v>
      </c>
      <c r="G126" s="54">
        <f t="shared" si="129"/>
        <v>96360</v>
      </c>
      <c r="H126" s="141"/>
      <c r="I126" s="54">
        <f t="shared" si="130"/>
        <v>96360</v>
      </c>
      <c r="J126" s="141"/>
      <c r="K126" s="54">
        <f t="shared" si="131"/>
        <v>96360</v>
      </c>
      <c r="L126" s="141"/>
      <c r="M126" s="54">
        <f t="shared" si="132"/>
        <v>96360</v>
      </c>
      <c r="N126" s="54">
        <v>7000</v>
      </c>
      <c r="O126" s="54">
        <f t="shared" si="133"/>
        <v>103360</v>
      </c>
      <c r="P126" s="54"/>
      <c r="Q126" s="54">
        <f t="shared" si="134"/>
        <v>103360</v>
      </c>
      <c r="R126" s="54"/>
      <c r="S126" s="54">
        <f t="shared" si="135"/>
        <v>103360</v>
      </c>
      <c r="T126" s="54"/>
      <c r="U126" s="54">
        <f t="shared" si="136"/>
        <v>103360</v>
      </c>
      <c r="V126" s="54"/>
      <c r="W126" s="54">
        <f t="shared" si="137"/>
        <v>103360</v>
      </c>
      <c r="X126" s="54"/>
      <c r="Y126" s="54">
        <f t="shared" si="138"/>
        <v>103360</v>
      </c>
      <c r="Z126" s="54"/>
      <c r="AA126" s="54">
        <f t="shared" si="139"/>
        <v>103360</v>
      </c>
      <c r="AB126" s="54"/>
      <c r="AC126" s="54">
        <f t="shared" si="140"/>
        <v>103360</v>
      </c>
      <c r="AD126" s="141">
        <f>5000-3000</f>
        <v>2000</v>
      </c>
      <c r="AE126" s="54">
        <f t="shared" si="141"/>
        <v>105360</v>
      </c>
      <c r="AF126" s="54">
        <v>10000</v>
      </c>
      <c r="AG126" s="54">
        <f t="shared" si="142"/>
        <v>115360</v>
      </c>
      <c r="AH126" s="54"/>
      <c r="AI126" s="54">
        <f t="shared" si="143"/>
        <v>115360</v>
      </c>
      <c r="AJ126" s="54">
        <v>3000</v>
      </c>
      <c r="AK126" s="54">
        <f t="shared" si="144"/>
        <v>118360</v>
      </c>
    </row>
    <row r="127" spans="1:37" s="20" customFormat="1" ht="21" customHeight="1">
      <c r="A127" s="58"/>
      <c r="B127" s="55"/>
      <c r="C127" s="41">
        <v>4350</v>
      </c>
      <c r="D127" s="31" t="s">
        <v>169</v>
      </c>
      <c r="E127" s="54">
        <v>5000</v>
      </c>
      <c r="F127" s="54">
        <v>-4000</v>
      </c>
      <c r="G127" s="54">
        <f t="shared" si="129"/>
        <v>1000</v>
      </c>
      <c r="H127" s="54"/>
      <c r="I127" s="54">
        <f t="shared" si="130"/>
        <v>1000</v>
      </c>
      <c r="J127" s="54"/>
      <c r="K127" s="54">
        <f t="shared" si="131"/>
        <v>1000</v>
      </c>
      <c r="L127" s="54"/>
      <c r="M127" s="54">
        <f t="shared" si="132"/>
        <v>1000</v>
      </c>
      <c r="N127" s="54"/>
      <c r="O127" s="54">
        <f t="shared" si="133"/>
        <v>1000</v>
      </c>
      <c r="P127" s="54"/>
      <c r="Q127" s="54">
        <f t="shared" si="134"/>
        <v>1000</v>
      </c>
      <c r="R127" s="54"/>
      <c r="S127" s="54">
        <f t="shared" si="135"/>
        <v>1000</v>
      </c>
      <c r="T127" s="54"/>
      <c r="U127" s="54">
        <f t="shared" si="136"/>
        <v>1000</v>
      </c>
      <c r="V127" s="54"/>
      <c r="W127" s="54">
        <f t="shared" si="137"/>
        <v>1000</v>
      </c>
      <c r="X127" s="54"/>
      <c r="Y127" s="54">
        <f t="shared" si="138"/>
        <v>1000</v>
      </c>
      <c r="Z127" s="54"/>
      <c r="AA127" s="54">
        <f t="shared" si="139"/>
        <v>1000</v>
      </c>
      <c r="AB127" s="54"/>
      <c r="AC127" s="54">
        <f t="shared" si="140"/>
        <v>1000</v>
      </c>
      <c r="AD127" s="141">
        <v>-1000</v>
      </c>
      <c r="AE127" s="54">
        <f t="shared" si="141"/>
        <v>0</v>
      </c>
      <c r="AF127" s="141"/>
      <c r="AG127" s="54">
        <f t="shared" si="142"/>
        <v>0</v>
      </c>
      <c r="AH127" s="141"/>
      <c r="AI127" s="54">
        <f t="shared" si="143"/>
        <v>0</v>
      </c>
      <c r="AJ127" s="141"/>
      <c r="AK127" s="54">
        <f t="shared" si="144"/>
        <v>0</v>
      </c>
    </row>
    <row r="128" spans="1:37" s="20" customFormat="1" ht="21" customHeight="1">
      <c r="A128" s="58"/>
      <c r="B128" s="55"/>
      <c r="C128" s="41">
        <v>4410</v>
      </c>
      <c r="D128" s="31" t="s">
        <v>85</v>
      </c>
      <c r="E128" s="54">
        <v>3000</v>
      </c>
      <c r="F128" s="54"/>
      <c r="G128" s="54">
        <f t="shared" si="129"/>
        <v>3000</v>
      </c>
      <c r="H128" s="54"/>
      <c r="I128" s="54">
        <f t="shared" si="130"/>
        <v>3000</v>
      </c>
      <c r="J128" s="54"/>
      <c r="K128" s="54">
        <f t="shared" si="131"/>
        <v>3000</v>
      </c>
      <c r="L128" s="54"/>
      <c r="M128" s="54">
        <f t="shared" si="132"/>
        <v>3000</v>
      </c>
      <c r="N128" s="54"/>
      <c r="O128" s="54">
        <f t="shared" si="133"/>
        <v>3000</v>
      </c>
      <c r="P128" s="54"/>
      <c r="Q128" s="54">
        <f t="shared" si="134"/>
        <v>3000</v>
      </c>
      <c r="R128" s="54"/>
      <c r="S128" s="54">
        <f t="shared" si="135"/>
        <v>3000</v>
      </c>
      <c r="T128" s="54">
        <v>-1800</v>
      </c>
      <c r="U128" s="54">
        <f t="shared" si="136"/>
        <v>1200</v>
      </c>
      <c r="V128" s="54"/>
      <c r="W128" s="54">
        <f t="shared" si="137"/>
        <v>1200</v>
      </c>
      <c r="X128" s="54"/>
      <c r="Y128" s="54">
        <f t="shared" si="138"/>
        <v>1200</v>
      </c>
      <c r="Z128" s="54"/>
      <c r="AA128" s="54">
        <f t="shared" si="139"/>
        <v>1200</v>
      </c>
      <c r="AB128" s="54"/>
      <c r="AC128" s="54">
        <f t="shared" si="140"/>
        <v>1200</v>
      </c>
      <c r="AD128" s="141"/>
      <c r="AE128" s="54">
        <f t="shared" si="141"/>
        <v>1200</v>
      </c>
      <c r="AF128" s="141"/>
      <c r="AG128" s="54">
        <f t="shared" si="142"/>
        <v>1200</v>
      </c>
      <c r="AH128" s="141"/>
      <c r="AI128" s="54">
        <f t="shared" si="143"/>
        <v>1200</v>
      </c>
      <c r="AJ128" s="141"/>
      <c r="AK128" s="54">
        <f t="shared" si="144"/>
        <v>1200</v>
      </c>
    </row>
    <row r="129" spans="1:37" s="20" customFormat="1" ht="21" customHeight="1">
      <c r="A129" s="58"/>
      <c r="B129" s="55"/>
      <c r="C129" s="58">
        <v>4420</v>
      </c>
      <c r="D129" s="31" t="s">
        <v>314</v>
      </c>
      <c r="E129" s="54">
        <v>3000</v>
      </c>
      <c r="F129" s="54"/>
      <c r="G129" s="54">
        <f t="shared" si="129"/>
        <v>3000</v>
      </c>
      <c r="H129" s="54"/>
      <c r="I129" s="54">
        <f t="shared" si="130"/>
        <v>3000</v>
      </c>
      <c r="J129" s="54"/>
      <c r="K129" s="54">
        <f t="shared" si="131"/>
        <v>3000</v>
      </c>
      <c r="L129" s="54"/>
      <c r="M129" s="54">
        <f t="shared" si="132"/>
        <v>3000</v>
      </c>
      <c r="N129" s="54"/>
      <c r="O129" s="54">
        <f t="shared" si="133"/>
        <v>3000</v>
      </c>
      <c r="P129" s="54"/>
      <c r="Q129" s="54">
        <f t="shared" si="134"/>
        <v>3000</v>
      </c>
      <c r="R129" s="54"/>
      <c r="S129" s="54">
        <f t="shared" si="135"/>
        <v>3000</v>
      </c>
      <c r="T129" s="54">
        <v>1800</v>
      </c>
      <c r="U129" s="54">
        <f t="shared" si="136"/>
        <v>4800</v>
      </c>
      <c r="V129" s="54"/>
      <c r="W129" s="54">
        <f t="shared" si="137"/>
        <v>4800</v>
      </c>
      <c r="X129" s="54">
        <v>3000</v>
      </c>
      <c r="Y129" s="54">
        <f t="shared" si="138"/>
        <v>7800</v>
      </c>
      <c r="Z129" s="54"/>
      <c r="AA129" s="54">
        <f t="shared" si="139"/>
        <v>7800</v>
      </c>
      <c r="AB129" s="54"/>
      <c r="AC129" s="54">
        <f t="shared" si="140"/>
        <v>7800</v>
      </c>
      <c r="AD129" s="141"/>
      <c r="AE129" s="54">
        <f t="shared" si="141"/>
        <v>7800</v>
      </c>
      <c r="AF129" s="141"/>
      <c r="AG129" s="54">
        <f t="shared" si="142"/>
        <v>7800</v>
      </c>
      <c r="AH129" s="141"/>
      <c r="AI129" s="54">
        <f t="shared" si="143"/>
        <v>7800</v>
      </c>
      <c r="AJ129" s="141"/>
      <c r="AK129" s="54">
        <f t="shared" si="144"/>
        <v>7800</v>
      </c>
    </row>
    <row r="130" spans="1:37" s="20" customFormat="1" ht="21" customHeight="1">
      <c r="A130" s="58"/>
      <c r="B130" s="55"/>
      <c r="C130" s="41">
        <v>4430</v>
      </c>
      <c r="D130" s="31" t="s">
        <v>87</v>
      </c>
      <c r="E130" s="54">
        <v>3000</v>
      </c>
      <c r="F130" s="54">
        <v>-1000</v>
      </c>
      <c r="G130" s="54">
        <f t="shared" si="129"/>
        <v>2000</v>
      </c>
      <c r="H130" s="54"/>
      <c r="I130" s="54">
        <f t="shared" si="130"/>
        <v>2000</v>
      </c>
      <c r="J130" s="54"/>
      <c r="K130" s="54">
        <f t="shared" si="131"/>
        <v>2000</v>
      </c>
      <c r="L130" s="54"/>
      <c r="M130" s="54">
        <f t="shared" si="132"/>
        <v>2000</v>
      </c>
      <c r="N130" s="54"/>
      <c r="O130" s="54">
        <f t="shared" si="133"/>
        <v>2000</v>
      </c>
      <c r="P130" s="54"/>
      <c r="Q130" s="54">
        <f t="shared" si="134"/>
        <v>2000</v>
      </c>
      <c r="R130" s="54"/>
      <c r="S130" s="54">
        <f t="shared" si="135"/>
        <v>2000</v>
      </c>
      <c r="T130" s="54"/>
      <c r="U130" s="54">
        <f t="shared" si="136"/>
        <v>2000</v>
      </c>
      <c r="V130" s="54"/>
      <c r="W130" s="54">
        <f t="shared" si="137"/>
        <v>2000</v>
      </c>
      <c r="X130" s="54"/>
      <c r="Y130" s="54">
        <f t="shared" si="138"/>
        <v>2000</v>
      </c>
      <c r="Z130" s="54"/>
      <c r="AA130" s="54">
        <f t="shared" si="139"/>
        <v>2000</v>
      </c>
      <c r="AB130" s="54"/>
      <c r="AC130" s="54">
        <f t="shared" si="140"/>
        <v>2000</v>
      </c>
      <c r="AD130" s="141">
        <v>-240</v>
      </c>
      <c r="AE130" s="54">
        <f t="shared" si="141"/>
        <v>1760</v>
      </c>
      <c r="AF130" s="141"/>
      <c r="AG130" s="54">
        <f t="shared" si="142"/>
        <v>1760</v>
      </c>
      <c r="AH130" s="141"/>
      <c r="AI130" s="54">
        <f t="shared" si="143"/>
        <v>1760</v>
      </c>
      <c r="AJ130" s="141"/>
      <c r="AK130" s="54">
        <f t="shared" si="144"/>
        <v>1760</v>
      </c>
    </row>
    <row r="131" spans="1:37" s="20" customFormat="1" ht="36">
      <c r="A131" s="58"/>
      <c r="B131" s="55"/>
      <c r="C131" s="41">
        <v>4740</v>
      </c>
      <c r="D131" s="31" t="s">
        <v>183</v>
      </c>
      <c r="E131" s="54">
        <v>1000</v>
      </c>
      <c r="F131" s="54"/>
      <c r="G131" s="54">
        <f t="shared" si="129"/>
        <v>1000</v>
      </c>
      <c r="H131" s="54"/>
      <c r="I131" s="54">
        <f t="shared" si="130"/>
        <v>1000</v>
      </c>
      <c r="J131" s="54"/>
      <c r="K131" s="54">
        <f t="shared" si="131"/>
        <v>1000</v>
      </c>
      <c r="L131" s="54"/>
      <c r="M131" s="54">
        <f t="shared" si="132"/>
        <v>1000</v>
      </c>
      <c r="N131" s="54"/>
      <c r="O131" s="54">
        <f t="shared" si="133"/>
        <v>1000</v>
      </c>
      <c r="P131" s="54"/>
      <c r="Q131" s="54">
        <f t="shared" si="134"/>
        <v>1000</v>
      </c>
      <c r="R131" s="54"/>
      <c r="S131" s="54">
        <f t="shared" si="135"/>
        <v>1000</v>
      </c>
      <c r="T131" s="54"/>
      <c r="U131" s="54">
        <f t="shared" si="136"/>
        <v>1000</v>
      </c>
      <c r="V131" s="54"/>
      <c r="W131" s="54">
        <f t="shared" si="137"/>
        <v>1000</v>
      </c>
      <c r="X131" s="54"/>
      <c r="Y131" s="54">
        <f t="shared" si="138"/>
        <v>1000</v>
      </c>
      <c r="Z131" s="54"/>
      <c r="AA131" s="54">
        <f t="shared" si="139"/>
        <v>1000</v>
      </c>
      <c r="AB131" s="54"/>
      <c r="AC131" s="54">
        <f t="shared" si="140"/>
        <v>1000</v>
      </c>
      <c r="AD131" s="141">
        <v>-760</v>
      </c>
      <c r="AE131" s="54">
        <f t="shared" si="141"/>
        <v>240</v>
      </c>
      <c r="AF131" s="141"/>
      <c r="AG131" s="54">
        <f t="shared" si="142"/>
        <v>240</v>
      </c>
      <c r="AH131" s="141"/>
      <c r="AI131" s="54">
        <f t="shared" si="143"/>
        <v>240</v>
      </c>
      <c r="AJ131" s="141"/>
      <c r="AK131" s="54">
        <f t="shared" si="144"/>
        <v>240</v>
      </c>
    </row>
    <row r="132" spans="1:37" s="20" customFormat="1" ht="36">
      <c r="A132" s="58"/>
      <c r="B132" s="55"/>
      <c r="C132" s="41">
        <v>4750</v>
      </c>
      <c r="D132" s="31" t="s">
        <v>319</v>
      </c>
      <c r="E132" s="54">
        <v>6000</v>
      </c>
      <c r="F132" s="54">
        <v>-2500</v>
      </c>
      <c r="G132" s="54">
        <f t="shared" si="129"/>
        <v>3500</v>
      </c>
      <c r="H132" s="54"/>
      <c r="I132" s="54">
        <f t="shared" si="130"/>
        <v>3500</v>
      </c>
      <c r="J132" s="54"/>
      <c r="K132" s="54">
        <f t="shared" si="131"/>
        <v>3500</v>
      </c>
      <c r="L132" s="54"/>
      <c r="M132" s="54">
        <f t="shared" si="132"/>
        <v>3500</v>
      </c>
      <c r="N132" s="54"/>
      <c r="O132" s="54">
        <f t="shared" si="133"/>
        <v>3500</v>
      </c>
      <c r="P132" s="54"/>
      <c r="Q132" s="54">
        <f t="shared" si="134"/>
        <v>3500</v>
      </c>
      <c r="R132" s="54"/>
      <c r="S132" s="54">
        <f t="shared" si="135"/>
        <v>3500</v>
      </c>
      <c r="T132" s="54"/>
      <c r="U132" s="54">
        <f t="shared" si="136"/>
        <v>3500</v>
      </c>
      <c r="V132" s="54"/>
      <c r="W132" s="54">
        <f t="shared" si="137"/>
        <v>3500</v>
      </c>
      <c r="X132" s="54"/>
      <c r="Y132" s="54">
        <f t="shared" si="138"/>
        <v>3500</v>
      </c>
      <c r="Z132" s="54"/>
      <c r="AA132" s="54">
        <f t="shared" si="139"/>
        <v>3500</v>
      </c>
      <c r="AB132" s="54"/>
      <c r="AC132" s="54">
        <f t="shared" si="140"/>
        <v>3500</v>
      </c>
      <c r="AD132" s="141">
        <v>-3000</v>
      </c>
      <c r="AE132" s="54">
        <f t="shared" si="141"/>
        <v>500</v>
      </c>
      <c r="AF132" s="141"/>
      <c r="AG132" s="54">
        <f t="shared" si="142"/>
        <v>500</v>
      </c>
      <c r="AH132" s="141"/>
      <c r="AI132" s="54">
        <f t="shared" si="143"/>
        <v>500</v>
      </c>
      <c r="AJ132" s="141"/>
      <c r="AK132" s="54">
        <f t="shared" si="144"/>
        <v>500</v>
      </c>
    </row>
    <row r="133" spans="1:37" s="20" customFormat="1" ht="21" customHeight="1">
      <c r="A133" s="58"/>
      <c r="B133" s="55">
        <v>75095</v>
      </c>
      <c r="C133" s="41"/>
      <c r="D133" s="31" t="s">
        <v>6</v>
      </c>
      <c r="E133" s="54">
        <f aca="true" t="shared" si="145" ref="E133:W133">SUM(E134:E139)</f>
        <v>124580</v>
      </c>
      <c r="F133" s="54">
        <f t="shared" si="145"/>
        <v>0</v>
      </c>
      <c r="G133" s="54">
        <f t="shared" si="145"/>
        <v>124580</v>
      </c>
      <c r="H133" s="54">
        <f t="shared" si="145"/>
        <v>0</v>
      </c>
      <c r="I133" s="54">
        <f t="shared" si="145"/>
        <v>124580</v>
      </c>
      <c r="J133" s="54">
        <f t="shared" si="145"/>
        <v>0</v>
      </c>
      <c r="K133" s="54">
        <f t="shared" si="145"/>
        <v>124580</v>
      </c>
      <c r="L133" s="54">
        <f t="shared" si="145"/>
        <v>0</v>
      </c>
      <c r="M133" s="54">
        <f t="shared" si="145"/>
        <v>124580</v>
      </c>
      <c r="N133" s="54">
        <f t="shared" si="145"/>
        <v>0</v>
      </c>
      <c r="O133" s="54">
        <f t="shared" si="145"/>
        <v>124580</v>
      </c>
      <c r="P133" s="54">
        <f t="shared" si="145"/>
        <v>0</v>
      </c>
      <c r="Q133" s="54">
        <f t="shared" si="145"/>
        <v>124580</v>
      </c>
      <c r="R133" s="54">
        <f t="shared" si="145"/>
        <v>-800</v>
      </c>
      <c r="S133" s="54">
        <f t="shared" si="145"/>
        <v>123780</v>
      </c>
      <c r="T133" s="54">
        <f t="shared" si="145"/>
        <v>0</v>
      </c>
      <c r="U133" s="54">
        <f t="shared" si="145"/>
        <v>123780</v>
      </c>
      <c r="V133" s="54">
        <f t="shared" si="145"/>
        <v>0</v>
      </c>
      <c r="W133" s="54">
        <f t="shared" si="145"/>
        <v>123780</v>
      </c>
      <c r="X133" s="54">
        <f aca="true" t="shared" si="146" ref="X133:AC133">SUM(X134:X139)</f>
        <v>0</v>
      </c>
      <c r="Y133" s="54">
        <f t="shared" si="146"/>
        <v>123780</v>
      </c>
      <c r="Z133" s="54">
        <f t="shared" si="146"/>
        <v>-600</v>
      </c>
      <c r="AA133" s="54">
        <f t="shared" si="146"/>
        <v>123180</v>
      </c>
      <c r="AB133" s="54">
        <f t="shared" si="146"/>
        <v>0</v>
      </c>
      <c r="AC133" s="54">
        <f t="shared" si="146"/>
        <v>123180</v>
      </c>
      <c r="AD133" s="54">
        <f aca="true" t="shared" si="147" ref="AD133:AI133">SUM(AD134:AD139)</f>
        <v>-1142</v>
      </c>
      <c r="AE133" s="54">
        <f t="shared" si="147"/>
        <v>122038</v>
      </c>
      <c r="AF133" s="54">
        <f t="shared" si="147"/>
        <v>-150</v>
      </c>
      <c r="AG133" s="54">
        <f t="shared" si="147"/>
        <v>121888</v>
      </c>
      <c r="AH133" s="54">
        <f t="shared" si="147"/>
        <v>-4</v>
      </c>
      <c r="AI133" s="54">
        <f t="shared" si="147"/>
        <v>121884</v>
      </c>
      <c r="AJ133" s="54">
        <f>SUM(AJ134:AJ139)</f>
        <v>0</v>
      </c>
      <c r="AK133" s="54">
        <f>SUM(AK134:AK139)</f>
        <v>121884</v>
      </c>
    </row>
    <row r="134" spans="1:37" s="20" customFormat="1" ht="21" customHeight="1">
      <c r="A134" s="58"/>
      <c r="B134" s="55"/>
      <c r="C134" s="41">
        <v>3030</v>
      </c>
      <c r="D134" s="31" t="s">
        <v>84</v>
      </c>
      <c r="E134" s="54">
        <v>60000</v>
      </c>
      <c r="F134" s="54"/>
      <c r="G134" s="54">
        <f aca="true" t="shared" si="148" ref="G134:G217">SUM(E134:F134)</f>
        <v>60000</v>
      </c>
      <c r="H134" s="54"/>
      <c r="I134" s="54">
        <f aca="true" t="shared" si="149" ref="I134:I139">SUM(G134:H134)</f>
        <v>60000</v>
      </c>
      <c r="J134" s="54"/>
      <c r="K134" s="54">
        <f aca="true" t="shared" si="150" ref="K134:K139">SUM(I134:J134)</f>
        <v>60000</v>
      </c>
      <c r="L134" s="54"/>
      <c r="M134" s="54">
        <f aca="true" t="shared" si="151" ref="M134:M139">SUM(K134:L134)</f>
        <v>60000</v>
      </c>
      <c r="N134" s="54"/>
      <c r="O134" s="54">
        <f aca="true" t="shared" si="152" ref="O134:O139">SUM(M134:N134)</f>
        <v>60000</v>
      </c>
      <c r="P134" s="54"/>
      <c r="Q134" s="54">
        <f aca="true" t="shared" si="153" ref="Q134:Q139">SUM(O134:P134)</f>
        <v>60000</v>
      </c>
      <c r="R134" s="54"/>
      <c r="S134" s="54">
        <f aca="true" t="shared" si="154" ref="S134:S139">SUM(Q134:R134)</f>
        <v>60000</v>
      </c>
      <c r="T134" s="54">
        <v>-1000</v>
      </c>
      <c r="U134" s="54">
        <f aca="true" t="shared" si="155" ref="U134:U139">SUM(S134:T134)</f>
        <v>59000</v>
      </c>
      <c r="V134" s="54"/>
      <c r="W134" s="54">
        <f aca="true" t="shared" si="156" ref="W134:W139">SUM(U134:V134)</f>
        <v>59000</v>
      </c>
      <c r="X134" s="54"/>
      <c r="Y134" s="54">
        <f aca="true" t="shared" si="157" ref="Y134:Y139">SUM(W134:X134)</f>
        <v>59000</v>
      </c>
      <c r="Z134" s="54"/>
      <c r="AA134" s="54">
        <f aca="true" t="shared" si="158" ref="AA134:AA139">SUM(Y134:Z134)</f>
        <v>59000</v>
      </c>
      <c r="AB134" s="54"/>
      <c r="AC134" s="54">
        <f aca="true" t="shared" si="159" ref="AC134:AC139">SUM(AA134:AB134)</f>
        <v>59000</v>
      </c>
      <c r="AD134" s="54"/>
      <c r="AE134" s="54">
        <f aca="true" t="shared" si="160" ref="AE134:AE139">SUM(AC134:AD134)</f>
        <v>59000</v>
      </c>
      <c r="AF134" s="54"/>
      <c r="AG134" s="54">
        <f aca="true" t="shared" si="161" ref="AG134:AG139">SUM(AE134:AF134)</f>
        <v>59000</v>
      </c>
      <c r="AH134" s="54"/>
      <c r="AI134" s="54">
        <f aca="true" t="shared" si="162" ref="AI134:AI139">SUM(AG134:AH134)</f>
        <v>59000</v>
      </c>
      <c r="AJ134" s="54"/>
      <c r="AK134" s="54">
        <f aca="true" t="shared" si="163" ref="AK134:AK139">SUM(AI134:AJ134)</f>
        <v>59000</v>
      </c>
    </row>
    <row r="135" spans="1:37" s="20" customFormat="1" ht="21" customHeight="1">
      <c r="A135" s="58"/>
      <c r="B135" s="55"/>
      <c r="C135" s="41">
        <v>4210</v>
      </c>
      <c r="D135" s="31" t="s">
        <v>86</v>
      </c>
      <c r="E135" s="54">
        <f>22980+1000</f>
        <v>23980</v>
      </c>
      <c r="F135" s="54"/>
      <c r="G135" s="54">
        <f t="shared" si="148"/>
        <v>23980</v>
      </c>
      <c r="H135" s="54"/>
      <c r="I135" s="54">
        <f t="shared" si="149"/>
        <v>23980</v>
      </c>
      <c r="J135" s="54"/>
      <c r="K135" s="54">
        <f t="shared" si="150"/>
        <v>23980</v>
      </c>
      <c r="L135" s="54"/>
      <c r="M135" s="54">
        <f t="shared" si="151"/>
        <v>23980</v>
      </c>
      <c r="N135" s="54"/>
      <c r="O135" s="54">
        <f t="shared" si="152"/>
        <v>23980</v>
      </c>
      <c r="P135" s="54"/>
      <c r="Q135" s="54">
        <f t="shared" si="153"/>
        <v>23980</v>
      </c>
      <c r="R135" s="54">
        <v>-800</v>
      </c>
      <c r="S135" s="54">
        <f t="shared" si="154"/>
        <v>23180</v>
      </c>
      <c r="T135" s="54"/>
      <c r="U135" s="54">
        <f t="shared" si="155"/>
        <v>23180</v>
      </c>
      <c r="V135" s="54">
        <f>100-100</f>
        <v>0</v>
      </c>
      <c r="W135" s="54">
        <f t="shared" si="156"/>
        <v>23180</v>
      </c>
      <c r="X135" s="54">
        <f>100-100</f>
        <v>0</v>
      </c>
      <c r="Y135" s="54">
        <f t="shared" si="157"/>
        <v>23180</v>
      </c>
      <c r="Z135" s="54">
        <f>400-1000</f>
        <v>-600</v>
      </c>
      <c r="AA135" s="54">
        <f t="shared" si="158"/>
        <v>22580</v>
      </c>
      <c r="AB135" s="54"/>
      <c r="AC135" s="54">
        <f t="shared" si="159"/>
        <v>22580</v>
      </c>
      <c r="AD135" s="54">
        <v>-342</v>
      </c>
      <c r="AE135" s="54">
        <f t="shared" si="160"/>
        <v>22238</v>
      </c>
      <c r="AF135" s="54">
        <v>-100</v>
      </c>
      <c r="AG135" s="54">
        <f t="shared" si="161"/>
        <v>22138</v>
      </c>
      <c r="AH135" s="54">
        <v>-4</v>
      </c>
      <c r="AI135" s="54">
        <f t="shared" si="162"/>
        <v>22134</v>
      </c>
      <c r="AJ135" s="54"/>
      <c r="AK135" s="54">
        <f t="shared" si="163"/>
        <v>22134</v>
      </c>
    </row>
    <row r="136" spans="1:37" s="20" customFormat="1" ht="21" customHeight="1">
      <c r="A136" s="58"/>
      <c r="B136" s="55"/>
      <c r="C136" s="41">
        <v>4300</v>
      </c>
      <c r="D136" s="31" t="s">
        <v>75</v>
      </c>
      <c r="E136" s="54">
        <v>5500</v>
      </c>
      <c r="F136" s="54"/>
      <c r="G136" s="54">
        <f t="shared" si="148"/>
        <v>5500</v>
      </c>
      <c r="H136" s="54"/>
      <c r="I136" s="54">
        <f t="shared" si="149"/>
        <v>5500</v>
      </c>
      <c r="J136" s="54"/>
      <c r="K136" s="54">
        <f t="shared" si="150"/>
        <v>5500</v>
      </c>
      <c r="L136" s="54"/>
      <c r="M136" s="54">
        <f t="shared" si="151"/>
        <v>5500</v>
      </c>
      <c r="N136" s="54"/>
      <c r="O136" s="54">
        <f t="shared" si="152"/>
        <v>5500</v>
      </c>
      <c r="P136" s="54"/>
      <c r="Q136" s="54">
        <f t="shared" si="153"/>
        <v>5500</v>
      </c>
      <c r="R136" s="54"/>
      <c r="S136" s="54">
        <f t="shared" si="154"/>
        <v>5500</v>
      </c>
      <c r="T136" s="54"/>
      <c r="U136" s="54">
        <f t="shared" si="155"/>
        <v>5500</v>
      </c>
      <c r="V136" s="54"/>
      <c r="W136" s="54">
        <f t="shared" si="156"/>
        <v>5500</v>
      </c>
      <c r="X136" s="54"/>
      <c r="Y136" s="54">
        <f t="shared" si="157"/>
        <v>5500</v>
      </c>
      <c r="Z136" s="54"/>
      <c r="AA136" s="54">
        <f t="shared" si="158"/>
        <v>5500</v>
      </c>
      <c r="AB136" s="54"/>
      <c r="AC136" s="54">
        <f t="shared" si="159"/>
        <v>5500</v>
      </c>
      <c r="AD136" s="54">
        <v>-800</v>
      </c>
      <c r="AE136" s="54">
        <f t="shared" si="160"/>
        <v>4700</v>
      </c>
      <c r="AF136" s="54">
        <v>-50</v>
      </c>
      <c r="AG136" s="54">
        <f t="shared" si="161"/>
        <v>4650</v>
      </c>
      <c r="AH136" s="54"/>
      <c r="AI136" s="54">
        <f t="shared" si="162"/>
        <v>4650</v>
      </c>
      <c r="AJ136" s="54"/>
      <c r="AK136" s="54">
        <f t="shared" si="163"/>
        <v>4650</v>
      </c>
    </row>
    <row r="137" spans="1:37" s="20" customFormat="1" ht="21" customHeight="1">
      <c r="A137" s="58"/>
      <c r="B137" s="55"/>
      <c r="C137" s="41">
        <v>4410</v>
      </c>
      <c r="D137" s="31" t="s">
        <v>85</v>
      </c>
      <c r="E137" s="54">
        <v>5000</v>
      </c>
      <c r="F137" s="54"/>
      <c r="G137" s="54">
        <f t="shared" si="148"/>
        <v>5000</v>
      </c>
      <c r="H137" s="54"/>
      <c r="I137" s="54">
        <f t="shared" si="149"/>
        <v>5000</v>
      </c>
      <c r="J137" s="54"/>
      <c r="K137" s="54">
        <f t="shared" si="150"/>
        <v>5000</v>
      </c>
      <c r="L137" s="54"/>
      <c r="M137" s="54">
        <f t="shared" si="151"/>
        <v>5000</v>
      </c>
      <c r="N137" s="54"/>
      <c r="O137" s="54">
        <f t="shared" si="152"/>
        <v>5000</v>
      </c>
      <c r="P137" s="54"/>
      <c r="Q137" s="54">
        <f t="shared" si="153"/>
        <v>5000</v>
      </c>
      <c r="R137" s="54"/>
      <c r="S137" s="54">
        <f t="shared" si="154"/>
        <v>5000</v>
      </c>
      <c r="T137" s="54">
        <v>-900</v>
      </c>
      <c r="U137" s="54">
        <f t="shared" si="155"/>
        <v>4100</v>
      </c>
      <c r="V137" s="54"/>
      <c r="W137" s="54">
        <f t="shared" si="156"/>
        <v>4100</v>
      </c>
      <c r="X137" s="54"/>
      <c r="Y137" s="54">
        <f t="shared" si="157"/>
        <v>4100</v>
      </c>
      <c r="Z137" s="54"/>
      <c r="AA137" s="54">
        <f t="shared" si="158"/>
        <v>4100</v>
      </c>
      <c r="AB137" s="54"/>
      <c r="AC137" s="54">
        <f t="shared" si="159"/>
        <v>4100</v>
      </c>
      <c r="AD137" s="54"/>
      <c r="AE137" s="54">
        <f t="shared" si="160"/>
        <v>4100</v>
      </c>
      <c r="AF137" s="54"/>
      <c r="AG137" s="54">
        <f t="shared" si="161"/>
        <v>4100</v>
      </c>
      <c r="AH137" s="54"/>
      <c r="AI137" s="54">
        <f t="shared" si="162"/>
        <v>4100</v>
      </c>
      <c r="AJ137" s="54"/>
      <c r="AK137" s="54">
        <f t="shared" si="163"/>
        <v>4100</v>
      </c>
    </row>
    <row r="138" spans="1:37" s="20" customFormat="1" ht="21" customHeight="1">
      <c r="A138" s="58"/>
      <c r="B138" s="55"/>
      <c r="C138" s="41">
        <v>4430</v>
      </c>
      <c r="D138" s="31" t="s">
        <v>87</v>
      </c>
      <c r="E138" s="54">
        <v>30000</v>
      </c>
      <c r="F138" s="54"/>
      <c r="G138" s="54">
        <f t="shared" si="148"/>
        <v>30000</v>
      </c>
      <c r="H138" s="54"/>
      <c r="I138" s="54">
        <f t="shared" si="149"/>
        <v>30000</v>
      </c>
      <c r="J138" s="54"/>
      <c r="K138" s="54">
        <f t="shared" si="150"/>
        <v>30000</v>
      </c>
      <c r="L138" s="54"/>
      <c r="M138" s="54">
        <f t="shared" si="151"/>
        <v>30000</v>
      </c>
      <c r="N138" s="54"/>
      <c r="O138" s="54">
        <f t="shared" si="152"/>
        <v>30000</v>
      </c>
      <c r="P138" s="54"/>
      <c r="Q138" s="54">
        <f t="shared" si="153"/>
        <v>30000</v>
      </c>
      <c r="R138" s="54"/>
      <c r="S138" s="54">
        <f t="shared" si="154"/>
        <v>30000</v>
      </c>
      <c r="T138" s="54">
        <v>1900</v>
      </c>
      <c r="U138" s="54">
        <f t="shared" si="155"/>
        <v>31900</v>
      </c>
      <c r="V138" s="54"/>
      <c r="W138" s="54">
        <f t="shared" si="156"/>
        <v>31900</v>
      </c>
      <c r="X138" s="54"/>
      <c r="Y138" s="54">
        <f t="shared" si="157"/>
        <v>31900</v>
      </c>
      <c r="Z138" s="54"/>
      <c r="AA138" s="54">
        <f t="shared" si="158"/>
        <v>31900</v>
      </c>
      <c r="AB138" s="54"/>
      <c r="AC138" s="54">
        <f t="shared" si="159"/>
        <v>31900</v>
      </c>
      <c r="AD138" s="54"/>
      <c r="AE138" s="54">
        <f t="shared" si="160"/>
        <v>31900</v>
      </c>
      <c r="AF138" s="54"/>
      <c r="AG138" s="54">
        <f t="shared" si="161"/>
        <v>31900</v>
      </c>
      <c r="AH138" s="54"/>
      <c r="AI138" s="54">
        <f t="shared" si="162"/>
        <v>31900</v>
      </c>
      <c r="AJ138" s="54"/>
      <c r="AK138" s="54">
        <f t="shared" si="163"/>
        <v>31900</v>
      </c>
    </row>
    <row r="139" spans="1:37" s="20" customFormat="1" ht="36">
      <c r="A139" s="58"/>
      <c r="B139" s="55"/>
      <c r="C139" s="41">
        <v>4740</v>
      </c>
      <c r="D139" s="31" t="s">
        <v>183</v>
      </c>
      <c r="E139" s="54">
        <v>100</v>
      </c>
      <c r="F139" s="54"/>
      <c r="G139" s="54">
        <f t="shared" si="148"/>
        <v>100</v>
      </c>
      <c r="H139" s="54"/>
      <c r="I139" s="54">
        <f t="shared" si="149"/>
        <v>100</v>
      </c>
      <c r="J139" s="54"/>
      <c r="K139" s="54">
        <f t="shared" si="150"/>
        <v>100</v>
      </c>
      <c r="L139" s="54"/>
      <c r="M139" s="54">
        <f t="shared" si="151"/>
        <v>100</v>
      </c>
      <c r="N139" s="54"/>
      <c r="O139" s="54">
        <f t="shared" si="152"/>
        <v>100</v>
      </c>
      <c r="P139" s="54"/>
      <c r="Q139" s="54">
        <f t="shared" si="153"/>
        <v>100</v>
      </c>
      <c r="R139" s="54"/>
      <c r="S139" s="54">
        <f t="shared" si="154"/>
        <v>100</v>
      </c>
      <c r="T139" s="54"/>
      <c r="U139" s="54">
        <f t="shared" si="155"/>
        <v>100</v>
      </c>
      <c r="V139" s="54"/>
      <c r="W139" s="54">
        <f t="shared" si="156"/>
        <v>100</v>
      </c>
      <c r="X139" s="54"/>
      <c r="Y139" s="54">
        <f t="shared" si="157"/>
        <v>100</v>
      </c>
      <c r="Z139" s="54"/>
      <c r="AA139" s="54">
        <f t="shared" si="158"/>
        <v>100</v>
      </c>
      <c r="AB139" s="54"/>
      <c r="AC139" s="54">
        <f t="shared" si="159"/>
        <v>100</v>
      </c>
      <c r="AD139" s="54"/>
      <c r="AE139" s="54">
        <f t="shared" si="160"/>
        <v>100</v>
      </c>
      <c r="AF139" s="54"/>
      <c r="AG139" s="54">
        <f t="shared" si="161"/>
        <v>100</v>
      </c>
      <c r="AH139" s="54"/>
      <c r="AI139" s="54">
        <f t="shared" si="162"/>
        <v>100</v>
      </c>
      <c r="AJ139" s="54"/>
      <c r="AK139" s="54">
        <f t="shared" si="163"/>
        <v>100</v>
      </c>
    </row>
    <row r="140" spans="1:37" s="5" customFormat="1" ht="36">
      <c r="A140" s="27">
        <v>751</v>
      </c>
      <c r="B140" s="28"/>
      <c r="C140" s="29"/>
      <c r="D140" s="30" t="s">
        <v>320</v>
      </c>
      <c r="E140" s="134">
        <f aca="true" t="shared" si="164" ref="E140:J140">SUM(E141)</f>
        <v>3910</v>
      </c>
      <c r="F140" s="134">
        <f t="shared" si="164"/>
        <v>0</v>
      </c>
      <c r="G140" s="134">
        <f t="shared" si="164"/>
        <v>3910</v>
      </c>
      <c r="H140" s="134">
        <f t="shared" si="164"/>
        <v>0</v>
      </c>
      <c r="I140" s="134">
        <f t="shared" si="164"/>
        <v>3910</v>
      </c>
      <c r="J140" s="134">
        <f t="shared" si="164"/>
        <v>0</v>
      </c>
      <c r="K140" s="134">
        <f aca="true" t="shared" si="165" ref="K140:W140">SUM(K141,K149)</f>
        <v>3910</v>
      </c>
      <c r="L140" s="134">
        <f t="shared" si="165"/>
        <v>19932</v>
      </c>
      <c r="M140" s="134">
        <f t="shared" si="165"/>
        <v>23842</v>
      </c>
      <c r="N140" s="134">
        <f t="shared" si="165"/>
        <v>0</v>
      </c>
      <c r="O140" s="134">
        <f t="shared" si="165"/>
        <v>23842</v>
      </c>
      <c r="P140" s="134">
        <f t="shared" si="165"/>
        <v>1000</v>
      </c>
      <c r="Q140" s="134">
        <f t="shared" si="165"/>
        <v>24842</v>
      </c>
      <c r="R140" s="134">
        <f t="shared" si="165"/>
        <v>0</v>
      </c>
      <c r="S140" s="134">
        <f t="shared" si="165"/>
        <v>24842</v>
      </c>
      <c r="T140" s="134">
        <f t="shared" si="165"/>
        <v>21240</v>
      </c>
      <c r="U140" s="134">
        <f t="shared" si="165"/>
        <v>46082</v>
      </c>
      <c r="V140" s="134">
        <f t="shared" si="165"/>
        <v>0</v>
      </c>
      <c r="W140" s="134">
        <f t="shared" si="165"/>
        <v>46082</v>
      </c>
      <c r="X140" s="134">
        <f aca="true" t="shared" si="166" ref="X140:AC140">SUM(X141,X149)</f>
        <v>0</v>
      </c>
      <c r="Y140" s="134">
        <f t="shared" si="166"/>
        <v>46082</v>
      </c>
      <c r="Z140" s="134">
        <f t="shared" si="166"/>
        <v>0</v>
      </c>
      <c r="AA140" s="134">
        <f t="shared" si="166"/>
        <v>46082</v>
      </c>
      <c r="AB140" s="134">
        <f t="shared" si="166"/>
        <v>0</v>
      </c>
      <c r="AC140" s="134">
        <f t="shared" si="166"/>
        <v>46082</v>
      </c>
      <c r="AD140" s="134">
        <f aca="true" t="shared" si="167" ref="AD140:AI140">SUM(AD141,AD149)</f>
        <v>0</v>
      </c>
      <c r="AE140" s="134">
        <f t="shared" si="167"/>
        <v>46082</v>
      </c>
      <c r="AF140" s="134">
        <f t="shared" si="167"/>
        <v>0</v>
      </c>
      <c r="AG140" s="134">
        <f t="shared" si="167"/>
        <v>46082</v>
      </c>
      <c r="AH140" s="134">
        <f t="shared" si="167"/>
        <v>0</v>
      </c>
      <c r="AI140" s="134">
        <f t="shared" si="167"/>
        <v>46082</v>
      </c>
      <c r="AJ140" s="134">
        <f>SUM(AJ141,AJ149)</f>
        <v>0</v>
      </c>
      <c r="AK140" s="134">
        <f>SUM(AK141,AK149)</f>
        <v>46082</v>
      </c>
    </row>
    <row r="141" spans="1:37" s="20" customFormat="1" ht="26.25" customHeight="1">
      <c r="A141" s="58"/>
      <c r="B141" s="55">
        <v>75101</v>
      </c>
      <c r="C141" s="58"/>
      <c r="D141" s="31" t="s">
        <v>20</v>
      </c>
      <c r="E141" s="54">
        <f aca="true" t="shared" si="168" ref="E141:Q141">SUM(E145:E148)</f>
        <v>3910</v>
      </c>
      <c r="F141" s="54">
        <f t="shared" si="168"/>
        <v>0</v>
      </c>
      <c r="G141" s="54">
        <f t="shared" si="168"/>
        <v>3910</v>
      </c>
      <c r="H141" s="54">
        <f t="shared" si="168"/>
        <v>0</v>
      </c>
      <c r="I141" s="54">
        <f t="shared" si="168"/>
        <v>3910</v>
      </c>
      <c r="J141" s="54">
        <f t="shared" si="168"/>
        <v>0</v>
      </c>
      <c r="K141" s="54">
        <f t="shared" si="168"/>
        <v>3910</v>
      </c>
      <c r="L141" s="54">
        <f t="shared" si="168"/>
        <v>0</v>
      </c>
      <c r="M141" s="54">
        <f t="shared" si="168"/>
        <v>3910</v>
      </c>
      <c r="N141" s="54">
        <f t="shared" si="168"/>
        <v>0</v>
      </c>
      <c r="O141" s="54">
        <f t="shared" si="168"/>
        <v>3910</v>
      </c>
      <c r="P141" s="54">
        <f t="shared" si="168"/>
        <v>0</v>
      </c>
      <c r="Q141" s="54">
        <f t="shared" si="168"/>
        <v>3910</v>
      </c>
      <c r="R141" s="54">
        <f>SUM(R145:R148)</f>
        <v>0</v>
      </c>
      <c r="S141" s="54">
        <f>SUM(S145:S148)</f>
        <v>3910</v>
      </c>
      <c r="T141" s="54">
        <f>SUM(T145:T148)</f>
        <v>0</v>
      </c>
      <c r="U141" s="54">
        <f aca="true" t="shared" si="169" ref="U141:AA141">SUM(U142:U148)</f>
        <v>3910</v>
      </c>
      <c r="V141" s="54">
        <f t="shared" si="169"/>
        <v>0</v>
      </c>
      <c r="W141" s="54">
        <f t="shared" si="169"/>
        <v>3910</v>
      </c>
      <c r="X141" s="54">
        <f t="shared" si="169"/>
        <v>0</v>
      </c>
      <c r="Y141" s="54">
        <f t="shared" si="169"/>
        <v>3910</v>
      </c>
      <c r="Z141" s="54">
        <f t="shared" si="169"/>
        <v>0</v>
      </c>
      <c r="AA141" s="54">
        <f t="shared" si="169"/>
        <v>3910</v>
      </c>
      <c r="AB141" s="54">
        <f aca="true" t="shared" si="170" ref="AB141:AG141">SUM(AB142:AB148)</f>
        <v>0</v>
      </c>
      <c r="AC141" s="54">
        <f t="shared" si="170"/>
        <v>3910</v>
      </c>
      <c r="AD141" s="54">
        <f t="shared" si="170"/>
        <v>0</v>
      </c>
      <c r="AE141" s="54">
        <f t="shared" si="170"/>
        <v>3910</v>
      </c>
      <c r="AF141" s="54">
        <f t="shared" si="170"/>
        <v>0</v>
      </c>
      <c r="AG141" s="54">
        <f t="shared" si="170"/>
        <v>3910</v>
      </c>
      <c r="AH141" s="54">
        <f>SUM(AH142:AH148)</f>
        <v>0</v>
      </c>
      <c r="AI141" s="54">
        <f>SUM(AI142:AI148)</f>
        <v>3910</v>
      </c>
      <c r="AJ141" s="54">
        <f>SUM(AJ142:AJ148)</f>
        <v>0</v>
      </c>
      <c r="AK141" s="54">
        <f>SUM(AK142:AK148)</f>
        <v>3910</v>
      </c>
    </row>
    <row r="142" spans="1:39" s="20" customFormat="1" ht="26.25" customHeight="1">
      <c r="A142" s="58"/>
      <c r="B142" s="55"/>
      <c r="C142" s="58">
        <v>4010</v>
      </c>
      <c r="D142" s="31" t="s">
        <v>79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>
        <v>0</v>
      </c>
      <c r="V142" s="54">
        <v>2771</v>
      </c>
      <c r="W142" s="54">
        <f aca="true" t="shared" si="171" ref="W142:W148">SUM(U142:V142)</f>
        <v>2771</v>
      </c>
      <c r="X142" s="54"/>
      <c r="Y142" s="54">
        <f aca="true" t="shared" si="172" ref="Y142:Y148">SUM(W142:X142)</f>
        <v>2771</v>
      </c>
      <c r="Z142" s="54"/>
      <c r="AA142" s="54">
        <f aca="true" t="shared" si="173" ref="AA142:AA148">SUM(Y142:Z142)</f>
        <v>2771</v>
      </c>
      <c r="AB142" s="54"/>
      <c r="AC142" s="54">
        <f aca="true" t="shared" si="174" ref="AC142:AC148">SUM(AA142:AB142)</f>
        <v>2771</v>
      </c>
      <c r="AD142" s="54"/>
      <c r="AE142" s="54">
        <f aca="true" t="shared" si="175" ref="AE142:AE148">SUM(AC142:AD142)</f>
        <v>2771</v>
      </c>
      <c r="AF142" s="54"/>
      <c r="AG142" s="54">
        <f aca="true" t="shared" si="176" ref="AG142:AG148">SUM(AE142:AF142)</f>
        <v>2771</v>
      </c>
      <c r="AH142" s="54"/>
      <c r="AI142" s="54">
        <f aca="true" t="shared" si="177" ref="AI142:AI148">SUM(AG142:AH142)</f>
        <v>2771</v>
      </c>
      <c r="AJ142" s="54"/>
      <c r="AK142" s="54">
        <f aca="true" t="shared" si="178" ref="AK142:AK148">SUM(AI142:AJ142)</f>
        <v>2771</v>
      </c>
      <c r="AL142" s="67"/>
      <c r="AM142" s="67"/>
    </row>
    <row r="143" spans="1:39" s="20" customFormat="1" ht="26.25" customHeight="1">
      <c r="A143" s="58"/>
      <c r="B143" s="55"/>
      <c r="C143" s="58">
        <v>4110</v>
      </c>
      <c r="D143" s="31" t="s">
        <v>321</v>
      </c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>
        <v>0</v>
      </c>
      <c r="V143" s="54">
        <v>420</v>
      </c>
      <c r="W143" s="54">
        <f t="shared" si="171"/>
        <v>420</v>
      </c>
      <c r="X143" s="54"/>
      <c r="Y143" s="54">
        <f t="shared" si="172"/>
        <v>420</v>
      </c>
      <c r="Z143" s="54"/>
      <c r="AA143" s="54">
        <f t="shared" si="173"/>
        <v>420</v>
      </c>
      <c r="AB143" s="54"/>
      <c r="AC143" s="54">
        <f t="shared" si="174"/>
        <v>420</v>
      </c>
      <c r="AD143" s="54"/>
      <c r="AE143" s="54">
        <f t="shared" si="175"/>
        <v>420</v>
      </c>
      <c r="AF143" s="54"/>
      <c r="AG143" s="54">
        <f t="shared" si="176"/>
        <v>420</v>
      </c>
      <c r="AH143" s="54"/>
      <c r="AI143" s="54">
        <f t="shared" si="177"/>
        <v>420</v>
      </c>
      <c r="AJ143" s="54"/>
      <c r="AK143" s="54">
        <f t="shared" si="178"/>
        <v>420</v>
      </c>
      <c r="AL143" s="67"/>
      <c r="AM143" s="67"/>
    </row>
    <row r="144" spans="1:39" s="20" customFormat="1" ht="26.25" customHeight="1">
      <c r="A144" s="58"/>
      <c r="B144" s="55"/>
      <c r="C144" s="58">
        <v>4120</v>
      </c>
      <c r="D144" s="31" t="s">
        <v>82</v>
      </c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>
        <v>0</v>
      </c>
      <c r="V144" s="54">
        <v>67</v>
      </c>
      <c r="W144" s="54">
        <f t="shared" si="171"/>
        <v>67</v>
      </c>
      <c r="X144" s="54"/>
      <c r="Y144" s="54">
        <f t="shared" si="172"/>
        <v>67</v>
      </c>
      <c r="Z144" s="54"/>
      <c r="AA144" s="54">
        <f t="shared" si="173"/>
        <v>67</v>
      </c>
      <c r="AB144" s="54"/>
      <c r="AC144" s="54">
        <f t="shared" si="174"/>
        <v>67</v>
      </c>
      <c r="AD144" s="54"/>
      <c r="AE144" s="54">
        <f t="shared" si="175"/>
        <v>67</v>
      </c>
      <c r="AF144" s="54"/>
      <c r="AG144" s="54">
        <f t="shared" si="176"/>
        <v>67</v>
      </c>
      <c r="AH144" s="54"/>
      <c r="AI144" s="54">
        <f t="shared" si="177"/>
        <v>67</v>
      </c>
      <c r="AJ144" s="54"/>
      <c r="AK144" s="54">
        <f t="shared" si="178"/>
        <v>67</v>
      </c>
      <c r="AL144" s="67"/>
      <c r="AM144" s="67"/>
    </row>
    <row r="145" spans="1:37" s="20" customFormat="1" ht="21" customHeight="1">
      <c r="A145" s="58"/>
      <c r="B145" s="55"/>
      <c r="C145" s="41">
        <v>4210</v>
      </c>
      <c r="D145" s="31" t="s">
        <v>86</v>
      </c>
      <c r="E145" s="54">
        <v>1410</v>
      </c>
      <c r="F145" s="54"/>
      <c r="G145" s="54">
        <f t="shared" si="148"/>
        <v>1410</v>
      </c>
      <c r="H145" s="54"/>
      <c r="I145" s="54">
        <f>SUM(G145:H145)</f>
        <v>1410</v>
      </c>
      <c r="J145" s="54"/>
      <c r="K145" s="54">
        <f>SUM(I145:J145)</f>
        <v>1410</v>
      </c>
      <c r="L145" s="54"/>
      <c r="M145" s="54">
        <f>SUM(K145:L145)</f>
        <v>1410</v>
      </c>
      <c r="N145" s="54"/>
      <c r="O145" s="54">
        <f>SUM(M145:N145)</f>
        <v>1410</v>
      </c>
      <c r="P145" s="54"/>
      <c r="Q145" s="54">
        <f>SUM(O145:P145)</f>
        <v>1410</v>
      </c>
      <c r="R145" s="54"/>
      <c r="S145" s="54">
        <f>SUM(Q145:R145)</f>
        <v>1410</v>
      </c>
      <c r="T145" s="54"/>
      <c r="U145" s="54">
        <f>SUM(S145:T145)</f>
        <v>1410</v>
      </c>
      <c r="V145" s="54">
        <v>-1118</v>
      </c>
      <c r="W145" s="54">
        <f t="shared" si="171"/>
        <v>292</v>
      </c>
      <c r="X145" s="54"/>
      <c r="Y145" s="54">
        <f t="shared" si="172"/>
        <v>292</v>
      </c>
      <c r="Z145" s="54"/>
      <c r="AA145" s="54">
        <f t="shared" si="173"/>
        <v>292</v>
      </c>
      <c r="AB145" s="54"/>
      <c r="AC145" s="54">
        <f t="shared" si="174"/>
        <v>292</v>
      </c>
      <c r="AD145" s="54"/>
      <c r="AE145" s="54">
        <f t="shared" si="175"/>
        <v>292</v>
      </c>
      <c r="AF145" s="54"/>
      <c r="AG145" s="54">
        <f t="shared" si="176"/>
        <v>292</v>
      </c>
      <c r="AH145" s="54"/>
      <c r="AI145" s="54">
        <f t="shared" si="177"/>
        <v>292</v>
      </c>
      <c r="AJ145" s="54"/>
      <c r="AK145" s="54">
        <f t="shared" si="178"/>
        <v>292</v>
      </c>
    </row>
    <row r="146" spans="1:37" s="20" customFormat="1" ht="27" customHeight="1">
      <c r="A146" s="58"/>
      <c r="B146" s="55"/>
      <c r="C146" s="41">
        <v>4700</v>
      </c>
      <c r="D146" s="31" t="s">
        <v>193</v>
      </c>
      <c r="E146" s="54">
        <v>500</v>
      </c>
      <c r="F146" s="54"/>
      <c r="G146" s="54">
        <f t="shared" si="148"/>
        <v>500</v>
      </c>
      <c r="H146" s="54"/>
      <c r="I146" s="54">
        <f>SUM(G146:H146)</f>
        <v>500</v>
      </c>
      <c r="J146" s="54"/>
      <c r="K146" s="54">
        <f>SUM(I146:J146)</f>
        <v>500</v>
      </c>
      <c r="L146" s="54"/>
      <c r="M146" s="54">
        <f>SUM(K146:L146)</f>
        <v>500</v>
      </c>
      <c r="N146" s="54"/>
      <c r="O146" s="54">
        <f>SUM(M146:N146)</f>
        <v>500</v>
      </c>
      <c r="P146" s="54"/>
      <c r="Q146" s="54">
        <f>SUM(O146:P146)</f>
        <v>500</v>
      </c>
      <c r="R146" s="54"/>
      <c r="S146" s="54">
        <f>SUM(Q146:R146)</f>
        <v>500</v>
      </c>
      <c r="T146" s="54"/>
      <c r="U146" s="54">
        <f>SUM(S146:T146)</f>
        <v>500</v>
      </c>
      <c r="V146" s="54">
        <v>-140</v>
      </c>
      <c r="W146" s="54">
        <f t="shared" si="171"/>
        <v>360</v>
      </c>
      <c r="X146" s="54"/>
      <c r="Y146" s="54">
        <f t="shared" si="172"/>
        <v>360</v>
      </c>
      <c r="Z146" s="54"/>
      <c r="AA146" s="54">
        <f t="shared" si="173"/>
        <v>360</v>
      </c>
      <c r="AB146" s="54"/>
      <c r="AC146" s="54">
        <f t="shared" si="174"/>
        <v>360</v>
      </c>
      <c r="AD146" s="54"/>
      <c r="AE146" s="54">
        <f t="shared" si="175"/>
        <v>360</v>
      </c>
      <c r="AF146" s="54"/>
      <c r="AG146" s="54">
        <f t="shared" si="176"/>
        <v>360</v>
      </c>
      <c r="AH146" s="54"/>
      <c r="AI146" s="54">
        <f t="shared" si="177"/>
        <v>360</v>
      </c>
      <c r="AJ146" s="54"/>
      <c r="AK146" s="54">
        <f t="shared" si="178"/>
        <v>360</v>
      </c>
    </row>
    <row r="147" spans="1:37" s="20" customFormat="1" ht="36">
      <c r="A147" s="58"/>
      <c r="B147" s="55"/>
      <c r="C147" s="41">
        <v>4740</v>
      </c>
      <c r="D147" s="31" t="s">
        <v>183</v>
      </c>
      <c r="E147" s="54">
        <v>1000</v>
      </c>
      <c r="F147" s="54"/>
      <c r="G147" s="54">
        <f t="shared" si="148"/>
        <v>1000</v>
      </c>
      <c r="H147" s="54"/>
      <c r="I147" s="54">
        <f>SUM(G147:H147)</f>
        <v>1000</v>
      </c>
      <c r="J147" s="54"/>
      <c r="K147" s="54">
        <f>SUM(I147:J147)</f>
        <v>1000</v>
      </c>
      <c r="L147" s="54"/>
      <c r="M147" s="54">
        <f>SUM(K147:L147)</f>
        <v>1000</v>
      </c>
      <c r="N147" s="54"/>
      <c r="O147" s="54">
        <f>SUM(M147:N147)</f>
        <v>1000</v>
      </c>
      <c r="P147" s="54"/>
      <c r="Q147" s="54">
        <f>SUM(O147:P147)</f>
        <v>1000</v>
      </c>
      <c r="R147" s="54"/>
      <c r="S147" s="54">
        <f>SUM(Q147:R147)</f>
        <v>1000</v>
      </c>
      <c r="T147" s="54"/>
      <c r="U147" s="54">
        <f>SUM(S147:T147)</f>
        <v>1000</v>
      </c>
      <c r="V147" s="54">
        <v>-1000</v>
      </c>
      <c r="W147" s="54">
        <f t="shared" si="171"/>
        <v>0</v>
      </c>
      <c r="X147" s="54"/>
      <c r="Y147" s="54">
        <f t="shared" si="172"/>
        <v>0</v>
      </c>
      <c r="Z147" s="54"/>
      <c r="AA147" s="54">
        <f t="shared" si="173"/>
        <v>0</v>
      </c>
      <c r="AB147" s="54"/>
      <c r="AC147" s="54">
        <f t="shared" si="174"/>
        <v>0</v>
      </c>
      <c r="AD147" s="54"/>
      <c r="AE147" s="54">
        <f t="shared" si="175"/>
        <v>0</v>
      </c>
      <c r="AF147" s="54"/>
      <c r="AG147" s="54">
        <f t="shared" si="176"/>
        <v>0</v>
      </c>
      <c r="AH147" s="54"/>
      <c r="AI147" s="54">
        <f t="shared" si="177"/>
        <v>0</v>
      </c>
      <c r="AJ147" s="54"/>
      <c r="AK147" s="54">
        <f t="shared" si="178"/>
        <v>0</v>
      </c>
    </row>
    <row r="148" spans="1:37" s="20" customFormat="1" ht="24">
      <c r="A148" s="58"/>
      <c r="B148" s="55"/>
      <c r="C148" s="41">
        <v>4750</v>
      </c>
      <c r="D148" s="31" t="s">
        <v>305</v>
      </c>
      <c r="E148" s="54">
        <v>1000</v>
      </c>
      <c r="F148" s="54"/>
      <c r="G148" s="54">
        <f t="shared" si="148"/>
        <v>1000</v>
      </c>
      <c r="H148" s="54"/>
      <c r="I148" s="54">
        <f>SUM(G148:H148)</f>
        <v>1000</v>
      </c>
      <c r="J148" s="54"/>
      <c r="K148" s="54">
        <f>SUM(I148:J148)</f>
        <v>1000</v>
      </c>
      <c r="L148" s="54"/>
      <c r="M148" s="54">
        <f>SUM(K148:L148)</f>
        <v>1000</v>
      </c>
      <c r="N148" s="54"/>
      <c r="O148" s="54">
        <f>SUM(M148:N148)</f>
        <v>1000</v>
      </c>
      <c r="P148" s="54"/>
      <c r="Q148" s="54">
        <f>SUM(O148:P148)</f>
        <v>1000</v>
      </c>
      <c r="R148" s="54"/>
      <c r="S148" s="54">
        <f>SUM(Q148:R148)</f>
        <v>1000</v>
      </c>
      <c r="T148" s="54"/>
      <c r="U148" s="54">
        <f>SUM(S148:T148)</f>
        <v>1000</v>
      </c>
      <c r="V148" s="54">
        <v>-1000</v>
      </c>
      <c r="W148" s="54">
        <f t="shared" si="171"/>
        <v>0</v>
      </c>
      <c r="X148" s="54"/>
      <c r="Y148" s="54">
        <f t="shared" si="172"/>
        <v>0</v>
      </c>
      <c r="Z148" s="54"/>
      <c r="AA148" s="54">
        <f t="shared" si="173"/>
        <v>0</v>
      </c>
      <c r="AB148" s="54"/>
      <c r="AC148" s="54">
        <f t="shared" si="174"/>
        <v>0</v>
      </c>
      <c r="AD148" s="54"/>
      <c r="AE148" s="54">
        <f t="shared" si="175"/>
        <v>0</v>
      </c>
      <c r="AF148" s="54"/>
      <c r="AG148" s="54">
        <f t="shared" si="176"/>
        <v>0</v>
      </c>
      <c r="AH148" s="54"/>
      <c r="AI148" s="54">
        <f t="shared" si="177"/>
        <v>0</v>
      </c>
      <c r="AJ148" s="54"/>
      <c r="AK148" s="54">
        <f t="shared" si="178"/>
        <v>0</v>
      </c>
    </row>
    <row r="149" spans="1:37" s="20" customFormat="1" ht="21" customHeight="1">
      <c r="A149" s="58"/>
      <c r="B149" s="55">
        <v>75113</v>
      </c>
      <c r="C149" s="41"/>
      <c r="D149" s="31" t="s">
        <v>232</v>
      </c>
      <c r="E149" s="54"/>
      <c r="F149" s="54"/>
      <c r="G149" s="54"/>
      <c r="H149" s="54"/>
      <c r="I149" s="54"/>
      <c r="J149" s="54"/>
      <c r="K149" s="54">
        <f aca="true" t="shared" si="179" ref="K149:Q149">SUM(K151:K158)</f>
        <v>0</v>
      </c>
      <c r="L149" s="54">
        <f t="shared" si="179"/>
        <v>19932</v>
      </c>
      <c r="M149" s="54">
        <f t="shared" si="179"/>
        <v>19932</v>
      </c>
      <c r="N149" s="54">
        <f t="shared" si="179"/>
        <v>0</v>
      </c>
      <c r="O149" s="54">
        <f t="shared" si="179"/>
        <v>19932</v>
      </c>
      <c r="P149" s="54">
        <f t="shared" si="179"/>
        <v>1000</v>
      </c>
      <c r="Q149" s="54">
        <f t="shared" si="179"/>
        <v>20932</v>
      </c>
      <c r="R149" s="54">
        <f>SUM(R151:R158)</f>
        <v>0</v>
      </c>
      <c r="S149" s="54">
        <f aca="true" t="shared" si="180" ref="S149:Y149">SUM(S150:S158)</f>
        <v>20932</v>
      </c>
      <c r="T149" s="54">
        <f t="shared" si="180"/>
        <v>21240</v>
      </c>
      <c r="U149" s="54">
        <f t="shared" si="180"/>
        <v>42172</v>
      </c>
      <c r="V149" s="54">
        <f t="shared" si="180"/>
        <v>0</v>
      </c>
      <c r="W149" s="54">
        <f t="shared" si="180"/>
        <v>42172</v>
      </c>
      <c r="X149" s="54">
        <f t="shared" si="180"/>
        <v>0</v>
      </c>
      <c r="Y149" s="54">
        <f t="shared" si="180"/>
        <v>42172</v>
      </c>
      <c r="Z149" s="54">
        <f aca="true" t="shared" si="181" ref="Z149:AE149">SUM(Z150:Z158)</f>
        <v>0</v>
      </c>
      <c r="AA149" s="54">
        <f t="shared" si="181"/>
        <v>42172</v>
      </c>
      <c r="AB149" s="54">
        <f t="shared" si="181"/>
        <v>0</v>
      </c>
      <c r="AC149" s="54">
        <f t="shared" si="181"/>
        <v>42172</v>
      </c>
      <c r="AD149" s="54">
        <f t="shared" si="181"/>
        <v>0</v>
      </c>
      <c r="AE149" s="54">
        <f t="shared" si="181"/>
        <v>42172</v>
      </c>
      <c r="AF149" s="54">
        <f aca="true" t="shared" si="182" ref="AF149:AK149">SUM(AF150:AF158)</f>
        <v>0</v>
      </c>
      <c r="AG149" s="54">
        <f t="shared" si="182"/>
        <v>42172</v>
      </c>
      <c r="AH149" s="54">
        <f t="shared" si="182"/>
        <v>0</v>
      </c>
      <c r="AI149" s="54">
        <f t="shared" si="182"/>
        <v>42172</v>
      </c>
      <c r="AJ149" s="54">
        <f t="shared" si="182"/>
        <v>0</v>
      </c>
      <c r="AK149" s="54">
        <f t="shared" si="182"/>
        <v>42172</v>
      </c>
    </row>
    <row r="150" spans="1:37" s="20" customFormat="1" ht="21" customHeight="1">
      <c r="A150" s="58"/>
      <c r="B150" s="55"/>
      <c r="C150" s="41">
        <v>3030</v>
      </c>
      <c r="D150" s="31" t="s">
        <v>84</v>
      </c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>
        <v>0</v>
      </c>
      <c r="T150" s="54">
        <v>21240</v>
      </c>
      <c r="U150" s="54">
        <f aca="true" t="shared" si="183" ref="U150:U158">SUM(S150:T150)</f>
        <v>21240</v>
      </c>
      <c r="V150" s="54"/>
      <c r="W150" s="54">
        <f aca="true" t="shared" si="184" ref="W150:W158">SUM(U150:V150)</f>
        <v>21240</v>
      </c>
      <c r="X150" s="54"/>
      <c r="Y150" s="54">
        <f aca="true" t="shared" si="185" ref="Y150:Y158">SUM(W150:X150)</f>
        <v>21240</v>
      </c>
      <c r="Z150" s="54"/>
      <c r="AA150" s="54">
        <f aca="true" t="shared" si="186" ref="AA150:AA158">SUM(Y150:Z150)</f>
        <v>21240</v>
      </c>
      <c r="AB150" s="54"/>
      <c r="AC150" s="54">
        <f aca="true" t="shared" si="187" ref="AC150:AC158">SUM(AA150:AB150)</f>
        <v>21240</v>
      </c>
      <c r="AD150" s="54"/>
      <c r="AE150" s="54">
        <f aca="true" t="shared" si="188" ref="AE150:AE158">SUM(AC150:AD150)</f>
        <v>21240</v>
      </c>
      <c r="AF150" s="54"/>
      <c r="AG150" s="54">
        <f aca="true" t="shared" si="189" ref="AG150:AG158">SUM(AE150:AF150)</f>
        <v>21240</v>
      </c>
      <c r="AH150" s="54"/>
      <c r="AI150" s="54">
        <f aca="true" t="shared" si="190" ref="AI150:AI158">SUM(AG150:AH150)</f>
        <v>21240</v>
      </c>
      <c r="AJ150" s="54"/>
      <c r="AK150" s="54">
        <f aca="true" t="shared" si="191" ref="AK150:AK158">SUM(AI150:AJ150)</f>
        <v>21240</v>
      </c>
    </row>
    <row r="151" spans="1:39" s="20" customFormat="1" ht="21" customHeight="1">
      <c r="A151" s="58"/>
      <c r="B151" s="55"/>
      <c r="C151" s="41">
        <v>4110</v>
      </c>
      <c r="D151" s="31" t="s">
        <v>81</v>
      </c>
      <c r="E151" s="54"/>
      <c r="F151" s="54"/>
      <c r="G151" s="54"/>
      <c r="H151" s="54"/>
      <c r="I151" s="54"/>
      <c r="J151" s="54"/>
      <c r="K151" s="54">
        <v>0</v>
      </c>
      <c r="L151" s="54">
        <v>72</v>
      </c>
      <c r="M151" s="54">
        <f aca="true" t="shared" si="192" ref="M151:M158">SUM(K151:L151)</f>
        <v>72</v>
      </c>
      <c r="N151" s="54"/>
      <c r="O151" s="54">
        <f aca="true" t="shared" si="193" ref="O151:O158">SUM(M151:N151)</f>
        <v>72</v>
      </c>
      <c r="P151" s="54"/>
      <c r="Q151" s="54">
        <f aca="true" t="shared" si="194" ref="Q151:Q158">SUM(O151:P151)</f>
        <v>72</v>
      </c>
      <c r="R151" s="54"/>
      <c r="S151" s="54">
        <f aca="true" t="shared" si="195" ref="S151:S158">SUM(Q151:R151)</f>
        <v>72</v>
      </c>
      <c r="T151" s="54"/>
      <c r="U151" s="54">
        <f t="shared" si="183"/>
        <v>72</v>
      </c>
      <c r="V151" s="54">
        <v>507</v>
      </c>
      <c r="W151" s="54">
        <f t="shared" si="184"/>
        <v>579</v>
      </c>
      <c r="X151" s="54"/>
      <c r="Y151" s="54">
        <f t="shared" si="185"/>
        <v>579</v>
      </c>
      <c r="Z151" s="54"/>
      <c r="AA151" s="54">
        <f t="shared" si="186"/>
        <v>579</v>
      </c>
      <c r="AB151" s="54"/>
      <c r="AC151" s="54">
        <f t="shared" si="187"/>
        <v>579</v>
      </c>
      <c r="AD151" s="54"/>
      <c r="AE151" s="54">
        <f t="shared" si="188"/>
        <v>579</v>
      </c>
      <c r="AF151" s="54"/>
      <c r="AG151" s="54">
        <f t="shared" si="189"/>
        <v>579</v>
      </c>
      <c r="AH151" s="54"/>
      <c r="AI151" s="54">
        <f t="shared" si="190"/>
        <v>579</v>
      </c>
      <c r="AJ151" s="54"/>
      <c r="AK151" s="54">
        <f t="shared" si="191"/>
        <v>579</v>
      </c>
      <c r="AL151" s="67"/>
      <c r="AM151" s="67"/>
    </row>
    <row r="152" spans="1:39" s="20" customFormat="1" ht="21" customHeight="1">
      <c r="A152" s="58"/>
      <c r="B152" s="55"/>
      <c r="C152" s="41">
        <v>4120</v>
      </c>
      <c r="D152" s="31" t="s">
        <v>322</v>
      </c>
      <c r="E152" s="54"/>
      <c r="F152" s="54"/>
      <c r="G152" s="54"/>
      <c r="H152" s="54"/>
      <c r="I152" s="54"/>
      <c r="J152" s="54"/>
      <c r="K152" s="54">
        <v>0</v>
      </c>
      <c r="L152" s="54">
        <v>428</v>
      </c>
      <c r="M152" s="54">
        <f t="shared" si="192"/>
        <v>428</v>
      </c>
      <c r="N152" s="54"/>
      <c r="O152" s="54">
        <f t="shared" si="193"/>
        <v>428</v>
      </c>
      <c r="P152" s="54"/>
      <c r="Q152" s="54">
        <f t="shared" si="194"/>
        <v>428</v>
      </c>
      <c r="R152" s="54"/>
      <c r="S152" s="54">
        <f t="shared" si="195"/>
        <v>428</v>
      </c>
      <c r="T152" s="54"/>
      <c r="U152" s="54">
        <f t="shared" si="183"/>
        <v>428</v>
      </c>
      <c r="V152" s="54">
        <v>-333</v>
      </c>
      <c r="W152" s="54">
        <f t="shared" si="184"/>
        <v>95</v>
      </c>
      <c r="X152" s="54"/>
      <c r="Y152" s="54">
        <f t="shared" si="185"/>
        <v>95</v>
      </c>
      <c r="Z152" s="54"/>
      <c r="AA152" s="54">
        <f t="shared" si="186"/>
        <v>95</v>
      </c>
      <c r="AB152" s="54"/>
      <c r="AC152" s="54">
        <f t="shared" si="187"/>
        <v>95</v>
      </c>
      <c r="AD152" s="54"/>
      <c r="AE152" s="54">
        <f t="shared" si="188"/>
        <v>95</v>
      </c>
      <c r="AF152" s="54"/>
      <c r="AG152" s="54">
        <f t="shared" si="189"/>
        <v>95</v>
      </c>
      <c r="AH152" s="54"/>
      <c r="AI152" s="54">
        <f t="shared" si="190"/>
        <v>95</v>
      </c>
      <c r="AJ152" s="54"/>
      <c r="AK152" s="54">
        <f t="shared" si="191"/>
        <v>95</v>
      </c>
      <c r="AL152" s="67"/>
      <c r="AM152" s="67"/>
    </row>
    <row r="153" spans="1:39" s="20" customFormat="1" ht="21" customHeight="1">
      <c r="A153" s="58"/>
      <c r="B153" s="55"/>
      <c r="C153" s="41">
        <v>4170</v>
      </c>
      <c r="D153" s="31" t="s">
        <v>161</v>
      </c>
      <c r="E153" s="54"/>
      <c r="F153" s="54"/>
      <c r="G153" s="54"/>
      <c r="H153" s="54"/>
      <c r="I153" s="54"/>
      <c r="J153" s="54"/>
      <c r="K153" s="54">
        <v>0</v>
      </c>
      <c r="L153" s="54">
        <v>6580</v>
      </c>
      <c r="M153" s="54">
        <f t="shared" si="192"/>
        <v>6580</v>
      </c>
      <c r="N153" s="54"/>
      <c r="O153" s="54">
        <f t="shared" si="193"/>
        <v>6580</v>
      </c>
      <c r="P153" s="54"/>
      <c r="Q153" s="54">
        <f t="shared" si="194"/>
        <v>6580</v>
      </c>
      <c r="R153" s="54"/>
      <c r="S153" s="54">
        <f t="shared" si="195"/>
        <v>6580</v>
      </c>
      <c r="T153" s="54"/>
      <c r="U153" s="54">
        <f t="shared" si="183"/>
        <v>6580</v>
      </c>
      <c r="V153" s="54">
        <v>650</v>
      </c>
      <c r="W153" s="54">
        <f t="shared" si="184"/>
        <v>7230</v>
      </c>
      <c r="X153" s="54"/>
      <c r="Y153" s="54">
        <f t="shared" si="185"/>
        <v>7230</v>
      </c>
      <c r="Z153" s="54"/>
      <c r="AA153" s="54">
        <f t="shared" si="186"/>
        <v>7230</v>
      </c>
      <c r="AB153" s="54"/>
      <c r="AC153" s="54">
        <f t="shared" si="187"/>
        <v>7230</v>
      </c>
      <c r="AD153" s="54"/>
      <c r="AE153" s="54">
        <f t="shared" si="188"/>
        <v>7230</v>
      </c>
      <c r="AF153" s="54"/>
      <c r="AG153" s="54">
        <f t="shared" si="189"/>
        <v>7230</v>
      </c>
      <c r="AH153" s="54"/>
      <c r="AI153" s="54">
        <f t="shared" si="190"/>
        <v>7230</v>
      </c>
      <c r="AJ153" s="54"/>
      <c r="AK153" s="54">
        <f t="shared" si="191"/>
        <v>7230</v>
      </c>
      <c r="AL153" s="67"/>
      <c r="AM153" s="67"/>
    </row>
    <row r="154" spans="1:37" s="20" customFormat="1" ht="24" customHeight="1">
      <c r="A154" s="58"/>
      <c r="B154" s="55"/>
      <c r="C154" s="41">
        <v>4210</v>
      </c>
      <c r="D154" s="31" t="s">
        <v>86</v>
      </c>
      <c r="E154" s="54"/>
      <c r="F154" s="54"/>
      <c r="G154" s="54"/>
      <c r="H154" s="54"/>
      <c r="I154" s="54"/>
      <c r="J154" s="54"/>
      <c r="K154" s="54">
        <v>0</v>
      </c>
      <c r="L154" s="54">
        <v>7844</v>
      </c>
      <c r="M154" s="54">
        <f t="shared" si="192"/>
        <v>7844</v>
      </c>
      <c r="N154" s="54"/>
      <c r="O154" s="54">
        <f t="shared" si="193"/>
        <v>7844</v>
      </c>
      <c r="P154" s="54">
        <v>1000</v>
      </c>
      <c r="Q154" s="54">
        <f t="shared" si="194"/>
        <v>8844</v>
      </c>
      <c r="R154" s="54">
        <v>-1000</v>
      </c>
      <c r="S154" s="54">
        <f t="shared" si="195"/>
        <v>7844</v>
      </c>
      <c r="T154" s="54"/>
      <c r="U154" s="54">
        <f t="shared" si="183"/>
        <v>7844</v>
      </c>
      <c r="V154" s="54">
        <v>-1156</v>
      </c>
      <c r="W154" s="54">
        <f t="shared" si="184"/>
        <v>6688</v>
      </c>
      <c r="X154" s="54"/>
      <c r="Y154" s="54">
        <f t="shared" si="185"/>
        <v>6688</v>
      </c>
      <c r="Z154" s="54"/>
      <c r="AA154" s="54">
        <f t="shared" si="186"/>
        <v>6688</v>
      </c>
      <c r="AB154" s="54"/>
      <c r="AC154" s="54">
        <f t="shared" si="187"/>
        <v>6688</v>
      </c>
      <c r="AD154" s="54"/>
      <c r="AE154" s="54">
        <f t="shared" si="188"/>
        <v>6688</v>
      </c>
      <c r="AF154" s="54"/>
      <c r="AG154" s="54">
        <f t="shared" si="189"/>
        <v>6688</v>
      </c>
      <c r="AH154" s="54"/>
      <c r="AI154" s="54">
        <f t="shared" si="190"/>
        <v>6688</v>
      </c>
      <c r="AJ154" s="54"/>
      <c r="AK154" s="54">
        <f t="shared" si="191"/>
        <v>6688</v>
      </c>
    </row>
    <row r="155" spans="1:37" s="20" customFormat="1" ht="24" customHeight="1">
      <c r="A155" s="58"/>
      <c r="B155" s="55"/>
      <c r="C155" s="41">
        <v>4300</v>
      </c>
      <c r="D155" s="31" t="s">
        <v>75</v>
      </c>
      <c r="E155" s="54"/>
      <c r="F155" s="54"/>
      <c r="G155" s="54"/>
      <c r="H155" s="54"/>
      <c r="I155" s="54"/>
      <c r="J155" s="54"/>
      <c r="K155" s="54">
        <v>0</v>
      </c>
      <c r="L155" s="54">
        <v>2037</v>
      </c>
      <c r="M155" s="54">
        <f t="shared" si="192"/>
        <v>2037</v>
      </c>
      <c r="N155" s="54"/>
      <c r="O155" s="54">
        <f t="shared" si="193"/>
        <v>2037</v>
      </c>
      <c r="P155" s="54"/>
      <c r="Q155" s="54">
        <f t="shared" si="194"/>
        <v>2037</v>
      </c>
      <c r="R155" s="54"/>
      <c r="S155" s="54">
        <f t="shared" si="195"/>
        <v>2037</v>
      </c>
      <c r="T155" s="54"/>
      <c r="U155" s="54">
        <f t="shared" si="183"/>
        <v>2037</v>
      </c>
      <c r="V155" s="54"/>
      <c r="W155" s="54">
        <f t="shared" si="184"/>
        <v>2037</v>
      </c>
      <c r="X155" s="54"/>
      <c r="Y155" s="54">
        <f t="shared" si="185"/>
        <v>2037</v>
      </c>
      <c r="Z155" s="54"/>
      <c r="AA155" s="54">
        <f t="shared" si="186"/>
        <v>2037</v>
      </c>
      <c r="AB155" s="54"/>
      <c r="AC155" s="54">
        <f t="shared" si="187"/>
        <v>2037</v>
      </c>
      <c r="AD155" s="54"/>
      <c r="AE155" s="54">
        <f t="shared" si="188"/>
        <v>2037</v>
      </c>
      <c r="AF155" s="54"/>
      <c r="AG155" s="54">
        <f t="shared" si="189"/>
        <v>2037</v>
      </c>
      <c r="AH155" s="54"/>
      <c r="AI155" s="54">
        <f t="shared" si="190"/>
        <v>2037</v>
      </c>
      <c r="AJ155" s="54"/>
      <c r="AK155" s="54">
        <f t="shared" si="191"/>
        <v>2037</v>
      </c>
    </row>
    <row r="156" spans="1:37" s="20" customFormat="1" ht="24" customHeight="1">
      <c r="A156" s="58"/>
      <c r="B156" s="55"/>
      <c r="C156" s="41">
        <v>4410</v>
      </c>
      <c r="D156" s="31" t="s">
        <v>85</v>
      </c>
      <c r="E156" s="54"/>
      <c r="F156" s="54"/>
      <c r="G156" s="54"/>
      <c r="H156" s="54"/>
      <c r="I156" s="54"/>
      <c r="J156" s="54"/>
      <c r="K156" s="54">
        <v>0</v>
      </c>
      <c r="L156" s="54">
        <v>2500</v>
      </c>
      <c r="M156" s="54">
        <f t="shared" si="192"/>
        <v>2500</v>
      </c>
      <c r="N156" s="54"/>
      <c r="O156" s="54">
        <f t="shared" si="193"/>
        <v>2500</v>
      </c>
      <c r="P156" s="54"/>
      <c r="Q156" s="54">
        <f t="shared" si="194"/>
        <v>2500</v>
      </c>
      <c r="R156" s="54"/>
      <c r="S156" s="54">
        <f t="shared" si="195"/>
        <v>2500</v>
      </c>
      <c r="T156" s="54"/>
      <c r="U156" s="54">
        <f t="shared" si="183"/>
        <v>2500</v>
      </c>
      <c r="V156" s="54">
        <v>-1395</v>
      </c>
      <c r="W156" s="54">
        <f t="shared" si="184"/>
        <v>1105</v>
      </c>
      <c r="X156" s="54"/>
      <c r="Y156" s="54">
        <f t="shared" si="185"/>
        <v>1105</v>
      </c>
      <c r="Z156" s="54"/>
      <c r="AA156" s="54">
        <f t="shared" si="186"/>
        <v>1105</v>
      </c>
      <c r="AB156" s="54"/>
      <c r="AC156" s="54">
        <f t="shared" si="187"/>
        <v>1105</v>
      </c>
      <c r="AD156" s="54"/>
      <c r="AE156" s="54">
        <f t="shared" si="188"/>
        <v>1105</v>
      </c>
      <c r="AF156" s="54"/>
      <c r="AG156" s="54">
        <f t="shared" si="189"/>
        <v>1105</v>
      </c>
      <c r="AH156" s="54"/>
      <c r="AI156" s="54">
        <f t="shared" si="190"/>
        <v>1105</v>
      </c>
      <c r="AJ156" s="54"/>
      <c r="AK156" s="54">
        <f t="shared" si="191"/>
        <v>1105</v>
      </c>
    </row>
    <row r="157" spans="1:37" s="20" customFormat="1" ht="36">
      <c r="A157" s="58"/>
      <c r="B157" s="55"/>
      <c r="C157" s="41">
        <v>4740</v>
      </c>
      <c r="D157" s="31" t="s">
        <v>183</v>
      </c>
      <c r="E157" s="54"/>
      <c r="F157" s="54"/>
      <c r="G157" s="54"/>
      <c r="H157" s="54"/>
      <c r="I157" s="54"/>
      <c r="J157" s="54"/>
      <c r="K157" s="54">
        <v>0</v>
      </c>
      <c r="L157" s="54">
        <v>238</v>
      </c>
      <c r="M157" s="54">
        <f t="shared" si="192"/>
        <v>238</v>
      </c>
      <c r="N157" s="54"/>
      <c r="O157" s="54">
        <f t="shared" si="193"/>
        <v>238</v>
      </c>
      <c r="P157" s="54"/>
      <c r="Q157" s="54">
        <f t="shared" si="194"/>
        <v>238</v>
      </c>
      <c r="R157" s="54"/>
      <c r="S157" s="54">
        <f t="shared" si="195"/>
        <v>238</v>
      </c>
      <c r="T157" s="54"/>
      <c r="U157" s="54">
        <f t="shared" si="183"/>
        <v>238</v>
      </c>
      <c r="V157" s="54">
        <v>42</v>
      </c>
      <c r="W157" s="54">
        <f t="shared" si="184"/>
        <v>280</v>
      </c>
      <c r="X157" s="54"/>
      <c r="Y157" s="54">
        <f t="shared" si="185"/>
        <v>280</v>
      </c>
      <c r="Z157" s="54"/>
      <c r="AA157" s="54">
        <f t="shared" si="186"/>
        <v>280</v>
      </c>
      <c r="AB157" s="54"/>
      <c r="AC157" s="54">
        <f t="shared" si="187"/>
        <v>280</v>
      </c>
      <c r="AD157" s="54"/>
      <c r="AE157" s="54">
        <f t="shared" si="188"/>
        <v>280</v>
      </c>
      <c r="AF157" s="54"/>
      <c r="AG157" s="54">
        <f t="shared" si="189"/>
        <v>280</v>
      </c>
      <c r="AH157" s="54"/>
      <c r="AI157" s="54">
        <f t="shared" si="190"/>
        <v>280</v>
      </c>
      <c r="AJ157" s="54"/>
      <c r="AK157" s="54">
        <f t="shared" si="191"/>
        <v>280</v>
      </c>
    </row>
    <row r="158" spans="1:37" s="20" customFormat="1" ht="25.5" customHeight="1">
      <c r="A158" s="58"/>
      <c r="B158" s="55"/>
      <c r="C158" s="41">
        <v>4750</v>
      </c>
      <c r="D158" s="31" t="s">
        <v>305</v>
      </c>
      <c r="E158" s="54"/>
      <c r="F158" s="54"/>
      <c r="G158" s="54"/>
      <c r="H158" s="54"/>
      <c r="I158" s="54"/>
      <c r="J158" s="54"/>
      <c r="K158" s="54">
        <v>0</v>
      </c>
      <c r="L158" s="54">
        <v>233</v>
      </c>
      <c r="M158" s="54">
        <f t="shared" si="192"/>
        <v>233</v>
      </c>
      <c r="N158" s="54"/>
      <c r="O158" s="54">
        <f t="shared" si="193"/>
        <v>233</v>
      </c>
      <c r="P158" s="54"/>
      <c r="Q158" s="54">
        <f t="shared" si="194"/>
        <v>233</v>
      </c>
      <c r="R158" s="54">
        <v>1000</v>
      </c>
      <c r="S158" s="54">
        <f t="shared" si="195"/>
        <v>1233</v>
      </c>
      <c r="T158" s="54"/>
      <c r="U158" s="54">
        <f t="shared" si="183"/>
        <v>1233</v>
      </c>
      <c r="V158" s="54">
        <v>1685</v>
      </c>
      <c r="W158" s="54">
        <f t="shared" si="184"/>
        <v>2918</v>
      </c>
      <c r="X158" s="54"/>
      <c r="Y158" s="54">
        <f t="shared" si="185"/>
        <v>2918</v>
      </c>
      <c r="Z158" s="54"/>
      <c r="AA158" s="54">
        <f t="shared" si="186"/>
        <v>2918</v>
      </c>
      <c r="AB158" s="54"/>
      <c r="AC158" s="54">
        <f t="shared" si="187"/>
        <v>2918</v>
      </c>
      <c r="AD158" s="54"/>
      <c r="AE158" s="54">
        <f t="shared" si="188"/>
        <v>2918</v>
      </c>
      <c r="AF158" s="54"/>
      <c r="AG158" s="54">
        <f t="shared" si="189"/>
        <v>2918</v>
      </c>
      <c r="AH158" s="54"/>
      <c r="AI158" s="54">
        <f t="shared" si="190"/>
        <v>2918</v>
      </c>
      <c r="AJ158" s="54"/>
      <c r="AK158" s="54">
        <f t="shared" si="191"/>
        <v>2918</v>
      </c>
    </row>
    <row r="159" spans="1:37" s="5" customFormat="1" ht="24.75" customHeight="1">
      <c r="A159" s="27" t="s">
        <v>21</v>
      </c>
      <c r="B159" s="28"/>
      <c r="C159" s="29"/>
      <c r="D159" s="30" t="s">
        <v>22</v>
      </c>
      <c r="E159" s="134">
        <f aca="true" t="shared" si="196" ref="E159:K159">SUM(E162,E177,E198,)</f>
        <v>448253</v>
      </c>
      <c r="F159" s="134">
        <f t="shared" si="196"/>
        <v>150000</v>
      </c>
      <c r="G159" s="134">
        <f t="shared" si="196"/>
        <v>598253</v>
      </c>
      <c r="H159" s="134">
        <f t="shared" si="196"/>
        <v>0</v>
      </c>
      <c r="I159" s="134">
        <f t="shared" si="196"/>
        <v>598253</v>
      </c>
      <c r="J159" s="134">
        <f t="shared" si="196"/>
        <v>0</v>
      </c>
      <c r="K159" s="134">
        <f t="shared" si="196"/>
        <v>598253</v>
      </c>
      <c r="L159" s="134">
        <f>SUM(L162,L177,L198,)</f>
        <v>0</v>
      </c>
      <c r="M159" s="134">
        <f>SUM(M162,M177,M198,)</f>
        <v>598253</v>
      </c>
      <c r="N159" s="134">
        <f>SUM(N162,N177,N198,)</f>
        <v>0</v>
      </c>
      <c r="O159" s="134">
        <f>SUM(O162,O177,O198,)</f>
        <v>598253</v>
      </c>
      <c r="P159" s="134">
        <f>SUM(P162,P177,P198,)</f>
        <v>0</v>
      </c>
      <c r="Q159" s="134">
        <f aca="true" t="shared" si="197" ref="Q159:W159">SUM(Q162,Q177,Q198,Q160)</f>
        <v>598253</v>
      </c>
      <c r="R159" s="134">
        <f t="shared" si="197"/>
        <v>150000</v>
      </c>
      <c r="S159" s="134">
        <f t="shared" si="197"/>
        <v>748253</v>
      </c>
      <c r="T159" s="134">
        <f t="shared" si="197"/>
        <v>0</v>
      </c>
      <c r="U159" s="134">
        <f t="shared" si="197"/>
        <v>748253</v>
      </c>
      <c r="V159" s="134">
        <f t="shared" si="197"/>
        <v>0</v>
      </c>
      <c r="W159" s="134">
        <f t="shared" si="197"/>
        <v>748253</v>
      </c>
      <c r="X159" s="134">
        <f>SUM(X162,X177,X198,X160)</f>
        <v>0</v>
      </c>
      <c r="Y159" s="134">
        <f aca="true" t="shared" si="198" ref="Y159:AE159">SUM(Y162,Y177,Y198,Y160,Y195)</f>
        <v>748253</v>
      </c>
      <c r="Z159" s="134">
        <f t="shared" si="198"/>
        <v>76000</v>
      </c>
      <c r="AA159" s="134">
        <f t="shared" si="198"/>
        <v>824253</v>
      </c>
      <c r="AB159" s="134">
        <f t="shared" si="198"/>
        <v>0</v>
      </c>
      <c r="AC159" s="134">
        <f t="shared" si="198"/>
        <v>824253</v>
      </c>
      <c r="AD159" s="134">
        <f t="shared" si="198"/>
        <v>0</v>
      </c>
      <c r="AE159" s="134">
        <f t="shared" si="198"/>
        <v>824253</v>
      </c>
      <c r="AF159" s="134">
        <f aca="true" t="shared" si="199" ref="AF159:AK159">SUM(AF162,AF177,AF198,AF160,AF195)</f>
        <v>3000</v>
      </c>
      <c r="AG159" s="134">
        <f t="shared" si="199"/>
        <v>827253</v>
      </c>
      <c r="AH159" s="134">
        <f t="shared" si="199"/>
        <v>0</v>
      </c>
      <c r="AI159" s="134">
        <f t="shared" si="199"/>
        <v>827253</v>
      </c>
      <c r="AJ159" s="134">
        <f t="shared" si="199"/>
        <v>0</v>
      </c>
      <c r="AK159" s="134">
        <f t="shared" si="199"/>
        <v>827253</v>
      </c>
    </row>
    <row r="160" spans="1:37" s="75" customFormat="1" ht="24.75" customHeight="1">
      <c r="A160" s="107"/>
      <c r="B160" s="100">
        <v>75411</v>
      </c>
      <c r="C160" s="101"/>
      <c r="D160" s="99" t="s">
        <v>243</v>
      </c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>
        <f aca="true" t="shared" si="200" ref="Q160:AK160">SUM(Q161)</f>
        <v>0</v>
      </c>
      <c r="R160" s="139">
        <f t="shared" si="200"/>
        <v>150000</v>
      </c>
      <c r="S160" s="139">
        <f t="shared" si="200"/>
        <v>150000</v>
      </c>
      <c r="T160" s="139">
        <f t="shared" si="200"/>
        <v>0</v>
      </c>
      <c r="U160" s="139">
        <f t="shared" si="200"/>
        <v>150000</v>
      </c>
      <c r="V160" s="139">
        <f t="shared" si="200"/>
        <v>0</v>
      </c>
      <c r="W160" s="139">
        <f t="shared" si="200"/>
        <v>150000</v>
      </c>
      <c r="X160" s="139">
        <f t="shared" si="200"/>
        <v>0</v>
      </c>
      <c r="Y160" s="139">
        <f t="shared" si="200"/>
        <v>150000</v>
      </c>
      <c r="Z160" s="139">
        <f t="shared" si="200"/>
        <v>0</v>
      </c>
      <c r="AA160" s="139">
        <f t="shared" si="200"/>
        <v>150000</v>
      </c>
      <c r="AB160" s="139">
        <f t="shared" si="200"/>
        <v>0</v>
      </c>
      <c r="AC160" s="139">
        <f t="shared" si="200"/>
        <v>150000</v>
      </c>
      <c r="AD160" s="139">
        <f t="shared" si="200"/>
        <v>0</v>
      </c>
      <c r="AE160" s="139">
        <f t="shared" si="200"/>
        <v>150000</v>
      </c>
      <c r="AF160" s="139">
        <f t="shared" si="200"/>
        <v>0</v>
      </c>
      <c r="AG160" s="139">
        <f t="shared" si="200"/>
        <v>150000</v>
      </c>
      <c r="AH160" s="139">
        <f t="shared" si="200"/>
        <v>0</v>
      </c>
      <c r="AI160" s="139">
        <f t="shared" si="200"/>
        <v>150000</v>
      </c>
      <c r="AJ160" s="139">
        <f t="shared" si="200"/>
        <v>0</v>
      </c>
      <c r="AK160" s="139">
        <f t="shared" si="200"/>
        <v>150000</v>
      </c>
    </row>
    <row r="161" spans="1:43" s="75" customFormat="1" ht="60">
      <c r="A161" s="107"/>
      <c r="B161" s="100"/>
      <c r="C161" s="101">
        <v>6620</v>
      </c>
      <c r="D161" s="99" t="s">
        <v>244</v>
      </c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>
        <v>0</v>
      </c>
      <c r="R161" s="139">
        <v>150000</v>
      </c>
      <c r="S161" s="139">
        <f>SUM(Q161:R161)</f>
        <v>150000</v>
      </c>
      <c r="T161" s="139"/>
      <c r="U161" s="139">
        <f>SUM(S161:T161)</f>
        <v>150000</v>
      </c>
      <c r="V161" s="139"/>
      <c r="W161" s="139">
        <f>SUM(U161:V161)</f>
        <v>150000</v>
      </c>
      <c r="X161" s="139"/>
      <c r="Y161" s="139">
        <f>SUM(W161:X161)</f>
        <v>150000</v>
      </c>
      <c r="Z161" s="139"/>
      <c r="AA161" s="139">
        <f>SUM(Y161:Z161)</f>
        <v>150000</v>
      </c>
      <c r="AB161" s="139"/>
      <c r="AC161" s="139">
        <f>SUM(AA161:AB161)</f>
        <v>150000</v>
      </c>
      <c r="AD161" s="139"/>
      <c r="AE161" s="139">
        <f>SUM(AC161:AD161)</f>
        <v>150000</v>
      </c>
      <c r="AF161" s="139"/>
      <c r="AG161" s="139">
        <f>SUM(AE161:AF161)</f>
        <v>150000</v>
      </c>
      <c r="AH161" s="139"/>
      <c r="AI161" s="139">
        <f>SUM(AG161:AH161)</f>
        <v>150000</v>
      </c>
      <c r="AJ161" s="139"/>
      <c r="AK161" s="139">
        <f>SUM(AI161:AJ161)</f>
        <v>150000</v>
      </c>
      <c r="AN161" s="166"/>
      <c r="AO161" s="166"/>
      <c r="AP161" s="166"/>
      <c r="AQ161" s="166"/>
    </row>
    <row r="162" spans="1:37" s="20" customFormat="1" ht="21.75" customHeight="1">
      <c r="A162" s="58"/>
      <c r="B162" s="55" t="s">
        <v>323</v>
      </c>
      <c r="C162" s="58"/>
      <c r="D162" s="31" t="s">
        <v>90</v>
      </c>
      <c r="E162" s="54">
        <f>SUM(E163:E175)</f>
        <v>184000</v>
      </c>
      <c r="F162" s="54">
        <f>SUM(F163:F175)</f>
        <v>0</v>
      </c>
      <c r="G162" s="54">
        <f>SUM(G163:G175)</f>
        <v>184000</v>
      </c>
      <c r="H162" s="54">
        <f>SUM(H163:H175)</f>
        <v>0</v>
      </c>
      <c r="I162" s="54">
        <f aca="true" t="shared" si="201" ref="I162:U162">SUM(I163:I176)</f>
        <v>184000</v>
      </c>
      <c r="J162" s="54">
        <f t="shared" si="201"/>
        <v>0</v>
      </c>
      <c r="K162" s="54">
        <f t="shared" si="201"/>
        <v>184000</v>
      </c>
      <c r="L162" s="54">
        <f t="shared" si="201"/>
        <v>0</v>
      </c>
      <c r="M162" s="54">
        <f t="shared" si="201"/>
        <v>184000</v>
      </c>
      <c r="N162" s="54">
        <f t="shared" si="201"/>
        <v>0</v>
      </c>
      <c r="O162" s="54">
        <f t="shared" si="201"/>
        <v>184000</v>
      </c>
      <c r="P162" s="54">
        <f t="shared" si="201"/>
        <v>0</v>
      </c>
      <c r="Q162" s="54">
        <f t="shared" si="201"/>
        <v>184000</v>
      </c>
      <c r="R162" s="54">
        <f t="shared" si="201"/>
        <v>0</v>
      </c>
      <c r="S162" s="54">
        <f t="shared" si="201"/>
        <v>184000</v>
      </c>
      <c r="T162" s="54">
        <f t="shared" si="201"/>
        <v>0</v>
      </c>
      <c r="U162" s="54">
        <f t="shared" si="201"/>
        <v>184000</v>
      </c>
      <c r="V162" s="54">
        <f aca="true" t="shared" si="202" ref="V162:AA162">SUM(V163:V176)</f>
        <v>0</v>
      </c>
      <c r="W162" s="54">
        <f t="shared" si="202"/>
        <v>184000</v>
      </c>
      <c r="X162" s="54">
        <f t="shared" si="202"/>
        <v>0</v>
      </c>
      <c r="Y162" s="54">
        <f t="shared" si="202"/>
        <v>184000</v>
      </c>
      <c r="Z162" s="54">
        <f t="shared" si="202"/>
        <v>0</v>
      </c>
      <c r="AA162" s="54">
        <f t="shared" si="202"/>
        <v>184000</v>
      </c>
      <c r="AB162" s="54">
        <f aca="true" t="shared" si="203" ref="AB162:AG162">SUM(AB163:AB176)</f>
        <v>0</v>
      </c>
      <c r="AC162" s="54">
        <f t="shared" si="203"/>
        <v>184000</v>
      </c>
      <c r="AD162" s="54">
        <f t="shared" si="203"/>
        <v>0</v>
      </c>
      <c r="AE162" s="54">
        <f t="shared" si="203"/>
        <v>184000</v>
      </c>
      <c r="AF162" s="54">
        <f t="shared" si="203"/>
        <v>3000</v>
      </c>
      <c r="AG162" s="54">
        <f t="shared" si="203"/>
        <v>187000</v>
      </c>
      <c r="AH162" s="54">
        <f>SUM(AH163:AH176)</f>
        <v>0</v>
      </c>
      <c r="AI162" s="54">
        <f>SUM(AI163:AI176)</f>
        <v>187000</v>
      </c>
      <c r="AJ162" s="54">
        <f>SUM(AJ163:AJ176)</f>
        <v>0</v>
      </c>
      <c r="AK162" s="54">
        <f>SUM(AK163:AK176)</f>
        <v>187000</v>
      </c>
    </row>
    <row r="163" spans="1:43" s="20" customFormat="1" ht="36">
      <c r="A163" s="58"/>
      <c r="B163" s="55"/>
      <c r="C163" s="58">
        <v>2820</v>
      </c>
      <c r="D163" s="31" t="s">
        <v>198</v>
      </c>
      <c r="E163" s="54">
        <v>10000</v>
      </c>
      <c r="F163" s="54"/>
      <c r="G163" s="54">
        <f t="shared" si="148"/>
        <v>10000</v>
      </c>
      <c r="H163" s="54"/>
      <c r="I163" s="54">
        <f aca="true" t="shared" si="204" ref="I163:I175">SUM(G163:H163)</f>
        <v>10000</v>
      </c>
      <c r="J163" s="54"/>
      <c r="K163" s="54">
        <f aca="true" t="shared" si="205" ref="K163:K176">SUM(I163:J163)</f>
        <v>10000</v>
      </c>
      <c r="L163" s="54"/>
      <c r="M163" s="54">
        <f aca="true" t="shared" si="206" ref="M163:M176">SUM(K163:L163)</f>
        <v>10000</v>
      </c>
      <c r="N163" s="54"/>
      <c r="O163" s="54">
        <f aca="true" t="shared" si="207" ref="O163:O176">SUM(M163:N163)</f>
        <v>10000</v>
      </c>
      <c r="P163" s="54"/>
      <c r="Q163" s="54">
        <f aca="true" t="shared" si="208" ref="Q163:Q176">SUM(O163:P163)</f>
        <v>10000</v>
      </c>
      <c r="R163" s="54"/>
      <c r="S163" s="54">
        <f aca="true" t="shared" si="209" ref="S163:S176">SUM(Q163:R163)</f>
        <v>10000</v>
      </c>
      <c r="T163" s="54"/>
      <c r="U163" s="54">
        <f aca="true" t="shared" si="210" ref="U163:U176">SUM(S163:T163)</f>
        <v>10000</v>
      </c>
      <c r="V163" s="54"/>
      <c r="W163" s="54">
        <f aca="true" t="shared" si="211" ref="W163:W176">SUM(U163:V163)</f>
        <v>10000</v>
      </c>
      <c r="X163" s="54"/>
      <c r="Y163" s="54">
        <f aca="true" t="shared" si="212" ref="Y163:Y176">SUM(W163:X163)</f>
        <v>10000</v>
      </c>
      <c r="Z163" s="54"/>
      <c r="AA163" s="54">
        <f aca="true" t="shared" si="213" ref="AA163:AA176">SUM(Y163:Z163)</f>
        <v>10000</v>
      </c>
      <c r="AB163" s="54">
        <v>5633</v>
      </c>
      <c r="AC163" s="54">
        <f aca="true" t="shared" si="214" ref="AC163:AC176">SUM(AA163:AB163)</f>
        <v>15633</v>
      </c>
      <c r="AD163" s="54"/>
      <c r="AE163" s="54">
        <f aca="true" t="shared" si="215" ref="AE163:AE176">SUM(AC163:AD163)</f>
        <v>15633</v>
      </c>
      <c r="AF163" s="54"/>
      <c r="AG163" s="54">
        <f aca="true" t="shared" si="216" ref="AG163:AG176">SUM(AE163:AF163)</f>
        <v>15633</v>
      </c>
      <c r="AH163" s="54"/>
      <c r="AI163" s="54">
        <f aca="true" t="shared" si="217" ref="AI163:AI176">SUM(AG163:AH163)</f>
        <v>15633</v>
      </c>
      <c r="AJ163" s="54"/>
      <c r="AK163" s="54">
        <f aca="true" t="shared" si="218" ref="AK163:AK176">SUM(AI163:AJ163)</f>
        <v>15633</v>
      </c>
      <c r="AP163" s="67"/>
      <c r="AQ163" s="67"/>
    </row>
    <row r="164" spans="1:37" s="20" customFormat="1" ht="24" customHeight="1">
      <c r="A164" s="58"/>
      <c r="B164" s="55"/>
      <c r="C164" s="58">
        <v>3020</v>
      </c>
      <c r="D164" s="31" t="s">
        <v>159</v>
      </c>
      <c r="E164" s="54">
        <v>19350</v>
      </c>
      <c r="F164" s="54"/>
      <c r="G164" s="54">
        <f t="shared" si="148"/>
        <v>19350</v>
      </c>
      <c r="H164" s="54"/>
      <c r="I164" s="54">
        <f t="shared" si="204"/>
        <v>19350</v>
      </c>
      <c r="J164" s="54"/>
      <c r="K164" s="54">
        <f t="shared" si="205"/>
        <v>19350</v>
      </c>
      <c r="L164" s="54"/>
      <c r="M164" s="54">
        <f t="shared" si="206"/>
        <v>19350</v>
      </c>
      <c r="N164" s="54"/>
      <c r="O164" s="54">
        <f t="shared" si="207"/>
        <v>19350</v>
      </c>
      <c r="P164" s="54"/>
      <c r="Q164" s="54">
        <f t="shared" si="208"/>
        <v>19350</v>
      </c>
      <c r="R164" s="54"/>
      <c r="S164" s="54">
        <f t="shared" si="209"/>
        <v>19350</v>
      </c>
      <c r="T164" s="54"/>
      <c r="U164" s="54">
        <f t="shared" si="210"/>
        <v>19350</v>
      </c>
      <c r="V164" s="54"/>
      <c r="W164" s="54">
        <f t="shared" si="211"/>
        <v>19350</v>
      </c>
      <c r="X164" s="54">
        <v>-6000</v>
      </c>
      <c r="Y164" s="54">
        <f t="shared" si="212"/>
        <v>13350</v>
      </c>
      <c r="Z164" s="54">
        <v>2200</v>
      </c>
      <c r="AA164" s="54">
        <f t="shared" si="213"/>
        <v>15550</v>
      </c>
      <c r="AB164" s="54">
        <v>-3000</v>
      </c>
      <c r="AC164" s="54">
        <f t="shared" si="214"/>
        <v>12550</v>
      </c>
      <c r="AD164" s="54">
        <v>3000</v>
      </c>
      <c r="AE164" s="54">
        <f t="shared" si="215"/>
        <v>15550</v>
      </c>
      <c r="AF164" s="54"/>
      <c r="AG164" s="54">
        <f t="shared" si="216"/>
        <v>15550</v>
      </c>
      <c r="AH164" s="54"/>
      <c r="AI164" s="54">
        <f t="shared" si="217"/>
        <v>15550</v>
      </c>
      <c r="AJ164" s="54">
        <v>2500</v>
      </c>
      <c r="AK164" s="54">
        <f t="shared" si="218"/>
        <v>18050</v>
      </c>
    </row>
    <row r="165" spans="1:37" s="20" customFormat="1" ht="21" customHeight="1">
      <c r="A165" s="58"/>
      <c r="B165" s="55"/>
      <c r="C165" s="58">
        <v>3030</v>
      </c>
      <c r="D165" s="31" t="s">
        <v>84</v>
      </c>
      <c r="E165" s="54">
        <v>15000</v>
      </c>
      <c r="F165" s="54"/>
      <c r="G165" s="54">
        <f t="shared" si="148"/>
        <v>15000</v>
      </c>
      <c r="H165" s="54"/>
      <c r="I165" s="54">
        <f t="shared" si="204"/>
        <v>15000</v>
      </c>
      <c r="J165" s="54"/>
      <c r="K165" s="54">
        <f t="shared" si="205"/>
        <v>15000</v>
      </c>
      <c r="L165" s="54"/>
      <c r="M165" s="54">
        <f t="shared" si="206"/>
        <v>15000</v>
      </c>
      <c r="N165" s="54"/>
      <c r="O165" s="54">
        <f t="shared" si="207"/>
        <v>15000</v>
      </c>
      <c r="P165" s="54"/>
      <c r="Q165" s="54">
        <f t="shared" si="208"/>
        <v>15000</v>
      </c>
      <c r="R165" s="54"/>
      <c r="S165" s="54">
        <f t="shared" si="209"/>
        <v>15000</v>
      </c>
      <c r="T165" s="54"/>
      <c r="U165" s="54">
        <f t="shared" si="210"/>
        <v>15000</v>
      </c>
      <c r="V165" s="54"/>
      <c r="W165" s="54">
        <f t="shared" si="211"/>
        <v>15000</v>
      </c>
      <c r="X165" s="54">
        <v>10000</v>
      </c>
      <c r="Y165" s="54">
        <f t="shared" si="212"/>
        <v>25000</v>
      </c>
      <c r="Z165" s="54"/>
      <c r="AA165" s="54">
        <f t="shared" si="213"/>
        <v>25000</v>
      </c>
      <c r="AB165" s="54"/>
      <c r="AC165" s="54">
        <f t="shared" si="214"/>
        <v>25000</v>
      </c>
      <c r="AD165" s="54"/>
      <c r="AE165" s="54">
        <f t="shared" si="215"/>
        <v>25000</v>
      </c>
      <c r="AF165" s="54">
        <v>3000</v>
      </c>
      <c r="AG165" s="54">
        <f t="shared" si="216"/>
        <v>28000</v>
      </c>
      <c r="AH165" s="54">
        <v>10400</v>
      </c>
      <c r="AI165" s="54">
        <f t="shared" si="217"/>
        <v>38400</v>
      </c>
      <c r="AJ165" s="54">
        <v>-4350</v>
      </c>
      <c r="AK165" s="54">
        <f t="shared" si="218"/>
        <v>34050</v>
      </c>
    </row>
    <row r="166" spans="1:39" s="20" customFormat="1" ht="21" customHeight="1">
      <c r="A166" s="58"/>
      <c r="B166" s="55"/>
      <c r="C166" s="58">
        <v>4110</v>
      </c>
      <c r="D166" s="31" t="s">
        <v>81</v>
      </c>
      <c r="E166" s="54">
        <v>4550</v>
      </c>
      <c r="F166" s="54"/>
      <c r="G166" s="54">
        <f t="shared" si="148"/>
        <v>4550</v>
      </c>
      <c r="H166" s="54"/>
      <c r="I166" s="54">
        <f t="shared" si="204"/>
        <v>4550</v>
      </c>
      <c r="J166" s="54"/>
      <c r="K166" s="54">
        <f t="shared" si="205"/>
        <v>4550</v>
      </c>
      <c r="L166" s="54"/>
      <c r="M166" s="54">
        <f t="shared" si="206"/>
        <v>4550</v>
      </c>
      <c r="N166" s="54"/>
      <c r="O166" s="54">
        <f t="shared" si="207"/>
        <v>4550</v>
      </c>
      <c r="P166" s="54"/>
      <c r="Q166" s="54">
        <f t="shared" si="208"/>
        <v>4550</v>
      </c>
      <c r="R166" s="54"/>
      <c r="S166" s="54">
        <f t="shared" si="209"/>
        <v>4550</v>
      </c>
      <c r="T166" s="54"/>
      <c r="U166" s="54">
        <f t="shared" si="210"/>
        <v>4550</v>
      </c>
      <c r="V166" s="54"/>
      <c r="W166" s="54">
        <f t="shared" si="211"/>
        <v>4550</v>
      </c>
      <c r="X166" s="54"/>
      <c r="Y166" s="54">
        <f t="shared" si="212"/>
        <v>4550</v>
      </c>
      <c r="Z166" s="54"/>
      <c r="AA166" s="54">
        <f t="shared" si="213"/>
        <v>4550</v>
      </c>
      <c r="AB166" s="54"/>
      <c r="AC166" s="54">
        <f t="shared" si="214"/>
        <v>4550</v>
      </c>
      <c r="AD166" s="54"/>
      <c r="AE166" s="54">
        <f t="shared" si="215"/>
        <v>4550</v>
      </c>
      <c r="AF166" s="54">
        <v>-2300</v>
      </c>
      <c r="AG166" s="54">
        <f t="shared" si="216"/>
        <v>2250</v>
      </c>
      <c r="AH166" s="54"/>
      <c r="AI166" s="54">
        <f t="shared" si="217"/>
        <v>2250</v>
      </c>
      <c r="AJ166" s="54"/>
      <c r="AK166" s="54">
        <f t="shared" si="218"/>
        <v>2250</v>
      </c>
      <c r="AL166" s="67"/>
      <c r="AM166" s="67"/>
    </row>
    <row r="167" spans="1:39" s="20" customFormat="1" ht="21" customHeight="1">
      <c r="A167" s="58"/>
      <c r="B167" s="55"/>
      <c r="C167" s="58">
        <v>4120</v>
      </c>
      <c r="D167" s="31" t="s">
        <v>322</v>
      </c>
      <c r="E167" s="54">
        <v>700</v>
      </c>
      <c r="F167" s="54"/>
      <c r="G167" s="54">
        <f t="shared" si="148"/>
        <v>700</v>
      </c>
      <c r="H167" s="54"/>
      <c r="I167" s="54">
        <f t="shared" si="204"/>
        <v>700</v>
      </c>
      <c r="J167" s="54"/>
      <c r="K167" s="54">
        <f t="shared" si="205"/>
        <v>700</v>
      </c>
      <c r="L167" s="54"/>
      <c r="M167" s="54">
        <f t="shared" si="206"/>
        <v>700</v>
      </c>
      <c r="N167" s="54"/>
      <c r="O167" s="54">
        <f t="shared" si="207"/>
        <v>700</v>
      </c>
      <c r="P167" s="54"/>
      <c r="Q167" s="54">
        <f t="shared" si="208"/>
        <v>700</v>
      </c>
      <c r="R167" s="54"/>
      <c r="S167" s="54">
        <f t="shared" si="209"/>
        <v>700</v>
      </c>
      <c r="T167" s="54"/>
      <c r="U167" s="54">
        <f t="shared" si="210"/>
        <v>700</v>
      </c>
      <c r="V167" s="54"/>
      <c r="W167" s="54">
        <f t="shared" si="211"/>
        <v>700</v>
      </c>
      <c r="X167" s="54"/>
      <c r="Y167" s="54">
        <f t="shared" si="212"/>
        <v>700</v>
      </c>
      <c r="Z167" s="54"/>
      <c r="AA167" s="54">
        <f t="shared" si="213"/>
        <v>700</v>
      </c>
      <c r="AB167" s="54"/>
      <c r="AC167" s="54">
        <f t="shared" si="214"/>
        <v>700</v>
      </c>
      <c r="AD167" s="54"/>
      <c r="AE167" s="54">
        <f t="shared" si="215"/>
        <v>700</v>
      </c>
      <c r="AF167" s="54">
        <v>-700</v>
      </c>
      <c r="AG167" s="54">
        <f t="shared" si="216"/>
        <v>0</v>
      </c>
      <c r="AH167" s="54"/>
      <c r="AI167" s="54">
        <f t="shared" si="217"/>
        <v>0</v>
      </c>
      <c r="AJ167" s="54"/>
      <c r="AK167" s="54">
        <f t="shared" si="218"/>
        <v>0</v>
      </c>
      <c r="AL167" s="67"/>
      <c r="AM167" s="67"/>
    </row>
    <row r="168" spans="1:39" s="20" customFormat="1" ht="21" customHeight="1">
      <c r="A168" s="58"/>
      <c r="B168" s="55"/>
      <c r="C168" s="41">
        <v>4170</v>
      </c>
      <c r="D168" s="31" t="s">
        <v>161</v>
      </c>
      <c r="E168" s="54">
        <v>28500</v>
      </c>
      <c r="F168" s="54"/>
      <c r="G168" s="54">
        <f t="shared" si="148"/>
        <v>28500</v>
      </c>
      <c r="H168" s="54"/>
      <c r="I168" s="54">
        <f t="shared" si="204"/>
        <v>28500</v>
      </c>
      <c r="J168" s="54"/>
      <c r="K168" s="54">
        <f t="shared" si="205"/>
        <v>28500</v>
      </c>
      <c r="L168" s="54"/>
      <c r="M168" s="54">
        <f t="shared" si="206"/>
        <v>28500</v>
      </c>
      <c r="N168" s="54"/>
      <c r="O168" s="54">
        <f t="shared" si="207"/>
        <v>28500</v>
      </c>
      <c r="P168" s="54"/>
      <c r="Q168" s="54">
        <f t="shared" si="208"/>
        <v>28500</v>
      </c>
      <c r="R168" s="54"/>
      <c r="S168" s="54">
        <f t="shared" si="209"/>
        <v>28500</v>
      </c>
      <c r="T168" s="54"/>
      <c r="U168" s="54">
        <f t="shared" si="210"/>
        <v>28500</v>
      </c>
      <c r="V168" s="54"/>
      <c r="W168" s="54">
        <f t="shared" si="211"/>
        <v>28500</v>
      </c>
      <c r="X168" s="54"/>
      <c r="Y168" s="54">
        <f t="shared" si="212"/>
        <v>28500</v>
      </c>
      <c r="Z168" s="54"/>
      <c r="AA168" s="54">
        <f t="shared" si="213"/>
        <v>28500</v>
      </c>
      <c r="AB168" s="54"/>
      <c r="AC168" s="54">
        <f t="shared" si="214"/>
        <v>28500</v>
      </c>
      <c r="AD168" s="54"/>
      <c r="AE168" s="54">
        <f t="shared" si="215"/>
        <v>28500</v>
      </c>
      <c r="AF168" s="54"/>
      <c r="AG168" s="54">
        <f t="shared" si="216"/>
        <v>28500</v>
      </c>
      <c r="AH168" s="54"/>
      <c r="AI168" s="54">
        <f t="shared" si="217"/>
        <v>28500</v>
      </c>
      <c r="AJ168" s="54"/>
      <c r="AK168" s="54">
        <f t="shared" si="218"/>
        <v>28500</v>
      </c>
      <c r="AL168" s="67"/>
      <c r="AM168" s="67"/>
    </row>
    <row r="169" spans="1:37" s="20" customFormat="1" ht="21" customHeight="1">
      <c r="A169" s="58"/>
      <c r="B169" s="55"/>
      <c r="C169" s="41">
        <v>4210</v>
      </c>
      <c r="D169" s="31" t="s">
        <v>86</v>
      </c>
      <c r="E169" s="54">
        <f>9000+43500</f>
        <v>52500</v>
      </c>
      <c r="F169" s="54"/>
      <c r="G169" s="54">
        <f t="shared" si="148"/>
        <v>52500</v>
      </c>
      <c r="H169" s="54"/>
      <c r="I169" s="54">
        <f t="shared" si="204"/>
        <v>52500</v>
      </c>
      <c r="J169" s="54">
        <v>-170</v>
      </c>
      <c r="K169" s="54">
        <f t="shared" si="205"/>
        <v>52330</v>
      </c>
      <c r="L169" s="54"/>
      <c r="M169" s="54">
        <f t="shared" si="206"/>
        <v>52330</v>
      </c>
      <c r="N169" s="54"/>
      <c r="O169" s="54">
        <f t="shared" si="207"/>
        <v>52330</v>
      </c>
      <c r="P169" s="54"/>
      <c r="Q169" s="54">
        <f t="shared" si="208"/>
        <v>52330</v>
      </c>
      <c r="R169" s="54"/>
      <c r="S169" s="54">
        <f t="shared" si="209"/>
        <v>52330</v>
      </c>
      <c r="T169" s="54"/>
      <c r="U169" s="54">
        <f t="shared" si="210"/>
        <v>52330</v>
      </c>
      <c r="V169" s="54"/>
      <c r="W169" s="54">
        <f t="shared" si="211"/>
        <v>52330</v>
      </c>
      <c r="X169" s="54">
        <v>-4000</v>
      </c>
      <c r="Y169" s="54">
        <f t="shared" si="212"/>
        <v>48330</v>
      </c>
      <c r="Z169" s="54">
        <v>-2200</v>
      </c>
      <c r="AA169" s="54">
        <f t="shared" si="213"/>
        <v>46130</v>
      </c>
      <c r="AB169" s="54">
        <v>-2633</v>
      </c>
      <c r="AC169" s="54">
        <f t="shared" si="214"/>
        <v>43497</v>
      </c>
      <c r="AD169" s="54"/>
      <c r="AE169" s="54">
        <f t="shared" si="215"/>
        <v>43497</v>
      </c>
      <c r="AF169" s="54">
        <v>3000</v>
      </c>
      <c r="AG169" s="54">
        <f t="shared" si="216"/>
        <v>46497</v>
      </c>
      <c r="AH169" s="54">
        <v>-2000</v>
      </c>
      <c r="AI169" s="54">
        <f t="shared" si="217"/>
        <v>44497</v>
      </c>
      <c r="AJ169" s="54">
        <v>1150</v>
      </c>
      <c r="AK169" s="54">
        <f t="shared" si="218"/>
        <v>45647</v>
      </c>
    </row>
    <row r="170" spans="1:37" s="20" customFormat="1" ht="21" customHeight="1">
      <c r="A170" s="58"/>
      <c r="B170" s="55"/>
      <c r="C170" s="41">
        <v>4260</v>
      </c>
      <c r="D170" s="31" t="s">
        <v>88</v>
      </c>
      <c r="E170" s="54">
        <v>15000</v>
      </c>
      <c r="F170" s="54"/>
      <c r="G170" s="54">
        <f t="shared" si="148"/>
        <v>15000</v>
      </c>
      <c r="H170" s="54"/>
      <c r="I170" s="54">
        <f t="shared" si="204"/>
        <v>15000</v>
      </c>
      <c r="J170" s="54"/>
      <c r="K170" s="54">
        <f t="shared" si="205"/>
        <v>15000</v>
      </c>
      <c r="L170" s="54"/>
      <c r="M170" s="54">
        <f t="shared" si="206"/>
        <v>15000</v>
      </c>
      <c r="N170" s="54"/>
      <c r="O170" s="54">
        <f t="shared" si="207"/>
        <v>15000</v>
      </c>
      <c r="P170" s="54"/>
      <c r="Q170" s="54">
        <f t="shared" si="208"/>
        <v>15000</v>
      </c>
      <c r="R170" s="54"/>
      <c r="S170" s="54">
        <f t="shared" si="209"/>
        <v>15000</v>
      </c>
      <c r="T170" s="54"/>
      <c r="U170" s="54">
        <f t="shared" si="210"/>
        <v>15000</v>
      </c>
      <c r="V170" s="54"/>
      <c r="W170" s="54">
        <f t="shared" si="211"/>
        <v>15000</v>
      </c>
      <c r="X170" s="54"/>
      <c r="Y170" s="54">
        <f t="shared" si="212"/>
        <v>15000</v>
      </c>
      <c r="Z170" s="54"/>
      <c r="AA170" s="54">
        <f t="shared" si="213"/>
        <v>15000</v>
      </c>
      <c r="AB170" s="54"/>
      <c r="AC170" s="54">
        <f t="shared" si="214"/>
        <v>15000</v>
      </c>
      <c r="AD170" s="54"/>
      <c r="AE170" s="54">
        <f t="shared" si="215"/>
        <v>15000</v>
      </c>
      <c r="AF170" s="54"/>
      <c r="AG170" s="54">
        <f t="shared" si="216"/>
        <v>15000</v>
      </c>
      <c r="AH170" s="54"/>
      <c r="AI170" s="54">
        <f t="shared" si="217"/>
        <v>15000</v>
      </c>
      <c r="AJ170" s="54"/>
      <c r="AK170" s="54">
        <f t="shared" si="218"/>
        <v>15000</v>
      </c>
    </row>
    <row r="171" spans="1:37" s="20" customFormat="1" ht="21" customHeight="1">
      <c r="A171" s="58"/>
      <c r="B171" s="55"/>
      <c r="C171" s="41">
        <v>4270</v>
      </c>
      <c r="D171" s="31" t="s">
        <v>74</v>
      </c>
      <c r="E171" s="54">
        <v>13000</v>
      </c>
      <c r="F171" s="54"/>
      <c r="G171" s="54">
        <f t="shared" si="148"/>
        <v>13000</v>
      </c>
      <c r="H171" s="54"/>
      <c r="I171" s="54">
        <f t="shared" si="204"/>
        <v>13000</v>
      </c>
      <c r="J171" s="54"/>
      <c r="K171" s="54">
        <f t="shared" si="205"/>
        <v>13000</v>
      </c>
      <c r="L171" s="54"/>
      <c r="M171" s="54">
        <f t="shared" si="206"/>
        <v>13000</v>
      </c>
      <c r="N171" s="54"/>
      <c r="O171" s="54">
        <f t="shared" si="207"/>
        <v>13000</v>
      </c>
      <c r="P171" s="54"/>
      <c r="Q171" s="54">
        <f t="shared" si="208"/>
        <v>13000</v>
      </c>
      <c r="R171" s="54"/>
      <c r="S171" s="54">
        <f t="shared" si="209"/>
        <v>13000</v>
      </c>
      <c r="T171" s="54"/>
      <c r="U171" s="54">
        <f t="shared" si="210"/>
        <v>13000</v>
      </c>
      <c r="V171" s="54"/>
      <c r="W171" s="54">
        <f t="shared" si="211"/>
        <v>13000</v>
      </c>
      <c r="X171" s="54"/>
      <c r="Y171" s="54">
        <f t="shared" si="212"/>
        <v>13000</v>
      </c>
      <c r="Z171" s="54"/>
      <c r="AA171" s="54">
        <f t="shared" si="213"/>
        <v>13000</v>
      </c>
      <c r="AB171" s="54"/>
      <c r="AC171" s="54">
        <f t="shared" si="214"/>
        <v>13000</v>
      </c>
      <c r="AD171" s="54">
        <v>-3000</v>
      </c>
      <c r="AE171" s="54">
        <f t="shared" si="215"/>
        <v>10000</v>
      </c>
      <c r="AF171" s="54"/>
      <c r="AG171" s="54">
        <f t="shared" si="216"/>
        <v>10000</v>
      </c>
      <c r="AH171" s="54">
        <v>-2000</v>
      </c>
      <c r="AI171" s="54">
        <f t="shared" si="217"/>
        <v>8000</v>
      </c>
      <c r="AJ171" s="54"/>
      <c r="AK171" s="54">
        <f t="shared" si="218"/>
        <v>8000</v>
      </c>
    </row>
    <row r="172" spans="1:37" s="20" customFormat="1" ht="21" customHeight="1">
      <c r="A172" s="58"/>
      <c r="B172" s="55"/>
      <c r="C172" s="41">
        <v>4280</v>
      </c>
      <c r="D172" s="31" t="s">
        <v>311</v>
      </c>
      <c r="E172" s="54">
        <v>6000</v>
      </c>
      <c r="F172" s="54"/>
      <c r="G172" s="54">
        <f t="shared" si="148"/>
        <v>6000</v>
      </c>
      <c r="H172" s="54"/>
      <c r="I172" s="54">
        <f t="shared" si="204"/>
        <v>6000</v>
      </c>
      <c r="J172" s="54"/>
      <c r="K172" s="54">
        <f t="shared" si="205"/>
        <v>6000</v>
      </c>
      <c r="L172" s="54"/>
      <c r="M172" s="54">
        <f t="shared" si="206"/>
        <v>6000</v>
      </c>
      <c r="N172" s="54"/>
      <c r="O172" s="54">
        <f t="shared" si="207"/>
        <v>6000</v>
      </c>
      <c r="P172" s="54"/>
      <c r="Q172" s="54">
        <f t="shared" si="208"/>
        <v>6000</v>
      </c>
      <c r="R172" s="54"/>
      <c r="S172" s="54">
        <f t="shared" si="209"/>
        <v>6000</v>
      </c>
      <c r="T172" s="54"/>
      <c r="U172" s="54">
        <f t="shared" si="210"/>
        <v>6000</v>
      </c>
      <c r="V172" s="54"/>
      <c r="W172" s="54">
        <f t="shared" si="211"/>
        <v>6000</v>
      </c>
      <c r="X172" s="54"/>
      <c r="Y172" s="54">
        <f t="shared" si="212"/>
        <v>6000</v>
      </c>
      <c r="Z172" s="54"/>
      <c r="AA172" s="54">
        <f t="shared" si="213"/>
        <v>6000</v>
      </c>
      <c r="AB172" s="54"/>
      <c r="AC172" s="54">
        <f t="shared" si="214"/>
        <v>6000</v>
      </c>
      <c r="AD172" s="54"/>
      <c r="AE172" s="54">
        <f t="shared" si="215"/>
        <v>6000</v>
      </c>
      <c r="AF172" s="54"/>
      <c r="AG172" s="54">
        <f t="shared" si="216"/>
        <v>6000</v>
      </c>
      <c r="AH172" s="54">
        <v>-3000</v>
      </c>
      <c r="AI172" s="54">
        <f t="shared" si="217"/>
        <v>3000</v>
      </c>
      <c r="AJ172" s="54"/>
      <c r="AK172" s="54">
        <f t="shared" si="218"/>
        <v>3000</v>
      </c>
    </row>
    <row r="173" spans="1:37" s="20" customFormat="1" ht="21" customHeight="1">
      <c r="A173" s="58"/>
      <c r="B173" s="55"/>
      <c r="C173" s="41">
        <v>4300</v>
      </c>
      <c r="D173" s="31" t="s">
        <v>75</v>
      </c>
      <c r="E173" s="54">
        <v>5400</v>
      </c>
      <c r="F173" s="54"/>
      <c r="G173" s="54">
        <f t="shared" si="148"/>
        <v>5400</v>
      </c>
      <c r="H173" s="54"/>
      <c r="I173" s="54">
        <f t="shared" si="204"/>
        <v>5400</v>
      </c>
      <c r="J173" s="54"/>
      <c r="K173" s="54">
        <f t="shared" si="205"/>
        <v>5400</v>
      </c>
      <c r="L173" s="54"/>
      <c r="M173" s="54">
        <f t="shared" si="206"/>
        <v>5400</v>
      </c>
      <c r="N173" s="54"/>
      <c r="O173" s="54">
        <f t="shared" si="207"/>
        <v>5400</v>
      </c>
      <c r="P173" s="54"/>
      <c r="Q173" s="54">
        <f t="shared" si="208"/>
        <v>5400</v>
      </c>
      <c r="R173" s="54"/>
      <c r="S173" s="54">
        <f t="shared" si="209"/>
        <v>5400</v>
      </c>
      <c r="T173" s="54"/>
      <c r="U173" s="54">
        <f t="shared" si="210"/>
        <v>5400</v>
      </c>
      <c r="V173" s="54"/>
      <c r="W173" s="54">
        <f t="shared" si="211"/>
        <v>5400</v>
      </c>
      <c r="X173" s="54"/>
      <c r="Y173" s="54">
        <f t="shared" si="212"/>
        <v>5400</v>
      </c>
      <c r="Z173" s="54"/>
      <c r="AA173" s="54">
        <f t="shared" si="213"/>
        <v>5400</v>
      </c>
      <c r="AB173" s="54"/>
      <c r="AC173" s="54">
        <f t="shared" si="214"/>
        <v>5400</v>
      </c>
      <c r="AD173" s="54"/>
      <c r="AE173" s="54">
        <f t="shared" si="215"/>
        <v>5400</v>
      </c>
      <c r="AF173" s="54"/>
      <c r="AG173" s="54">
        <f t="shared" si="216"/>
        <v>5400</v>
      </c>
      <c r="AH173" s="54">
        <v>0</v>
      </c>
      <c r="AI173" s="54">
        <f t="shared" si="217"/>
        <v>5400</v>
      </c>
      <c r="AJ173" s="54">
        <v>700</v>
      </c>
      <c r="AK173" s="54">
        <f t="shared" si="218"/>
        <v>6100</v>
      </c>
    </row>
    <row r="174" spans="1:37" s="20" customFormat="1" ht="21" customHeight="1">
      <c r="A174" s="58"/>
      <c r="B174" s="55"/>
      <c r="C174" s="41">
        <v>4410</v>
      </c>
      <c r="D174" s="31" t="s">
        <v>85</v>
      </c>
      <c r="E174" s="54">
        <v>4000</v>
      </c>
      <c r="F174" s="54"/>
      <c r="G174" s="54">
        <f t="shared" si="148"/>
        <v>4000</v>
      </c>
      <c r="H174" s="54"/>
      <c r="I174" s="54">
        <f t="shared" si="204"/>
        <v>4000</v>
      </c>
      <c r="J174" s="54"/>
      <c r="K174" s="54">
        <f t="shared" si="205"/>
        <v>4000</v>
      </c>
      <c r="L174" s="54"/>
      <c r="M174" s="54">
        <f t="shared" si="206"/>
        <v>4000</v>
      </c>
      <c r="N174" s="54"/>
      <c r="O174" s="54">
        <f t="shared" si="207"/>
        <v>4000</v>
      </c>
      <c r="P174" s="54"/>
      <c r="Q174" s="54">
        <f t="shared" si="208"/>
        <v>4000</v>
      </c>
      <c r="R174" s="54"/>
      <c r="S174" s="54">
        <f t="shared" si="209"/>
        <v>4000</v>
      </c>
      <c r="T174" s="54"/>
      <c r="U174" s="54">
        <f t="shared" si="210"/>
        <v>4000</v>
      </c>
      <c r="V174" s="54"/>
      <c r="W174" s="54">
        <f t="shared" si="211"/>
        <v>4000</v>
      </c>
      <c r="X174" s="54"/>
      <c r="Y174" s="54">
        <f t="shared" si="212"/>
        <v>4000</v>
      </c>
      <c r="Z174" s="54"/>
      <c r="AA174" s="54">
        <f t="shared" si="213"/>
        <v>4000</v>
      </c>
      <c r="AB174" s="54"/>
      <c r="AC174" s="54">
        <f t="shared" si="214"/>
        <v>4000</v>
      </c>
      <c r="AD174" s="54"/>
      <c r="AE174" s="54">
        <f t="shared" si="215"/>
        <v>4000</v>
      </c>
      <c r="AF174" s="54"/>
      <c r="AG174" s="54">
        <f t="shared" si="216"/>
        <v>4000</v>
      </c>
      <c r="AH174" s="54">
        <v>-900</v>
      </c>
      <c r="AI174" s="54">
        <f t="shared" si="217"/>
        <v>3100</v>
      </c>
      <c r="AJ174" s="54"/>
      <c r="AK174" s="54">
        <f t="shared" si="218"/>
        <v>3100</v>
      </c>
    </row>
    <row r="175" spans="1:37" s="20" customFormat="1" ht="21" customHeight="1">
      <c r="A175" s="58"/>
      <c r="B175" s="55"/>
      <c r="C175" s="41">
        <v>4430</v>
      </c>
      <c r="D175" s="31" t="s">
        <v>87</v>
      </c>
      <c r="E175" s="54">
        <v>10000</v>
      </c>
      <c r="F175" s="54"/>
      <c r="G175" s="54">
        <f t="shared" si="148"/>
        <v>10000</v>
      </c>
      <c r="H175" s="54"/>
      <c r="I175" s="54">
        <f t="shared" si="204"/>
        <v>10000</v>
      </c>
      <c r="J175" s="54"/>
      <c r="K175" s="54">
        <f t="shared" si="205"/>
        <v>10000</v>
      </c>
      <c r="L175" s="54"/>
      <c r="M175" s="54">
        <f t="shared" si="206"/>
        <v>10000</v>
      </c>
      <c r="N175" s="54"/>
      <c r="O175" s="54">
        <f t="shared" si="207"/>
        <v>10000</v>
      </c>
      <c r="P175" s="54"/>
      <c r="Q175" s="54">
        <f t="shared" si="208"/>
        <v>10000</v>
      </c>
      <c r="R175" s="54"/>
      <c r="S175" s="54">
        <f t="shared" si="209"/>
        <v>10000</v>
      </c>
      <c r="T175" s="54"/>
      <c r="U175" s="54">
        <f t="shared" si="210"/>
        <v>10000</v>
      </c>
      <c r="V175" s="54"/>
      <c r="W175" s="54">
        <f t="shared" si="211"/>
        <v>10000</v>
      </c>
      <c r="X175" s="54"/>
      <c r="Y175" s="54">
        <f t="shared" si="212"/>
        <v>10000</v>
      </c>
      <c r="Z175" s="54"/>
      <c r="AA175" s="54">
        <f t="shared" si="213"/>
        <v>10000</v>
      </c>
      <c r="AB175" s="54"/>
      <c r="AC175" s="54">
        <f t="shared" si="214"/>
        <v>10000</v>
      </c>
      <c r="AD175" s="54"/>
      <c r="AE175" s="54">
        <f t="shared" si="215"/>
        <v>10000</v>
      </c>
      <c r="AF175" s="54"/>
      <c r="AG175" s="54">
        <f t="shared" si="216"/>
        <v>10000</v>
      </c>
      <c r="AH175" s="54">
        <v>-2500</v>
      </c>
      <c r="AI175" s="54">
        <f t="shared" si="217"/>
        <v>7500</v>
      </c>
      <c r="AJ175" s="54"/>
      <c r="AK175" s="54">
        <f t="shared" si="218"/>
        <v>7500</v>
      </c>
    </row>
    <row r="176" spans="1:41" s="20" customFormat="1" ht="24" customHeight="1">
      <c r="A176" s="58"/>
      <c r="B176" s="55"/>
      <c r="C176" s="41">
        <v>6050</v>
      </c>
      <c r="D176" s="12" t="s">
        <v>69</v>
      </c>
      <c r="E176" s="54"/>
      <c r="F176" s="54"/>
      <c r="G176" s="54"/>
      <c r="H176" s="54"/>
      <c r="I176" s="54">
        <v>0</v>
      </c>
      <c r="J176" s="54">
        <v>170</v>
      </c>
      <c r="K176" s="54">
        <f t="shared" si="205"/>
        <v>170</v>
      </c>
      <c r="L176" s="54"/>
      <c r="M176" s="54">
        <f t="shared" si="206"/>
        <v>170</v>
      </c>
      <c r="N176" s="54"/>
      <c r="O176" s="54">
        <f t="shared" si="207"/>
        <v>170</v>
      </c>
      <c r="P176" s="54"/>
      <c r="Q176" s="54">
        <f t="shared" si="208"/>
        <v>170</v>
      </c>
      <c r="R176" s="54"/>
      <c r="S176" s="54">
        <f t="shared" si="209"/>
        <v>170</v>
      </c>
      <c r="T176" s="54"/>
      <c r="U176" s="54">
        <f t="shared" si="210"/>
        <v>170</v>
      </c>
      <c r="V176" s="54"/>
      <c r="W176" s="54">
        <f t="shared" si="211"/>
        <v>170</v>
      </c>
      <c r="X176" s="54"/>
      <c r="Y176" s="54">
        <f t="shared" si="212"/>
        <v>170</v>
      </c>
      <c r="Z176" s="54"/>
      <c r="AA176" s="54">
        <f t="shared" si="213"/>
        <v>170</v>
      </c>
      <c r="AB176" s="54"/>
      <c r="AC176" s="54">
        <f t="shared" si="214"/>
        <v>170</v>
      </c>
      <c r="AD176" s="54"/>
      <c r="AE176" s="54">
        <f t="shared" si="215"/>
        <v>170</v>
      </c>
      <c r="AF176" s="54"/>
      <c r="AG176" s="54">
        <f t="shared" si="216"/>
        <v>170</v>
      </c>
      <c r="AH176" s="54"/>
      <c r="AI176" s="54">
        <f t="shared" si="217"/>
        <v>170</v>
      </c>
      <c r="AJ176" s="54"/>
      <c r="AK176" s="54">
        <f t="shared" si="218"/>
        <v>170</v>
      </c>
      <c r="AN176" s="67"/>
      <c r="AO176" s="67"/>
    </row>
    <row r="177" spans="1:37" s="20" customFormat="1" ht="21" customHeight="1">
      <c r="A177" s="58"/>
      <c r="B177" s="55">
        <v>75416</v>
      </c>
      <c r="C177" s="58"/>
      <c r="D177" s="31" t="s">
        <v>24</v>
      </c>
      <c r="E177" s="54">
        <f aca="true" t="shared" si="219" ref="E177:W177">SUM(E178:E194)</f>
        <v>259253</v>
      </c>
      <c r="F177" s="54">
        <f t="shared" si="219"/>
        <v>0</v>
      </c>
      <c r="G177" s="54">
        <f t="shared" si="219"/>
        <v>259253</v>
      </c>
      <c r="H177" s="54">
        <f t="shared" si="219"/>
        <v>0</v>
      </c>
      <c r="I177" s="54">
        <f t="shared" si="219"/>
        <v>259253</v>
      </c>
      <c r="J177" s="54">
        <f t="shared" si="219"/>
        <v>0</v>
      </c>
      <c r="K177" s="54">
        <f t="shared" si="219"/>
        <v>259253</v>
      </c>
      <c r="L177" s="54">
        <f t="shared" si="219"/>
        <v>0</v>
      </c>
      <c r="M177" s="54">
        <f t="shared" si="219"/>
        <v>259253</v>
      </c>
      <c r="N177" s="54">
        <f t="shared" si="219"/>
        <v>0</v>
      </c>
      <c r="O177" s="54">
        <f t="shared" si="219"/>
        <v>259253</v>
      </c>
      <c r="P177" s="54">
        <f t="shared" si="219"/>
        <v>0</v>
      </c>
      <c r="Q177" s="54">
        <f t="shared" si="219"/>
        <v>259253</v>
      </c>
      <c r="R177" s="54">
        <f t="shared" si="219"/>
        <v>0</v>
      </c>
      <c r="S177" s="54">
        <f t="shared" si="219"/>
        <v>259253</v>
      </c>
      <c r="T177" s="54">
        <f t="shared" si="219"/>
        <v>0</v>
      </c>
      <c r="U177" s="54">
        <f t="shared" si="219"/>
        <v>259253</v>
      </c>
      <c r="V177" s="54">
        <f t="shared" si="219"/>
        <v>0</v>
      </c>
      <c r="W177" s="54">
        <f t="shared" si="219"/>
        <v>259253</v>
      </c>
      <c r="X177" s="54">
        <f aca="true" t="shared" si="220" ref="X177:AC177">SUM(X178:X194)</f>
        <v>0</v>
      </c>
      <c r="Y177" s="54">
        <f t="shared" si="220"/>
        <v>259253</v>
      </c>
      <c r="Z177" s="54">
        <f t="shared" si="220"/>
        <v>0</v>
      </c>
      <c r="AA177" s="54">
        <f t="shared" si="220"/>
        <v>259253</v>
      </c>
      <c r="AB177" s="54">
        <f t="shared" si="220"/>
        <v>0</v>
      </c>
      <c r="AC177" s="54">
        <f t="shared" si="220"/>
        <v>259253</v>
      </c>
      <c r="AD177" s="54">
        <f aca="true" t="shared" si="221" ref="AD177:AI177">SUM(AD178:AD194)</f>
        <v>0</v>
      </c>
      <c r="AE177" s="54">
        <f t="shared" si="221"/>
        <v>259253</v>
      </c>
      <c r="AF177" s="54">
        <f t="shared" si="221"/>
        <v>0</v>
      </c>
      <c r="AG177" s="54">
        <f t="shared" si="221"/>
        <v>259253</v>
      </c>
      <c r="AH177" s="54">
        <f t="shared" si="221"/>
        <v>0</v>
      </c>
      <c r="AI177" s="54">
        <f t="shared" si="221"/>
        <v>259253</v>
      </c>
      <c r="AJ177" s="54">
        <f>SUM(AJ178:AJ194)</f>
        <v>0</v>
      </c>
      <c r="AK177" s="54">
        <f>SUM(AK178:AK194)</f>
        <v>259253</v>
      </c>
    </row>
    <row r="178" spans="1:37" s="20" customFormat="1" ht="27.75" customHeight="1">
      <c r="A178" s="58"/>
      <c r="B178" s="55"/>
      <c r="C178" s="41">
        <v>3020</v>
      </c>
      <c r="D178" s="31" t="s">
        <v>159</v>
      </c>
      <c r="E178" s="54">
        <v>6045</v>
      </c>
      <c r="F178" s="54"/>
      <c r="G178" s="54">
        <f t="shared" si="148"/>
        <v>6045</v>
      </c>
      <c r="H178" s="54"/>
      <c r="I178" s="54">
        <f aca="true" t="shared" si="222" ref="I178:I194">SUM(G178:H178)</f>
        <v>6045</v>
      </c>
      <c r="J178" s="54"/>
      <c r="K178" s="54">
        <f aca="true" t="shared" si="223" ref="K178:K194">SUM(I178:J178)</f>
        <v>6045</v>
      </c>
      <c r="L178" s="54"/>
      <c r="M178" s="54">
        <f aca="true" t="shared" si="224" ref="M178:M194">SUM(K178:L178)</f>
        <v>6045</v>
      </c>
      <c r="N178" s="54"/>
      <c r="O178" s="54">
        <f aca="true" t="shared" si="225" ref="O178:O194">SUM(M178:N178)</f>
        <v>6045</v>
      </c>
      <c r="P178" s="54"/>
      <c r="Q178" s="54">
        <f aca="true" t="shared" si="226" ref="Q178:Q194">SUM(O178:P178)</f>
        <v>6045</v>
      </c>
      <c r="R178" s="54"/>
      <c r="S178" s="54">
        <f aca="true" t="shared" si="227" ref="S178:S194">SUM(Q178:R178)</f>
        <v>6045</v>
      </c>
      <c r="T178" s="54"/>
      <c r="U178" s="54">
        <f aca="true" t="shared" si="228" ref="U178:U194">SUM(S178:T178)</f>
        <v>6045</v>
      </c>
      <c r="V178" s="54"/>
      <c r="W178" s="54">
        <f aca="true" t="shared" si="229" ref="W178:W194">SUM(U178:V178)</f>
        <v>6045</v>
      </c>
      <c r="X178" s="54"/>
      <c r="Y178" s="54">
        <f aca="true" t="shared" si="230" ref="Y178:Y194">SUM(W178:X178)</f>
        <v>6045</v>
      </c>
      <c r="Z178" s="54"/>
      <c r="AA178" s="54">
        <f aca="true" t="shared" si="231" ref="AA178:AA194">SUM(Y178:Z178)</f>
        <v>6045</v>
      </c>
      <c r="AB178" s="54"/>
      <c r="AC178" s="54">
        <f aca="true" t="shared" si="232" ref="AC178:AC194">SUM(AA178:AB178)</f>
        <v>6045</v>
      </c>
      <c r="AD178" s="54">
        <v>6000</v>
      </c>
      <c r="AE178" s="54">
        <f aca="true" t="shared" si="233" ref="AE178:AE194">SUM(AC178:AD178)</f>
        <v>12045</v>
      </c>
      <c r="AF178" s="54"/>
      <c r="AG178" s="54">
        <f aca="true" t="shared" si="234" ref="AG178:AG194">SUM(AE178:AF178)</f>
        <v>12045</v>
      </c>
      <c r="AH178" s="54"/>
      <c r="AI178" s="54">
        <f aca="true" t="shared" si="235" ref="AI178:AI194">SUM(AG178:AH178)</f>
        <v>12045</v>
      </c>
      <c r="AJ178" s="54"/>
      <c r="AK178" s="54">
        <f aca="true" t="shared" si="236" ref="AK178:AK194">SUM(AI178:AJ178)</f>
        <v>12045</v>
      </c>
    </row>
    <row r="179" spans="1:39" s="20" customFormat="1" ht="21" customHeight="1">
      <c r="A179" s="58"/>
      <c r="B179" s="55"/>
      <c r="C179" s="41">
        <v>4010</v>
      </c>
      <c r="D179" s="31" t="s">
        <v>79</v>
      </c>
      <c r="E179" s="54">
        <v>176055</v>
      </c>
      <c r="F179" s="54"/>
      <c r="G179" s="54">
        <f t="shared" si="148"/>
        <v>176055</v>
      </c>
      <c r="H179" s="54"/>
      <c r="I179" s="54">
        <f t="shared" si="222"/>
        <v>176055</v>
      </c>
      <c r="J179" s="54"/>
      <c r="K179" s="54">
        <f t="shared" si="223"/>
        <v>176055</v>
      </c>
      <c r="L179" s="54"/>
      <c r="M179" s="54">
        <f t="shared" si="224"/>
        <v>176055</v>
      </c>
      <c r="N179" s="54"/>
      <c r="O179" s="54">
        <f t="shared" si="225"/>
        <v>176055</v>
      </c>
      <c r="P179" s="54"/>
      <c r="Q179" s="54">
        <f t="shared" si="226"/>
        <v>176055</v>
      </c>
      <c r="R179" s="54"/>
      <c r="S179" s="54">
        <f t="shared" si="227"/>
        <v>176055</v>
      </c>
      <c r="T179" s="54"/>
      <c r="U179" s="54">
        <f t="shared" si="228"/>
        <v>176055</v>
      </c>
      <c r="V179" s="54"/>
      <c r="W179" s="54">
        <f t="shared" si="229"/>
        <v>176055</v>
      </c>
      <c r="X179" s="54"/>
      <c r="Y179" s="54">
        <f t="shared" si="230"/>
        <v>176055</v>
      </c>
      <c r="Z179" s="54"/>
      <c r="AA179" s="54">
        <f t="shared" si="231"/>
        <v>176055</v>
      </c>
      <c r="AB179" s="54"/>
      <c r="AC179" s="54">
        <f t="shared" si="232"/>
        <v>176055</v>
      </c>
      <c r="AD179" s="54"/>
      <c r="AE179" s="54">
        <f t="shared" si="233"/>
        <v>176055</v>
      </c>
      <c r="AF179" s="54"/>
      <c r="AG179" s="54">
        <f t="shared" si="234"/>
        <v>176055</v>
      </c>
      <c r="AH179" s="54"/>
      <c r="AI179" s="54">
        <f t="shared" si="235"/>
        <v>176055</v>
      </c>
      <c r="AJ179" s="54"/>
      <c r="AK179" s="54">
        <f t="shared" si="236"/>
        <v>176055</v>
      </c>
      <c r="AL179" s="67"/>
      <c r="AM179" s="67"/>
    </row>
    <row r="180" spans="1:39" s="20" customFormat="1" ht="21" customHeight="1">
      <c r="A180" s="58"/>
      <c r="B180" s="55"/>
      <c r="C180" s="41">
        <v>4040</v>
      </c>
      <c r="D180" s="31" t="s">
        <v>80</v>
      </c>
      <c r="E180" s="54">
        <v>10000</v>
      </c>
      <c r="F180" s="54"/>
      <c r="G180" s="54">
        <f t="shared" si="148"/>
        <v>10000</v>
      </c>
      <c r="H180" s="54"/>
      <c r="I180" s="54">
        <f t="shared" si="222"/>
        <v>10000</v>
      </c>
      <c r="J180" s="54"/>
      <c r="K180" s="54">
        <f t="shared" si="223"/>
        <v>10000</v>
      </c>
      <c r="L180" s="54"/>
      <c r="M180" s="54">
        <f t="shared" si="224"/>
        <v>10000</v>
      </c>
      <c r="N180" s="54"/>
      <c r="O180" s="54">
        <f t="shared" si="225"/>
        <v>10000</v>
      </c>
      <c r="P180" s="54"/>
      <c r="Q180" s="54">
        <f t="shared" si="226"/>
        <v>10000</v>
      </c>
      <c r="R180" s="54"/>
      <c r="S180" s="54">
        <f t="shared" si="227"/>
        <v>10000</v>
      </c>
      <c r="T180" s="54"/>
      <c r="U180" s="54">
        <f t="shared" si="228"/>
        <v>10000</v>
      </c>
      <c r="V180" s="54"/>
      <c r="W180" s="54">
        <f t="shared" si="229"/>
        <v>10000</v>
      </c>
      <c r="X180" s="54"/>
      <c r="Y180" s="54">
        <f t="shared" si="230"/>
        <v>10000</v>
      </c>
      <c r="Z180" s="54"/>
      <c r="AA180" s="54">
        <f t="shared" si="231"/>
        <v>10000</v>
      </c>
      <c r="AB180" s="54"/>
      <c r="AC180" s="54">
        <f t="shared" si="232"/>
        <v>10000</v>
      </c>
      <c r="AD180" s="54"/>
      <c r="AE180" s="54">
        <f t="shared" si="233"/>
        <v>10000</v>
      </c>
      <c r="AF180" s="54"/>
      <c r="AG180" s="54">
        <f t="shared" si="234"/>
        <v>10000</v>
      </c>
      <c r="AH180" s="54"/>
      <c r="AI180" s="54">
        <f t="shared" si="235"/>
        <v>10000</v>
      </c>
      <c r="AJ180" s="54"/>
      <c r="AK180" s="54">
        <f t="shared" si="236"/>
        <v>10000</v>
      </c>
      <c r="AL180" s="67"/>
      <c r="AM180" s="67"/>
    </row>
    <row r="181" spans="1:39" s="20" customFormat="1" ht="21" customHeight="1">
      <c r="A181" s="58"/>
      <c r="B181" s="55"/>
      <c r="C181" s="41">
        <v>4110</v>
      </c>
      <c r="D181" s="31" t="s">
        <v>81</v>
      </c>
      <c r="E181" s="54">
        <v>28487</v>
      </c>
      <c r="F181" s="54"/>
      <c r="G181" s="54">
        <f t="shared" si="148"/>
        <v>28487</v>
      </c>
      <c r="H181" s="54"/>
      <c r="I181" s="54">
        <f t="shared" si="222"/>
        <v>28487</v>
      </c>
      <c r="J181" s="54"/>
      <c r="K181" s="54">
        <f t="shared" si="223"/>
        <v>28487</v>
      </c>
      <c r="L181" s="54"/>
      <c r="M181" s="54">
        <f t="shared" si="224"/>
        <v>28487</v>
      </c>
      <c r="N181" s="54"/>
      <c r="O181" s="54">
        <f t="shared" si="225"/>
        <v>28487</v>
      </c>
      <c r="P181" s="54"/>
      <c r="Q181" s="54">
        <f t="shared" si="226"/>
        <v>28487</v>
      </c>
      <c r="R181" s="54"/>
      <c r="S181" s="54">
        <f t="shared" si="227"/>
        <v>28487</v>
      </c>
      <c r="T181" s="54"/>
      <c r="U181" s="54">
        <f t="shared" si="228"/>
        <v>28487</v>
      </c>
      <c r="V181" s="54"/>
      <c r="W181" s="54">
        <f t="shared" si="229"/>
        <v>28487</v>
      </c>
      <c r="X181" s="54"/>
      <c r="Y181" s="54">
        <f t="shared" si="230"/>
        <v>28487</v>
      </c>
      <c r="Z181" s="54"/>
      <c r="AA181" s="54">
        <f t="shared" si="231"/>
        <v>28487</v>
      </c>
      <c r="AB181" s="54"/>
      <c r="AC181" s="54">
        <f t="shared" si="232"/>
        <v>28487</v>
      </c>
      <c r="AD181" s="54"/>
      <c r="AE181" s="54">
        <f t="shared" si="233"/>
        <v>28487</v>
      </c>
      <c r="AF181" s="54"/>
      <c r="AG181" s="54">
        <f t="shared" si="234"/>
        <v>28487</v>
      </c>
      <c r="AH181" s="54"/>
      <c r="AI181" s="54">
        <f t="shared" si="235"/>
        <v>28487</v>
      </c>
      <c r="AJ181" s="54"/>
      <c r="AK181" s="54">
        <f t="shared" si="236"/>
        <v>28487</v>
      </c>
      <c r="AL181" s="67"/>
      <c r="AM181" s="67"/>
    </row>
    <row r="182" spans="1:39" s="20" customFormat="1" ht="21" customHeight="1">
      <c r="A182" s="58"/>
      <c r="B182" s="55"/>
      <c r="C182" s="41">
        <v>4120</v>
      </c>
      <c r="D182" s="31" t="s">
        <v>82</v>
      </c>
      <c r="E182" s="54">
        <v>4491</v>
      </c>
      <c r="F182" s="54"/>
      <c r="G182" s="54">
        <f t="shared" si="148"/>
        <v>4491</v>
      </c>
      <c r="H182" s="54"/>
      <c r="I182" s="54">
        <f t="shared" si="222"/>
        <v>4491</v>
      </c>
      <c r="J182" s="54"/>
      <c r="K182" s="54">
        <f t="shared" si="223"/>
        <v>4491</v>
      </c>
      <c r="L182" s="54"/>
      <c r="M182" s="54">
        <f t="shared" si="224"/>
        <v>4491</v>
      </c>
      <c r="N182" s="54"/>
      <c r="O182" s="54">
        <f t="shared" si="225"/>
        <v>4491</v>
      </c>
      <c r="P182" s="54"/>
      <c r="Q182" s="54">
        <f t="shared" si="226"/>
        <v>4491</v>
      </c>
      <c r="R182" s="54"/>
      <c r="S182" s="54">
        <f t="shared" si="227"/>
        <v>4491</v>
      </c>
      <c r="T182" s="54"/>
      <c r="U182" s="54">
        <f t="shared" si="228"/>
        <v>4491</v>
      </c>
      <c r="V182" s="54"/>
      <c r="W182" s="54">
        <f t="shared" si="229"/>
        <v>4491</v>
      </c>
      <c r="X182" s="54"/>
      <c r="Y182" s="54">
        <f t="shared" si="230"/>
        <v>4491</v>
      </c>
      <c r="Z182" s="54"/>
      <c r="AA182" s="54">
        <f t="shared" si="231"/>
        <v>4491</v>
      </c>
      <c r="AB182" s="54"/>
      <c r="AC182" s="54">
        <f t="shared" si="232"/>
        <v>4491</v>
      </c>
      <c r="AD182" s="54"/>
      <c r="AE182" s="54">
        <f t="shared" si="233"/>
        <v>4491</v>
      </c>
      <c r="AF182" s="54"/>
      <c r="AG182" s="54">
        <f t="shared" si="234"/>
        <v>4491</v>
      </c>
      <c r="AH182" s="54">
        <v>-130</v>
      </c>
      <c r="AI182" s="54">
        <f t="shared" si="235"/>
        <v>4361</v>
      </c>
      <c r="AJ182" s="54"/>
      <c r="AK182" s="54">
        <f t="shared" si="236"/>
        <v>4361</v>
      </c>
      <c r="AL182" s="67"/>
      <c r="AM182" s="67"/>
    </row>
    <row r="183" spans="1:37" s="20" customFormat="1" ht="21" customHeight="1">
      <c r="A183" s="58"/>
      <c r="B183" s="55"/>
      <c r="C183" s="41">
        <v>4210</v>
      </c>
      <c r="D183" s="31" t="s">
        <v>86</v>
      </c>
      <c r="E183" s="54">
        <v>12900</v>
      </c>
      <c r="F183" s="54"/>
      <c r="G183" s="54">
        <f t="shared" si="148"/>
        <v>12900</v>
      </c>
      <c r="H183" s="54"/>
      <c r="I183" s="54">
        <f t="shared" si="222"/>
        <v>12900</v>
      </c>
      <c r="J183" s="54"/>
      <c r="K183" s="54">
        <f t="shared" si="223"/>
        <v>12900</v>
      </c>
      <c r="L183" s="54"/>
      <c r="M183" s="54">
        <f t="shared" si="224"/>
        <v>12900</v>
      </c>
      <c r="N183" s="54"/>
      <c r="O183" s="54">
        <f t="shared" si="225"/>
        <v>12900</v>
      </c>
      <c r="P183" s="54"/>
      <c r="Q183" s="54">
        <f t="shared" si="226"/>
        <v>12900</v>
      </c>
      <c r="R183" s="54"/>
      <c r="S183" s="54">
        <f t="shared" si="227"/>
        <v>12900</v>
      </c>
      <c r="T183" s="54"/>
      <c r="U183" s="54">
        <f t="shared" si="228"/>
        <v>12900</v>
      </c>
      <c r="V183" s="54"/>
      <c r="W183" s="54">
        <f t="shared" si="229"/>
        <v>12900</v>
      </c>
      <c r="X183" s="54"/>
      <c r="Y183" s="54">
        <f t="shared" si="230"/>
        <v>12900</v>
      </c>
      <c r="Z183" s="54"/>
      <c r="AA183" s="54">
        <f t="shared" si="231"/>
        <v>12900</v>
      </c>
      <c r="AB183" s="54"/>
      <c r="AC183" s="54">
        <f t="shared" si="232"/>
        <v>12900</v>
      </c>
      <c r="AD183" s="54">
        <v>-6179</v>
      </c>
      <c r="AE183" s="54">
        <f t="shared" si="233"/>
        <v>6721</v>
      </c>
      <c r="AF183" s="54"/>
      <c r="AG183" s="54">
        <f t="shared" si="234"/>
        <v>6721</v>
      </c>
      <c r="AH183" s="54"/>
      <c r="AI183" s="54">
        <f t="shared" si="235"/>
        <v>6721</v>
      </c>
      <c r="AJ183" s="54"/>
      <c r="AK183" s="54">
        <f t="shared" si="236"/>
        <v>6721</v>
      </c>
    </row>
    <row r="184" spans="1:37" s="20" customFormat="1" ht="21" customHeight="1">
      <c r="A184" s="58"/>
      <c r="B184" s="55"/>
      <c r="C184" s="41">
        <v>4270</v>
      </c>
      <c r="D184" s="31" t="s">
        <v>74</v>
      </c>
      <c r="E184" s="54">
        <v>2000</v>
      </c>
      <c r="F184" s="54"/>
      <c r="G184" s="54">
        <f t="shared" si="148"/>
        <v>2000</v>
      </c>
      <c r="H184" s="54"/>
      <c r="I184" s="54">
        <f t="shared" si="222"/>
        <v>2000</v>
      </c>
      <c r="J184" s="54"/>
      <c r="K184" s="54">
        <f t="shared" si="223"/>
        <v>2000</v>
      </c>
      <c r="L184" s="54"/>
      <c r="M184" s="54">
        <f t="shared" si="224"/>
        <v>2000</v>
      </c>
      <c r="N184" s="54"/>
      <c r="O184" s="54">
        <f t="shared" si="225"/>
        <v>2000</v>
      </c>
      <c r="P184" s="54"/>
      <c r="Q184" s="54">
        <f t="shared" si="226"/>
        <v>2000</v>
      </c>
      <c r="R184" s="54"/>
      <c r="S184" s="54">
        <f t="shared" si="227"/>
        <v>2000</v>
      </c>
      <c r="T184" s="54"/>
      <c r="U184" s="54">
        <f t="shared" si="228"/>
        <v>2000</v>
      </c>
      <c r="V184" s="54"/>
      <c r="W184" s="54">
        <f t="shared" si="229"/>
        <v>2000</v>
      </c>
      <c r="X184" s="54"/>
      <c r="Y184" s="54">
        <f t="shared" si="230"/>
        <v>2000</v>
      </c>
      <c r="Z184" s="54"/>
      <c r="AA184" s="54">
        <f t="shared" si="231"/>
        <v>2000</v>
      </c>
      <c r="AB184" s="54"/>
      <c r="AC184" s="54">
        <f t="shared" si="232"/>
        <v>2000</v>
      </c>
      <c r="AD184" s="54">
        <v>-1000</v>
      </c>
      <c r="AE184" s="54">
        <f t="shared" si="233"/>
        <v>1000</v>
      </c>
      <c r="AF184" s="54"/>
      <c r="AG184" s="54">
        <f t="shared" si="234"/>
        <v>1000</v>
      </c>
      <c r="AH184" s="54"/>
      <c r="AI184" s="54">
        <f t="shared" si="235"/>
        <v>1000</v>
      </c>
      <c r="AJ184" s="54"/>
      <c r="AK184" s="54">
        <f t="shared" si="236"/>
        <v>1000</v>
      </c>
    </row>
    <row r="185" spans="1:37" s="20" customFormat="1" ht="21" customHeight="1">
      <c r="A185" s="58"/>
      <c r="B185" s="55"/>
      <c r="C185" s="41">
        <v>4280</v>
      </c>
      <c r="D185" s="31" t="s">
        <v>311</v>
      </c>
      <c r="E185" s="54">
        <v>1200</v>
      </c>
      <c r="F185" s="54"/>
      <c r="G185" s="54">
        <f t="shared" si="148"/>
        <v>1200</v>
      </c>
      <c r="H185" s="54"/>
      <c r="I185" s="54">
        <f t="shared" si="222"/>
        <v>1200</v>
      </c>
      <c r="J185" s="54"/>
      <c r="K185" s="54">
        <f t="shared" si="223"/>
        <v>1200</v>
      </c>
      <c r="L185" s="54"/>
      <c r="M185" s="54">
        <f t="shared" si="224"/>
        <v>1200</v>
      </c>
      <c r="N185" s="54"/>
      <c r="O185" s="54">
        <f t="shared" si="225"/>
        <v>1200</v>
      </c>
      <c r="P185" s="54"/>
      <c r="Q185" s="54">
        <f t="shared" si="226"/>
        <v>1200</v>
      </c>
      <c r="R185" s="54"/>
      <c r="S185" s="54">
        <f t="shared" si="227"/>
        <v>1200</v>
      </c>
      <c r="T185" s="54"/>
      <c r="U185" s="54">
        <f t="shared" si="228"/>
        <v>1200</v>
      </c>
      <c r="V185" s="54"/>
      <c r="W185" s="54">
        <f t="shared" si="229"/>
        <v>1200</v>
      </c>
      <c r="X185" s="54"/>
      <c r="Y185" s="54">
        <f t="shared" si="230"/>
        <v>1200</v>
      </c>
      <c r="Z185" s="54"/>
      <c r="AA185" s="54">
        <f t="shared" si="231"/>
        <v>1200</v>
      </c>
      <c r="AB185" s="54"/>
      <c r="AC185" s="54">
        <f t="shared" si="232"/>
        <v>1200</v>
      </c>
      <c r="AD185" s="54"/>
      <c r="AE185" s="54">
        <f t="shared" si="233"/>
        <v>1200</v>
      </c>
      <c r="AF185" s="54"/>
      <c r="AG185" s="54">
        <f t="shared" si="234"/>
        <v>1200</v>
      </c>
      <c r="AH185" s="54"/>
      <c r="AI185" s="54">
        <f t="shared" si="235"/>
        <v>1200</v>
      </c>
      <c r="AJ185" s="54"/>
      <c r="AK185" s="54">
        <f t="shared" si="236"/>
        <v>1200</v>
      </c>
    </row>
    <row r="186" spans="1:37" s="20" customFormat="1" ht="21" customHeight="1">
      <c r="A186" s="58"/>
      <c r="B186" s="55"/>
      <c r="C186" s="41">
        <v>4300</v>
      </c>
      <c r="D186" s="31" t="s">
        <v>75</v>
      </c>
      <c r="E186" s="54">
        <v>3000</v>
      </c>
      <c r="F186" s="54"/>
      <c r="G186" s="54">
        <f t="shared" si="148"/>
        <v>3000</v>
      </c>
      <c r="H186" s="54"/>
      <c r="I186" s="54">
        <f t="shared" si="222"/>
        <v>3000</v>
      </c>
      <c r="J186" s="54"/>
      <c r="K186" s="54">
        <f t="shared" si="223"/>
        <v>3000</v>
      </c>
      <c r="L186" s="54"/>
      <c r="M186" s="54">
        <f t="shared" si="224"/>
        <v>3000</v>
      </c>
      <c r="N186" s="54"/>
      <c r="O186" s="54">
        <f t="shared" si="225"/>
        <v>3000</v>
      </c>
      <c r="P186" s="54"/>
      <c r="Q186" s="54">
        <f t="shared" si="226"/>
        <v>3000</v>
      </c>
      <c r="R186" s="54"/>
      <c r="S186" s="54">
        <f t="shared" si="227"/>
        <v>3000</v>
      </c>
      <c r="T186" s="54"/>
      <c r="U186" s="54">
        <f t="shared" si="228"/>
        <v>3000</v>
      </c>
      <c r="V186" s="54"/>
      <c r="W186" s="54">
        <f t="shared" si="229"/>
        <v>3000</v>
      </c>
      <c r="X186" s="54"/>
      <c r="Y186" s="54">
        <f t="shared" si="230"/>
        <v>3000</v>
      </c>
      <c r="Z186" s="54"/>
      <c r="AA186" s="54">
        <f t="shared" si="231"/>
        <v>3000</v>
      </c>
      <c r="AB186" s="54"/>
      <c r="AC186" s="54">
        <f t="shared" si="232"/>
        <v>3000</v>
      </c>
      <c r="AD186" s="54">
        <v>1679</v>
      </c>
      <c r="AE186" s="54">
        <f t="shared" si="233"/>
        <v>4679</v>
      </c>
      <c r="AF186" s="54"/>
      <c r="AG186" s="54">
        <f t="shared" si="234"/>
        <v>4679</v>
      </c>
      <c r="AH186" s="54"/>
      <c r="AI186" s="54">
        <f t="shared" si="235"/>
        <v>4679</v>
      </c>
      <c r="AJ186" s="54"/>
      <c r="AK186" s="54">
        <f t="shared" si="236"/>
        <v>4679</v>
      </c>
    </row>
    <row r="187" spans="1:37" s="20" customFormat="1" ht="24" customHeight="1">
      <c r="A187" s="58"/>
      <c r="B187" s="55"/>
      <c r="C187" s="41">
        <v>4360</v>
      </c>
      <c r="D187" s="31" t="s">
        <v>317</v>
      </c>
      <c r="E187" s="54">
        <v>1800</v>
      </c>
      <c r="F187" s="54"/>
      <c r="G187" s="54">
        <f t="shared" si="148"/>
        <v>1800</v>
      </c>
      <c r="H187" s="54"/>
      <c r="I187" s="54">
        <f t="shared" si="222"/>
        <v>1800</v>
      </c>
      <c r="J187" s="54"/>
      <c r="K187" s="54">
        <f t="shared" si="223"/>
        <v>1800</v>
      </c>
      <c r="L187" s="54"/>
      <c r="M187" s="54">
        <f t="shared" si="224"/>
        <v>1800</v>
      </c>
      <c r="N187" s="54"/>
      <c r="O187" s="54">
        <f t="shared" si="225"/>
        <v>1800</v>
      </c>
      <c r="P187" s="54"/>
      <c r="Q187" s="54">
        <f t="shared" si="226"/>
        <v>1800</v>
      </c>
      <c r="R187" s="54"/>
      <c r="S187" s="54">
        <f t="shared" si="227"/>
        <v>1800</v>
      </c>
      <c r="T187" s="54"/>
      <c r="U187" s="54">
        <f t="shared" si="228"/>
        <v>1800</v>
      </c>
      <c r="V187" s="54"/>
      <c r="W187" s="54">
        <f t="shared" si="229"/>
        <v>1800</v>
      </c>
      <c r="X187" s="54"/>
      <c r="Y187" s="54">
        <f t="shared" si="230"/>
        <v>1800</v>
      </c>
      <c r="Z187" s="54"/>
      <c r="AA187" s="54">
        <f t="shared" si="231"/>
        <v>1800</v>
      </c>
      <c r="AB187" s="54"/>
      <c r="AC187" s="54">
        <f t="shared" si="232"/>
        <v>1800</v>
      </c>
      <c r="AD187" s="54"/>
      <c r="AE187" s="54">
        <f t="shared" si="233"/>
        <v>1800</v>
      </c>
      <c r="AF187" s="54"/>
      <c r="AG187" s="54">
        <f t="shared" si="234"/>
        <v>1800</v>
      </c>
      <c r="AH187" s="54"/>
      <c r="AI187" s="54">
        <f t="shared" si="235"/>
        <v>1800</v>
      </c>
      <c r="AJ187" s="54"/>
      <c r="AK187" s="54">
        <f t="shared" si="236"/>
        <v>1800</v>
      </c>
    </row>
    <row r="188" spans="1:37" s="20" customFormat="1" ht="22.5" customHeight="1">
      <c r="A188" s="58"/>
      <c r="B188" s="55"/>
      <c r="C188" s="41">
        <v>4400</v>
      </c>
      <c r="D188" s="31" t="s">
        <v>186</v>
      </c>
      <c r="E188" s="54">
        <v>1000</v>
      </c>
      <c r="F188" s="54"/>
      <c r="G188" s="54">
        <f t="shared" si="148"/>
        <v>1000</v>
      </c>
      <c r="H188" s="54"/>
      <c r="I188" s="54">
        <f t="shared" si="222"/>
        <v>1000</v>
      </c>
      <c r="J188" s="54">
        <v>-96</v>
      </c>
      <c r="K188" s="54">
        <f t="shared" si="223"/>
        <v>904</v>
      </c>
      <c r="L188" s="54"/>
      <c r="M188" s="54">
        <f t="shared" si="224"/>
        <v>904</v>
      </c>
      <c r="N188" s="54"/>
      <c r="O188" s="54">
        <f t="shared" si="225"/>
        <v>904</v>
      </c>
      <c r="P188" s="54"/>
      <c r="Q188" s="54">
        <f t="shared" si="226"/>
        <v>904</v>
      </c>
      <c r="R188" s="54"/>
      <c r="S188" s="54">
        <f t="shared" si="227"/>
        <v>904</v>
      </c>
      <c r="T188" s="54"/>
      <c r="U188" s="54">
        <f t="shared" si="228"/>
        <v>904</v>
      </c>
      <c r="V188" s="54"/>
      <c r="W188" s="54">
        <f t="shared" si="229"/>
        <v>904</v>
      </c>
      <c r="X188" s="54"/>
      <c r="Y188" s="54">
        <f t="shared" si="230"/>
        <v>904</v>
      </c>
      <c r="Z188" s="54"/>
      <c r="AA188" s="54">
        <f t="shared" si="231"/>
        <v>904</v>
      </c>
      <c r="AB188" s="54"/>
      <c r="AC188" s="54">
        <f t="shared" si="232"/>
        <v>904</v>
      </c>
      <c r="AD188" s="54"/>
      <c r="AE188" s="54">
        <f t="shared" si="233"/>
        <v>904</v>
      </c>
      <c r="AF188" s="54"/>
      <c r="AG188" s="54">
        <f t="shared" si="234"/>
        <v>904</v>
      </c>
      <c r="AH188" s="54"/>
      <c r="AI188" s="54">
        <f t="shared" si="235"/>
        <v>904</v>
      </c>
      <c r="AJ188" s="54"/>
      <c r="AK188" s="54">
        <f t="shared" si="236"/>
        <v>904</v>
      </c>
    </row>
    <row r="189" spans="1:37" s="20" customFormat="1" ht="21" customHeight="1">
      <c r="A189" s="58"/>
      <c r="B189" s="55"/>
      <c r="C189" s="41">
        <v>4410</v>
      </c>
      <c r="D189" s="31" t="s">
        <v>85</v>
      </c>
      <c r="E189" s="54">
        <v>1200</v>
      </c>
      <c r="F189" s="54"/>
      <c r="G189" s="54">
        <f t="shared" si="148"/>
        <v>1200</v>
      </c>
      <c r="H189" s="54"/>
      <c r="I189" s="54">
        <f t="shared" si="222"/>
        <v>1200</v>
      </c>
      <c r="J189" s="54"/>
      <c r="K189" s="54">
        <f t="shared" si="223"/>
        <v>1200</v>
      </c>
      <c r="L189" s="54"/>
      <c r="M189" s="54">
        <f t="shared" si="224"/>
        <v>1200</v>
      </c>
      <c r="N189" s="54"/>
      <c r="O189" s="54">
        <f t="shared" si="225"/>
        <v>1200</v>
      </c>
      <c r="P189" s="54"/>
      <c r="Q189" s="54">
        <f t="shared" si="226"/>
        <v>1200</v>
      </c>
      <c r="R189" s="54"/>
      <c r="S189" s="54">
        <f t="shared" si="227"/>
        <v>1200</v>
      </c>
      <c r="T189" s="54"/>
      <c r="U189" s="54">
        <f t="shared" si="228"/>
        <v>1200</v>
      </c>
      <c r="V189" s="54"/>
      <c r="W189" s="54">
        <f t="shared" si="229"/>
        <v>1200</v>
      </c>
      <c r="X189" s="54"/>
      <c r="Y189" s="54">
        <f t="shared" si="230"/>
        <v>1200</v>
      </c>
      <c r="Z189" s="54"/>
      <c r="AA189" s="54">
        <f t="shared" si="231"/>
        <v>1200</v>
      </c>
      <c r="AB189" s="54"/>
      <c r="AC189" s="54">
        <f t="shared" si="232"/>
        <v>1200</v>
      </c>
      <c r="AD189" s="54"/>
      <c r="AE189" s="54">
        <f t="shared" si="233"/>
        <v>1200</v>
      </c>
      <c r="AF189" s="54"/>
      <c r="AG189" s="54">
        <f t="shared" si="234"/>
        <v>1200</v>
      </c>
      <c r="AH189" s="54"/>
      <c r="AI189" s="54">
        <f t="shared" si="235"/>
        <v>1200</v>
      </c>
      <c r="AJ189" s="54"/>
      <c r="AK189" s="54">
        <f t="shared" si="236"/>
        <v>1200</v>
      </c>
    </row>
    <row r="190" spans="1:37" s="20" customFormat="1" ht="21" customHeight="1">
      <c r="A190" s="58"/>
      <c r="B190" s="55"/>
      <c r="C190" s="135">
        <v>4430</v>
      </c>
      <c r="D190" s="31" t="s">
        <v>87</v>
      </c>
      <c r="E190" s="54">
        <v>3500</v>
      </c>
      <c r="F190" s="54"/>
      <c r="G190" s="54">
        <f t="shared" si="148"/>
        <v>3500</v>
      </c>
      <c r="H190" s="54"/>
      <c r="I190" s="54">
        <f t="shared" si="222"/>
        <v>3500</v>
      </c>
      <c r="J190" s="54"/>
      <c r="K190" s="54">
        <f t="shared" si="223"/>
        <v>3500</v>
      </c>
      <c r="L190" s="54"/>
      <c r="M190" s="54">
        <f t="shared" si="224"/>
        <v>3500</v>
      </c>
      <c r="N190" s="54"/>
      <c r="O190" s="54">
        <f t="shared" si="225"/>
        <v>3500</v>
      </c>
      <c r="P190" s="54"/>
      <c r="Q190" s="54">
        <f t="shared" si="226"/>
        <v>3500</v>
      </c>
      <c r="R190" s="54"/>
      <c r="S190" s="54">
        <f t="shared" si="227"/>
        <v>3500</v>
      </c>
      <c r="T190" s="54"/>
      <c r="U190" s="54">
        <f t="shared" si="228"/>
        <v>3500</v>
      </c>
      <c r="V190" s="54"/>
      <c r="W190" s="54">
        <f t="shared" si="229"/>
        <v>3500</v>
      </c>
      <c r="X190" s="54"/>
      <c r="Y190" s="54">
        <f t="shared" si="230"/>
        <v>3500</v>
      </c>
      <c r="Z190" s="54"/>
      <c r="AA190" s="54">
        <f t="shared" si="231"/>
        <v>3500</v>
      </c>
      <c r="AB190" s="54"/>
      <c r="AC190" s="54">
        <f t="shared" si="232"/>
        <v>3500</v>
      </c>
      <c r="AD190" s="54">
        <v>-500</v>
      </c>
      <c r="AE190" s="54">
        <f t="shared" si="233"/>
        <v>3000</v>
      </c>
      <c r="AF190" s="54"/>
      <c r="AG190" s="54">
        <f t="shared" si="234"/>
        <v>3000</v>
      </c>
      <c r="AH190" s="54"/>
      <c r="AI190" s="54">
        <f t="shared" si="235"/>
        <v>3000</v>
      </c>
      <c r="AJ190" s="54"/>
      <c r="AK190" s="54">
        <f t="shared" si="236"/>
        <v>3000</v>
      </c>
    </row>
    <row r="191" spans="1:37" s="20" customFormat="1" ht="21" customHeight="1">
      <c r="A191" s="58"/>
      <c r="B191" s="55"/>
      <c r="C191" s="135">
        <v>4440</v>
      </c>
      <c r="D191" s="31" t="s">
        <v>83</v>
      </c>
      <c r="E191" s="54">
        <v>4875</v>
      </c>
      <c r="F191" s="54"/>
      <c r="G191" s="54">
        <f t="shared" si="148"/>
        <v>4875</v>
      </c>
      <c r="H191" s="54"/>
      <c r="I191" s="54">
        <f t="shared" si="222"/>
        <v>4875</v>
      </c>
      <c r="J191" s="54"/>
      <c r="K191" s="54">
        <f t="shared" si="223"/>
        <v>4875</v>
      </c>
      <c r="L191" s="54"/>
      <c r="M191" s="54">
        <f t="shared" si="224"/>
        <v>4875</v>
      </c>
      <c r="N191" s="54"/>
      <c r="O191" s="54">
        <f t="shared" si="225"/>
        <v>4875</v>
      </c>
      <c r="P191" s="54"/>
      <c r="Q191" s="54">
        <f t="shared" si="226"/>
        <v>4875</v>
      </c>
      <c r="R191" s="54"/>
      <c r="S191" s="54">
        <f t="shared" si="227"/>
        <v>4875</v>
      </c>
      <c r="T191" s="54"/>
      <c r="U191" s="54">
        <f t="shared" si="228"/>
        <v>4875</v>
      </c>
      <c r="V191" s="54"/>
      <c r="W191" s="54">
        <f t="shared" si="229"/>
        <v>4875</v>
      </c>
      <c r="X191" s="54"/>
      <c r="Y191" s="54">
        <f t="shared" si="230"/>
        <v>4875</v>
      </c>
      <c r="Z191" s="54"/>
      <c r="AA191" s="54">
        <f t="shared" si="231"/>
        <v>4875</v>
      </c>
      <c r="AB191" s="54"/>
      <c r="AC191" s="54">
        <f t="shared" si="232"/>
        <v>4875</v>
      </c>
      <c r="AD191" s="54"/>
      <c r="AE191" s="54">
        <f t="shared" si="233"/>
        <v>4875</v>
      </c>
      <c r="AF191" s="54"/>
      <c r="AG191" s="54">
        <f t="shared" si="234"/>
        <v>4875</v>
      </c>
      <c r="AH191" s="54">
        <v>130</v>
      </c>
      <c r="AI191" s="54">
        <f t="shared" si="235"/>
        <v>5005</v>
      </c>
      <c r="AJ191" s="54"/>
      <c r="AK191" s="54">
        <f t="shared" si="236"/>
        <v>5005</v>
      </c>
    </row>
    <row r="192" spans="1:37" s="20" customFormat="1" ht="21" customHeight="1">
      <c r="A192" s="58"/>
      <c r="B192" s="55"/>
      <c r="C192" s="135">
        <v>4510</v>
      </c>
      <c r="D192" s="31" t="s">
        <v>307</v>
      </c>
      <c r="E192" s="54">
        <v>200</v>
      </c>
      <c r="F192" s="54"/>
      <c r="G192" s="54">
        <f t="shared" si="148"/>
        <v>200</v>
      </c>
      <c r="H192" s="54"/>
      <c r="I192" s="54">
        <f t="shared" si="222"/>
        <v>200</v>
      </c>
      <c r="J192" s="54"/>
      <c r="K192" s="54">
        <f t="shared" si="223"/>
        <v>200</v>
      </c>
      <c r="L192" s="54"/>
      <c r="M192" s="54">
        <f t="shared" si="224"/>
        <v>200</v>
      </c>
      <c r="N192" s="54"/>
      <c r="O192" s="54">
        <f t="shared" si="225"/>
        <v>200</v>
      </c>
      <c r="P192" s="54"/>
      <c r="Q192" s="54">
        <f t="shared" si="226"/>
        <v>200</v>
      </c>
      <c r="R192" s="54"/>
      <c r="S192" s="54">
        <f t="shared" si="227"/>
        <v>200</v>
      </c>
      <c r="T192" s="54"/>
      <c r="U192" s="54">
        <f t="shared" si="228"/>
        <v>200</v>
      </c>
      <c r="V192" s="54"/>
      <c r="W192" s="54">
        <f t="shared" si="229"/>
        <v>200</v>
      </c>
      <c r="X192" s="54"/>
      <c r="Y192" s="54">
        <f t="shared" si="230"/>
        <v>200</v>
      </c>
      <c r="Z192" s="54"/>
      <c r="AA192" s="54">
        <f t="shared" si="231"/>
        <v>200</v>
      </c>
      <c r="AB192" s="54"/>
      <c r="AC192" s="54">
        <f t="shared" si="232"/>
        <v>200</v>
      </c>
      <c r="AD192" s="54"/>
      <c r="AE192" s="54">
        <f t="shared" si="233"/>
        <v>200</v>
      </c>
      <c r="AF192" s="54"/>
      <c r="AG192" s="54">
        <f t="shared" si="234"/>
        <v>200</v>
      </c>
      <c r="AH192" s="54"/>
      <c r="AI192" s="54">
        <f t="shared" si="235"/>
        <v>200</v>
      </c>
      <c r="AJ192" s="54"/>
      <c r="AK192" s="54">
        <f t="shared" si="236"/>
        <v>200</v>
      </c>
    </row>
    <row r="193" spans="1:37" s="20" customFormat="1" ht="21" customHeight="1">
      <c r="A193" s="58"/>
      <c r="B193" s="55"/>
      <c r="C193" s="135">
        <v>4580</v>
      </c>
      <c r="D193" s="31" t="s">
        <v>11</v>
      </c>
      <c r="E193" s="54"/>
      <c r="F193" s="54"/>
      <c r="G193" s="54"/>
      <c r="H193" s="54"/>
      <c r="I193" s="54">
        <v>0</v>
      </c>
      <c r="J193" s="54">
        <v>96</v>
      </c>
      <c r="K193" s="54">
        <f t="shared" si="223"/>
        <v>96</v>
      </c>
      <c r="L193" s="54"/>
      <c r="M193" s="54">
        <f t="shared" si="224"/>
        <v>96</v>
      </c>
      <c r="N193" s="54"/>
      <c r="O193" s="54">
        <f t="shared" si="225"/>
        <v>96</v>
      </c>
      <c r="P193" s="54"/>
      <c r="Q193" s="54">
        <f t="shared" si="226"/>
        <v>96</v>
      </c>
      <c r="R193" s="54"/>
      <c r="S193" s="54">
        <f t="shared" si="227"/>
        <v>96</v>
      </c>
      <c r="T193" s="54"/>
      <c r="U193" s="54">
        <f t="shared" si="228"/>
        <v>96</v>
      </c>
      <c r="V193" s="54"/>
      <c r="W193" s="54">
        <f t="shared" si="229"/>
        <v>96</v>
      </c>
      <c r="X193" s="54"/>
      <c r="Y193" s="54">
        <f t="shared" si="230"/>
        <v>96</v>
      </c>
      <c r="Z193" s="54"/>
      <c r="AA193" s="54">
        <f t="shared" si="231"/>
        <v>96</v>
      </c>
      <c r="AB193" s="54"/>
      <c r="AC193" s="54">
        <f t="shared" si="232"/>
        <v>96</v>
      </c>
      <c r="AD193" s="54"/>
      <c r="AE193" s="54">
        <f t="shared" si="233"/>
        <v>96</v>
      </c>
      <c r="AF193" s="54"/>
      <c r="AG193" s="54">
        <f t="shared" si="234"/>
        <v>96</v>
      </c>
      <c r="AH193" s="54"/>
      <c r="AI193" s="54">
        <f t="shared" si="235"/>
        <v>96</v>
      </c>
      <c r="AJ193" s="54"/>
      <c r="AK193" s="54">
        <f t="shared" si="236"/>
        <v>96</v>
      </c>
    </row>
    <row r="194" spans="1:37" s="20" customFormat="1" ht="24">
      <c r="A194" s="58"/>
      <c r="B194" s="55"/>
      <c r="C194" s="135">
        <v>4700</v>
      </c>
      <c r="D194" s="31" t="s">
        <v>193</v>
      </c>
      <c r="E194" s="54">
        <v>2500</v>
      </c>
      <c r="F194" s="54"/>
      <c r="G194" s="54">
        <f t="shared" si="148"/>
        <v>2500</v>
      </c>
      <c r="H194" s="54"/>
      <c r="I194" s="54">
        <f t="shared" si="222"/>
        <v>2500</v>
      </c>
      <c r="J194" s="54"/>
      <c r="K194" s="54">
        <f t="shared" si="223"/>
        <v>2500</v>
      </c>
      <c r="L194" s="54"/>
      <c r="M194" s="54">
        <f t="shared" si="224"/>
        <v>2500</v>
      </c>
      <c r="N194" s="54"/>
      <c r="O194" s="54">
        <f t="shared" si="225"/>
        <v>2500</v>
      </c>
      <c r="P194" s="54"/>
      <c r="Q194" s="54">
        <f t="shared" si="226"/>
        <v>2500</v>
      </c>
      <c r="R194" s="54"/>
      <c r="S194" s="54">
        <f t="shared" si="227"/>
        <v>2500</v>
      </c>
      <c r="T194" s="54"/>
      <c r="U194" s="54">
        <f t="shared" si="228"/>
        <v>2500</v>
      </c>
      <c r="V194" s="54"/>
      <c r="W194" s="54">
        <f t="shared" si="229"/>
        <v>2500</v>
      </c>
      <c r="X194" s="54"/>
      <c r="Y194" s="54">
        <f t="shared" si="230"/>
        <v>2500</v>
      </c>
      <c r="Z194" s="54"/>
      <c r="AA194" s="54">
        <f t="shared" si="231"/>
        <v>2500</v>
      </c>
      <c r="AB194" s="54"/>
      <c r="AC194" s="54">
        <f t="shared" si="232"/>
        <v>2500</v>
      </c>
      <c r="AD194" s="54"/>
      <c r="AE194" s="54">
        <f t="shared" si="233"/>
        <v>2500</v>
      </c>
      <c r="AF194" s="54"/>
      <c r="AG194" s="54">
        <f t="shared" si="234"/>
        <v>2500</v>
      </c>
      <c r="AH194" s="54"/>
      <c r="AI194" s="54">
        <f t="shared" si="235"/>
        <v>2500</v>
      </c>
      <c r="AJ194" s="54"/>
      <c r="AK194" s="54">
        <f t="shared" si="236"/>
        <v>2500</v>
      </c>
    </row>
    <row r="195" spans="1:37" s="20" customFormat="1" ht="20.25" customHeight="1">
      <c r="A195" s="58"/>
      <c r="B195" s="55">
        <v>75421</v>
      </c>
      <c r="C195" s="135"/>
      <c r="D195" s="31" t="s">
        <v>416</v>
      </c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>
        <f aca="true" t="shared" si="237" ref="Y195:AE195">SUM(Y196:Y197)</f>
        <v>0</v>
      </c>
      <c r="Z195" s="54">
        <f t="shared" si="237"/>
        <v>76000</v>
      </c>
      <c r="AA195" s="54">
        <f t="shared" si="237"/>
        <v>76000</v>
      </c>
      <c r="AB195" s="54">
        <f t="shared" si="237"/>
        <v>0</v>
      </c>
      <c r="AC195" s="54">
        <f t="shared" si="237"/>
        <v>76000</v>
      </c>
      <c r="AD195" s="54">
        <f t="shared" si="237"/>
        <v>0</v>
      </c>
      <c r="AE195" s="54">
        <f t="shared" si="237"/>
        <v>76000</v>
      </c>
      <c r="AF195" s="54">
        <f aca="true" t="shared" si="238" ref="AF195:AK195">SUM(AF196:AF197)</f>
        <v>0</v>
      </c>
      <c r="AG195" s="54">
        <f t="shared" si="238"/>
        <v>76000</v>
      </c>
      <c r="AH195" s="54">
        <f t="shared" si="238"/>
        <v>0</v>
      </c>
      <c r="AI195" s="54">
        <f t="shared" si="238"/>
        <v>76000</v>
      </c>
      <c r="AJ195" s="54">
        <f t="shared" si="238"/>
        <v>0</v>
      </c>
      <c r="AK195" s="54">
        <f t="shared" si="238"/>
        <v>76000</v>
      </c>
    </row>
    <row r="196" spans="1:37" s="20" customFormat="1" ht="21.75" customHeight="1">
      <c r="A196" s="58"/>
      <c r="B196" s="55"/>
      <c r="C196" s="135">
        <v>4270</v>
      </c>
      <c r="D196" s="31" t="s">
        <v>74</v>
      </c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>
        <v>0</v>
      </c>
      <c r="Z196" s="54">
        <v>10000</v>
      </c>
      <c r="AA196" s="54">
        <f>SUM(Y196:Z196)</f>
        <v>10000</v>
      </c>
      <c r="AB196" s="54"/>
      <c r="AC196" s="54">
        <f>SUM(AA196:AB196)</f>
        <v>10000</v>
      </c>
      <c r="AD196" s="54"/>
      <c r="AE196" s="54">
        <f>SUM(AC196:AD196)</f>
        <v>10000</v>
      </c>
      <c r="AF196" s="54"/>
      <c r="AG196" s="54">
        <f>SUM(AE196:AF196)</f>
        <v>10000</v>
      </c>
      <c r="AH196" s="54"/>
      <c r="AI196" s="54">
        <f>SUM(AG196:AH196)</f>
        <v>10000</v>
      </c>
      <c r="AJ196" s="54"/>
      <c r="AK196" s="54">
        <f>SUM(AI196:AJ196)</f>
        <v>10000</v>
      </c>
    </row>
    <row r="197" spans="1:41" s="20" customFormat="1" ht="22.5" customHeight="1">
      <c r="A197" s="58"/>
      <c r="B197" s="55"/>
      <c r="C197" s="135">
        <v>6060</v>
      </c>
      <c r="D197" s="31" t="s">
        <v>89</v>
      </c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>
        <v>0</v>
      </c>
      <c r="Z197" s="54">
        <v>66000</v>
      </c>
      <c r="AA197" s="54">
        <f>SUM(Y197:Z197)</f>
        <v>66000</v>
      </c>
      <c r="AB197" s="54"/>
      <c r="AC197" s="54">
        <f>SUM(AA197:AB197)</f>
        <v>66000</v>
      </c>
      <c r="AD197" s="54"/>
      <c r="AE197" s="54">
        <f>SUM(AC197:AD197)</f>
        <v>66000</v>
      </c>
      <c r="AF197" s="54"/>
      <c r="AG197" s="54">
        <f>SUM(AE197:AF197)</f>
        <v>66000</v>
      </c>
      <c r="AH197" s="54"/>
      <c r="AI197" s="54">
        <f>SUM(AG197:AH197)</f>
        <v>66000</v>
      </c>
      <c r="AJ197" s="54"/>
      <c r="AK197" s="54">
        <f>SUM(AI197:AJ197)</f>
        <v>66000</v>
      </c>
      <c r="AN197" s="67"/>
      <c r="AO197" s="67"/>
    </row>
    <row r="198" spans="1:37" s="20" customFormat="1" ht="21" customHeight="1">
      <c r="A198" s="58"/>
      <c r="B198" s="55" t="s">
        <v>91</v>
      </c>
      <c r="C198" s="58"/>
      <c r="D198" s="31" t="s">
        <v>6</v>
      </c>
      <c r="E198" s="54">
        <f aca="true" t="shared" si="239" ref="E198:W198">SUM(E199:E200)</f>
        <v>5000</v>
      </c>
      <c r="F198" s="54">
        <f t="shared" si="239"/>
        <v>150000</v>
      </c>
      <c r="G198" s="54">
        <f t="shared" si="239"/>
        <v>155000</v>
      </c>
      <c r="H198" s="54">
        <f t="shared" si="239"/>
        <v>0</v>
      </c>
      <c r="I198" s="54">
        <f t="shared" si="239"/>
        <v>155000</v>
      </c>
      <c r="J198" s="54">
        <f t="shared" si="239"/>
        <v>0</v>
      </c>
      <c r="K198" s="54">
        <f t="shared" si="239"/>
        <v>155000</v>
      </c>
      <c r="L198" s="54">
        <f t="shared" si="239"/>
        <v>0</v>
      </c>
      <c r="M198" s="54">
        <f t="shared" si="239"/>
        <v>155000</v>
      </c>
      <c r="N198" s="54">
        <f t="shared" si="239"/>
        <v>0</v>
      </c>
      <c r="O198" s="54">
        <f t="shared" si="239"/>
        <v>155000</v>
      </c>
      <c r="P198" s="54">
        <f t="shared" si="239"/>
        <v>0</v>
      </c>
      <c r="Q198" s="54">
        <f t="shared" si="239"/>
        <v>155000</v>
      </c>
      <c r="R198" s="54">
        <f t="shared" si="239"/>
        <v>0</v>
      </c>
      <c r="S198" s="54">
        <f t="shared" si="239"/>
        <v>155000</v>
      </c>
      <c r="T198" s="54">
        <f t="shared" si="239"/>
        <v>0</v>
      </c>
      <c r="U198" s="54">
        <f t="shared" si="239"/>
        <v>155000</v>
      </c>
      <c r="V198" s="54">
        <f t="shared" si="239"/>
        <v>0</v>
      </c>
      <c r="W198" s="54">
        <f t="shared" si="239"/>
        <v>155000</v>
      </c>
      <c r="X198" s="54">
        <f aca="true" t="shared" si="240" ref="X198:AC198">SUM(X199:X200)</f>
        <v>0</v>
      </c>
      <c r="Y198" s="54">
        <f t="shared" si="240"/>
        <v>155000</v>
      </c>
      <c r="Z198" s="54">
        <f t="shared" si="240"/>
        <v>0</v>
      </c>
      <c r="AA198" s="54">
        <f t="shared" si="240"/>
        <v>155000</v>
      </c>
      <c r="AB198" s="54">
        <f t="shared" si="240"/>
        <v>0</v>
      </c>
      <c r="AC198" s="54">
        <f t="shared" si="240"/>
        <v>155000</v>
      </c>
      <c r="AD198" s="54">
        <f aca="true" t="shared" si="241" ref="AD198:AI198">SUM(AD199:AD200)</f>
        <v>0</v>
      </c>
      <c r="AE198" s="54">
        <f t="shared" si="241"/>
        <v>155000</v>
      </c>
      <c r="AF198" s="54">
        <f t="shared" si="241"/>
        <v>0</v>
      </c>
      <c r="AG198" s="54">
        <f t="shared" si="241"/>
        <v>155000</v>
      </c>
      <c r="AH198" s="54">
        <f t="shared" si="241"/>
        <v>0</v>
      </c>
      <c r="AI198" s="54">
        <f t="shared" si="241"/>
        <v>155000</v>
      </c>
      <c r="AJ198" s="54">
        <f>SUM(AJ199:AJ200)</f>
        <v>0</v>
      </c>
      <c r="AK198" s="54">
        <f>SUM(AK199:AK200)</f>
        <v>155000</v>
      </c>
    </row>
    <row r="199" spans="1:37" s="20" customFormat="1" ht="21" customHeight="1">
      <c r="A199" s="58"/>
      <c r="B199" s="55"/>
      <c r="C199" s="135">
        <v>4430</v>
      </c>
      <c r="D199" s="31" t="s">
        <v>87</v>
      </c>
      <c r="E199" s="54">
        <v>5000</v>
      </c>
      <c r="F199" s="54"/>
      <c r="G199" s="54">
        <f t="shared" si="148"/>
        <v>5000</v>
      </c>
      <c r="H199" s="54"/>
      <c r="I199" s="54">
        <f>SUM(G199:H199)</f>
        <v>5000</v>
      </c>
      <c r="J199" s="54"/>
      <c r="K199" s="54">
        <f>SUM(I199:J199)</f>
        <v>5000</v>
      </c>
      <c r="L199" s="54"/>
      <c r="M199" s="54">
        <f>SUM(K199:L199)</f>
        <v>5000</v>
      </c>
      <c r="N199" s="54"/>
      <c r="O199" s="54">
        <f>SUM(M199:N199)</f>
        <v>5000</v>
      </c>
      <c r="P199" s="54"/>
      <c r="Q199" s="54">
        <f>SUM(O199:P199)</f>
        <v>5000</v>
      </c>
      <c r="R199" s="54"/>
      <c r="S199" s="54">
        <f>SUM(Q199:R199)</f>
        <v>5000</v>
      </c>
      <c r="T199" s="54"/>
      <c r="U199" s="54">
        <f>SUM(S199:T199)</f>
        <v>5000</v>
      </c>
      <c r="V199" s="54"/>
      <c r="W199" s="54">
        <f>SUM(U199:V199)</f>
        <v>5000</v>
      </c>
      <c r="X199" s="54"/>
      <c r="Y199" s="54">
        <f>SUM(W199:X199)</f>
        <v>5000</v>
      </c>
      <c r="Z199" s="54"/>
      <c r="AA199" s="54">
        <f>SUM(Y199:Z199)</f>
        <v>5000</v>
      </c>
      <c r="AB199" s="54"/>
      <c r="AC199" s="54">
        <f>SUM(AA199:AB199)</f>
        <v>5000</v>
      </c>
      <c r="AD199" s="54"/>
      <c r="AE199" s="54">
        <f>SUM(AC199:AD199)</f>
        <v>5000</v>
      </c>
      <c r="AF199" s="54"/>
      <c r="AG199" s="54">
        <f>SUM(AE199:AF199)</f>
        <v>5000</v>
      </c>
      <c r="AH199" s="54"/>
      <c r="AI199" s="54">
        <f>SUM(AG199:AH199)</f>
        <v>5000</v>
      </c>
      <c r="AJ199" s="54"/>
      <c r="AK199" s="54">
        <f>SUM(AI199:AJ199)</f>
        <v>5000</v>
      </c>
    </row>
    <row r="200" spans="1:41" s="20" customFormat="1" ht="26.25" customHeight="1">
      <c r="A200" s="58"/>
      <c r="B200" s="55"/>
      <c r="C200" s="135">
        <v>6050</v>
      </c>
      <c r="D200" s="12" t="s">
        <v>69</v>
      </c>
      <c r="E200" s="54">
        <v>0</v>
      </c>
      <c r="F200" s="54">
        <v>150000</v>
      </c>
      <c r="G200" s="54">
        <f t="shared" si="148"/>
        <v>150000</v>
      </c>
      <c r="H200" s="54"/>
      <c r="I200" s="54">
        <f>SUM(G200:H200)</f>
        <v>150000</v>
      </c>
      <c r="J200" s="54"/>
      <c r="K200" s="54">
        <f>SUM(I200:J200)</f>
        <v>150000</v>
      </c>
      <c r="L200" s="54"/>
      <c r="M200" s="54">
        <f>SUM(K200:L200)</f>
        <v>150000</v>
      </c>
      <c r="N200" s="54"/>
      <c r="O200" s="54">
        <f>SUM(M200:N200)</f>
        <v>150000</v>
      </c>
      <c r="P200" s="54"/>
      <c r="Q200" s="54">
        <f>SUM(O200:P200)</f>
        <v>150000</v>
      </c>
      <c r="R200" s="54"/>
      <c r="S200" s="54">
        <f>SUM(Q200:R200)</f>
        <v>150000</v>
      </c>
      <c r="T200" s="54"/>
      <c r="U200" s="54">
        <f>SUM(S200:T200)</f>
        <v>150000</v>
      </c>
      <c r="V200" s="54"/>
      <c r="W200" s="54">
        <f>SUM(U200:V200)</f>
        <v>150000</v>
      </c>
      <c r="X200" s="54"/>
      <c r="Y200" s="54">
        <f>SUM(W200:X200)</f>
        <v>150000</v>
      </c>
      <c r="Z200" s="54"/>
      <c r="AA200" s="54">
        <f>SUM(Y200:Z200)</f>
        <v>150000</v>
      </c>
      <c r="AB200" s="54"/>
      <c r="AC200" s="54">
        <f>SUM(AA200:AB200)</f>
        <v>150000</v>
      </c>
      <c r="AD200" s="54">
        <f>-150000+150000</f>
        <v>0</v>
      </c>
      <c r="AE200" s="54">
        <f>SUM(AC200:AD200)</f>
        <v>150000</v>
      </c>
      <c r="AF200" s="54">
        <f>-150000+150000</f>
        <v>0</v>
      </c>
      <c r="AG200" s="54">
        <f>SUM(AE200:AF200)</f>
        <v>150000</v>
      </c>
      <c r="AH200" s="54"/>
      <c r="AI200" s="54">
        <f>SUM(AG200:AH200)</f>
        <v>150000</v>
      </c>
      <c r="AJ200" s="54"/>
      <c r="AK200" s="54">
        <f>SUM(AI200:AJ200)</f>
        <v>150000</v>
      </c>
      <c r="AN200" s="67"/>
      <c r="AO200" s="67"/>
    </row>
    <row r="201" spans="1:37" s="32" customFormat="1" ht="72">
      <c r="A201" s="29">
        <v>756</v>
      </c>
      <c r="B201" s="142"/>
      <c r="C201" s="102"/>
      <c r="D201" s="30" t="s">
        <v>324</v>
      </c>
      <c r="E201" s="134">
        <f aca="true" t="shared" si="242" ref="E201:AK201">SUM(E202)</f>
        <v>109900</v>
      </c>
      <c r="F201" s="134">
        <f t="shared" si="242"/>
        <v>0</v>
      </c>
      <c r="G201" s="134">
        <f t="shared" si="242"/>
        <v>109900</v>
      </c>
      <c r="H201" s="134">
        <f t="shared" si="242"/>
        <v>0</v>
      </c>
      <c r="I201" s="134">
        <f t="shared" si="242"/>
        <v>109900</v>
      </c>
      <c r="J201" s="134">
        <f t="shared" si="242"/>
        <v>0</v>
      </c>
      <c r="K201" s="134">
        <f t="shared" si="242"/>
        <v>109900</v>
      </c>
      <c r="L201" s="134">
        <f t="shared" si="242"/>
        <v>0</v>
      </c>
      <c r="M201" s="134">
        <f t="shared" si="242"/>
        <v>109900</v>
      </c>
      <c r="N201" s="134">
        <f t="shared" si="242"/>
        <v>0</v>
      </c>
      <c r="O201" s="134">
        <f t="shared" si="242"/>
        <v>109900</v>
      </c>
      <c r="P201" s="134">
        <f t="shared" si="242"/>
        <v>0</v>
      </c>
      <c r="Q201" s="134">
        <f t="shared" si="242"/>
        <v>109900</v>
      </c>
      <c r="R201" s="134">
        <f t="shared" si="242"/>
        <v>0</v>
      </c>
      <c r="S201" s="134">
        <f t="shared" si="242"/>
        <v>109900</v>
      </c>
      <c r="T201" s="134">
        <f t="shared" si="242"/>
        <v>0</v>
      </c>
      <c r="U201" s="134">
        <f t="shared" si="242"/>
        <v>109900</v>
      </c>
      <c r="V201" s="134">
        <f t="shared" si="242"/>
        <v>0</v>
      </c>
      <c r="W201" s="134">
        <f t="shared" si="242"/>
        <v>109900</v>
      </c>
      <c r="X201" s="134">
        <f t="shared" si="242"/>
        <v>0</v>
      </c>
      <c r="Y201" s="134">
        <f t="shared" si="242"/>
        <v>109900</v>
      </c>
      <c r="Z201" s="134">
        <f t="shared" si="242"/>
        <v>-8000</v>
      </c>
      <c r="AA201" s="134">
        <f t="shared" si="242"/>
        <v>101900</v>
      </c>
      <c r="AB201" s="134">
        <f t="shared" si="242"/>
        <v>0</v>
      </c>
      <c r="AC201" s="134">
        <f t="shared" si="242"/>
        <v>101900</v>
      </c>
      <c r="AD201" s="134">
        <f t="shared" si="242"/>
        <v>0</v>
      </c>
      <c r="AE201" s="134">
        <f t="shared" si="242"/>
        <v>101900</v>
      </c>
      <c r="AF201" s="134">
        <f t="shared" si="242"/>
        <v>0</v>
      </c>
      <c r="AG201" s="134">
        <f t="shared" si="242"/>
        <v>101900</v>
      </c>
      <c r="AH201" s="134">
        <f t="shared" si="242"/>
        <v>0</v>
      </c>
      <c r="AI201" s="134">
        <f t="shared" si="242"/>
        <v>101900</v>
      </c>
      <c r="AJ201" s="134">
        <f t="shared" si="242"/>
        <v>0</v>
      </c>
      <c r="AK201" s="134">
        <f t="shared" si="242"/>
        <v>101900</v>
      </c>
    </row>
    <row r="202" spans="1:37" s="20" customFormat="1" ht="25.5" customHeight="1">
      <c r="A202" s="58"/>
      <c r="B202" s="55">
        <v>75647</v>
      </c>
      <c r="C202" s="135"/>
      <c r="D202" s="31" t="s">
        <v>325</v>
      </c>
      <c r="E202" s="54">
        <f aca="true" t="shared" si="243" ref="E202:W202">SUM(E203:E210)</f>
        <v>109900</v>
      </c>
      <c r="F202" s="54">
        <f t="shared" si="243"/>
        <v>0</v>
      </c>
      <c r="G202" s="54">
        <f t="shared" si="243"/>
        <v>109900</v>
      </c>
      <c r="H202" s="54">
        <f t="shared" si="243"/>
        <v>0</v>
      </c>
      <c r="I202" s="54">
        <f t="shared" si="243"/>
        <v>109900</v>
      </c>
      <c r="J202" s="54">
        <f t="shared" si="243"/>
        <v>0</v>
      </c>
      <c r="K202" s="54">
        <f t="shared" si="243"/>
        <v>109900</v>
      </c>
      <c r="L202" s="54">
        <f t="shared" si="243"/>
        <v>0</v>
      </c>
      <c r="M202" s="54">
        <f t="shared" si="243"/>
        <v>109900</v>
      </c>
      <c r="N202" s="54">
        <f t="shared" si="243"/>
        <v>0</v>
      </c>
      <c r="O202" s="54">
        <f t="shared" si="243"/>
        <v>109900</v>
      </c>
      <c r="P202" s="54">
        <f t="shared" si="243"/>
        <v>0</v>
      </c>
      <c r="Q202" s="54">
        <f t="shared" si="243"/>
        <v>109900</v>
      </c>
      <c r="R202" s="54">
        <f t="shared" si="243"/>
        <v>0</v>
      </c>
      <c r="S202" s="54">
        <f t="shared" si="243"/>
        <v>109900</v>
      </c>
      <c r="T202" s="54">
        <f t="shared" si="243"/>
        <v>0</v>
      </c>
      <c r="U202" s="54">
        <f t="shared" si="243"/>
        <v>109900</v>
      </c>
      <c r="V202" s="54">
        <f t="shared" si="243"/>
        <v>0</v>
      </c>
      <c r="W202" s="54">
        <f t="shared" si="243"/>
        <v>109900</v>
      </c>
      <c r="X202" s="54">
        <f aca="true" t="shared" si="244" ref="X202:AC202">SUM(X203:X210)</f>
        <v>0</v>
      </c>
      <c r="Y202" s="54">
        <f t="shared" si="244"/>
        <v>109900</v>
      </c>
      <c r="Z202" s="54">
        <f t="shared" si="244"/>
        <v>-8000</v>
      </c>
      <c r="AA202" s="54">
        <f t="shared" si="244"/>
        <v>101900</v>
      </c>
      <c r="AB202" s="54">
        <f t="shared" si="244"/>
        <v>0</v>
      </c>
      <c r="AC202" s="54">
        <f t="shared" si="244"/>
        <v>101900</v>
      </c>
      <c r="AD202" s="54">
        <f aca="true" t="shared" si="245" ref="AD202:AI202">SUM(AD203:AD210)</f>
        <v>0</v>
      </c>
      <c r="AE202" s="54">
        <f t="shared" si="245"/>
        <v>101900</v>
      </c>
      <c r="AF202" s="54">
        <f t="shared" si="245"/>
        <v>0</v>
      </c>
      <c r="AG202" s="54">
        <f t="shared" si="245"/>
        <v>101900</v>
      </c>
      <c r="AH202" s="54">
        <f t="shared" si="245"/>
        <v>0</v>
      </c>
      <c r="AI202" s="54">
        <f t="shared" si="245"/>
        <v>101900</v>
      </c>
      <c r="AJ202" s="54">
        <f>SUM(AJ203:AJ210)</f>
        <v>0</v>
      </c>
      <c r="AK202" s="54">
        <f>SUM(AK203:AK210)</f>
        <v>101900</v>
      </c>
    </row>
    <row r="203" spans="1:39" s="20" customFormat="1" ht="21" customHeight="1">
      <c r="A203" s="58"/>
      <c r="B203" s="55"/>
      <c r="C203" s="135">
        <v>4100</v>
      </c>
      <c r="D203" s="31" t="s">
        <v>326</v>
      </c>
      <c r="E203" s="54">
        <v>40000</v>
      </c>
      <c r="F203" s="54"/>
      <c r="G203" s="54">
        <f t="shared" si="148"/>
        <v>40000</v>
      </c>
      <c r="H203" s="54"/>
      <c r="I203" s="54">
        <f aca="true" t="shared" si="246" ref="I203:I210">SUM(G203:H203)</f>
        <v>40000</v>
      </c>
      <c r="J203" s="54"/>
      <c r="K203" s="54">
        <f aca="true" t="shared" si="247" ref="K203:K210">SUM(I203:J203)</f>
        <v>40000</v>
      </c>
      <c r="L203" s="54"/>
      <c r="M203" s="54">
        <f aca="true" t="shared" si="248" ref="M203:M210">SUM(K203:L203)</f>
        <v>40000</v>
      </c>
      <c r="N203" s="54"/>
      <c r="O203" s="54">
        <f aca="true" t="shared" si="249" ref="O203:O210">SUM(M203:N203)</f>
        <v>40000</v>
      </c>
      <c r="P203" s="54"/>
      <c r="Q203" s="54">
        <f aca="true" t="shared" si="250" ref="Q203:Q210">SUM(O203:P203)</f>
        <v>40000</v>
      </c>
      <c r="R203" s="54"/>
      <c r="S203" s="54">
        <f aca="true" t="shared" si="251" ref="S203:S210">SUM(Q203:R203)</f>
        <v>40000</v>
      </c>
      <c r="T203" s="54"/>
      <c r="U203" s="54">
        <f aca="true" t="shared" si="252" ref="U203:U210">SUM(S203:T203)</f>
        <v>40000</v>
      </c>
      <c r="V203" s="54"/>
      <c r="W203" s="54">
        <f aca="true" t="shared" si="253" ref="W203:W210">SUM(U203:V203)</f>
        <v>40000</v>
      </c>
      <c r="X203" s="54"/>
      <c r="Y203" s="54">
        <f aca="true" t="shared" si="254" ref="Y203:Y210">SUM(W203:X203)</f>
        <v>40000</v>
      </c>
      <c r="Z203" s="54">
        <v>-4000</v>
      </c>
      <c r="AA203" s="54">
        <f aca="true" t="shared" si="255" ref="AA203:AA210">SUM(Y203:Z203)</f>
        <v>36000</v>
      </c>
      <c r="AB203" s="54"/>
      <c r="AC203" s="54">
        <f aca="true" t="shared" si="256" ref="AC203:AC210">SUM(AA203:AB203)</f>
        <v>36000</v>
      </c>
      <c r="AD203" s="54"/>
      <c r="AE203" s="54">
        <f aca="true" t="shared" si="257" ref="AE203:AE210">SUM(AC203:AD203)</f>
        <v>36000</v>
      </c>
      <c r="AF203" s="54"/>
      <c r="AG203" s="54">
        <f aca="true" t="shared" si="258" ref="AG203:AG210">SUM(AE203:AF203)</f>
        <v>36000</v>
      </c>
      <c r="AH203" s="54"/>
      <c r="AI203" s="54">
        <f aca="true" t="shared" si="259" ref="AI203:AI210">SUM(AG203:AH203)</f>
        <v>36000</v>
      </c>
      <c r="AJ203" s="54"/>
      <c r="AK203" s="54">
        <f aca="true" t="shared" si="260" ref="AK203:AK210">SUM(AI203:AJ203)</f>
        <v>36000</v>
      </c>
      <c r="AL203" s="67"/>
      <c r="AM203" s="67"/>
    </row>
    <row r="204" spans="1:39" s="20" customFormat="1" ht="21" customHeight="1">
      <c r="A204" s="58"/>
      <c r="B204" s="55"/>
      <c r="C204" s="135">
        <v>4170</v>
      </c>
      <c r="D204" s="31" t="s">
        <v>161</v>
      </c>
      <c r="E204" s="54">
        <v>5000</v>
      </c>
      <c r="F204" s="54"/>
      <c r="G204" s="54">
        <f t="shared" si="148"/>
        <v>5000</v>
      </c>
      <c r="H204" s="54"/>
      <c r="I204" s="54">
        <f t="shared" si="246"/>
        <v>5000</v>
      </c>
      <c r="J204" s="54"/>
      <c r="K204" s="54">
        <f t="shared" si="247"/>
        <v>5000</v>
      </c>
      <c r="L204" s="54"/>
      <c r="M204" s="54">
        <f t="shared" si="248"/>
        <v>5000</v>
      </c>
      <c r="N204" s="54"/>
      <c r="O204" s="54">
        <f t="shared" si="249"/>
        <v>5000</v>
      </c>
      <c r="P204" s="54"/>
      <c r="Q204" s="54">
        <f t="shared" si="250"/>
        <v>5000</v>
      </c>
      <c r="R204" s="54"/>
      <c r="S204" s="54">
        <f t="shared" si="251"/>
        <v>5000</v>
      </c>
      <c r="T204" s="54"/>
      <c r="U204" s="54">
        <f t="shared" si="252"/>
        <v>5000</v>
      </c>
      <c r="V204" s="54"/>
      <c r="W204" s="54">
        <f t="shared" si="253"/>
        <v>5000</v>
      </c>
      <c r="X204" s="54"/>
      <c r="Y204" s="54">
        <f t="shared" si="254"/>
        <v>5000</v>
      </c>
      <c r="Z204" s="54"/>
      <c r="AA204" s="54">
        <f t="shared" si="255"/>
        <v>5000</v>
      </c>
      <c r="AB204" s="54"/>
      <c r="AC204" s="54">
        <f t="shared" si="256"/>
        <v>5000</v>
      </c>
      <c r="AD204" s="54"/>
      <c r="AE204" s="54">
        <f t="shared" si="257"/>
        <v>5000</v>
      </c>
      <c r="AF204" s="54"/>
      <c r="AG204" s="54">
        <f t="shared" si="258"/>
        <v>5000</v>
      </c>
      <c r="AH204" s="54"/>
      <c r="AI204" s="54">
        <f t="shared" si="259"/>
        <v>5000</v>
      </c>
      <c r="AJ204" s="54"/>
      <c r="AK204" s="54">
        <f t="shared" si="260"/>
        <v>5000</v>
      </c>
      <c r="AL204" s="67"/>
      <c r="AM204" s="67"/>
    </row>
    <row r="205" spans="1:37" s="20" customFormat="1" ht="21" customHeight="1">
      <c r="A205" s="58"/>
      <c r="B205" s="55"/>
      <c r="C205" s="135">
        <v>4210</v>
      </c>
      <c r="D205" s="31" t="s">
        <v>68</v>
      </c>
      <c r="E205" s="54">
        <v>2000</v>
      </c>
      <c r="F205" s="54"/>
      <c r="G205" s="54">
        <f t="shared" si="148"/>
        <v>2000</v>
      </c>
      <c r="H205" s="54"/>
      <c r="I205" s="54">
        <f t="shared" si="246"/>
        <v>2000</v>
      </c>
      <c r="J205" s="54"/>
      <c r="K205" s="54">
        <f t="shared" si="247"/>
        <v>2000</v>
      </c>
      <c r="L205" s="54"/>
      <c r="M205" s="54">
        <f t="shared" si="248"/>
        <v>2000</v>
      </c>
      <c r="N205" s="54"/>
      <c r="O205" s="54">
        <f t="shared" si="249"/>
        <v>2000</v>
      </c>
      <c r="P205" s="54"/>
      <c r="Q205" s="54">
        <f t="shared" si="250"/>
        <v>2000</v>
      </c>
      <c r="R205" s="54"/>
      <c r="S205" s="54">
        <f t="shared" si="251"/>
        <v>2000</v>
      </c>
      <c r="T205" s="54"/>
      <c r="U205" s="54">
        <f t="shared" si="252"/>
        <v>2000</v>
      </c>
      <c r="V205" s="54"/>
      <c r="W205" s="54">
        <f t="shared" si="253"/>
        <v>2000</v>
      </c>
      <c r="X205" s="54"/>
      <c r="Y205" s="54">
        <f t="shared" si="254"/>
        <v>2000</v>
      </c>
      <c r="Z205" s="54"/>
      <c r="AA205" s="54">
        <f t="shared" si="255"/>
        <v>2000</v>
      </c>
      <c r="AB205" s="54"/>
      <c r="AC205" s="54">
        <f t="shared" si="256"/>
        <v>2000</v>
      </c>
      <c r="AD205" s="54"/>
      <c r="AE205" s="54">
        <f t="shared" si="257"/>
        <v>2000</v>
      </c>
      <c r="AF205" s="54"/>
      <c r="AG205" s="54">
        <f t="shared" si="258"/>
        <v>2000</v>
      </c>
      <c r="AH205" s="54"/>
      <c r="AI205" s="54">
        <f t="shared" si="259"/>
        <v>2000</v>
      </c>
      <c r="AJ205" s="54"/>
      <c r="AK205" s="54">
        <f t="shared" si="260"/>
        <v>2000</v>
      </c>
    </row>
    <row r="206" spans="1:37" s="20" customFormat="1" ht="21" customHeight="1">
      <c r="A206" s="58"/>
      <c r="B206" s="55"/>
      <c r="C206" s="135">
        <v>4300</v>
      </c>
      <c r="D206" s="31" t="s">
        <v>75</v>
      </c>
      <c r="E206" s="54">
        <v>20000</v>
      </c>
      <c r="F206" s="54"/>
      <c r="G206" s="54">
        <f t="shared" si="148"/>
        <v>20000</v>
      </c>
      <c r="H206" s="54"/>
      <c r="I206" s="54">
        <f t="shared" si="246"/>
        <v>20000</v>
      </c>
      <c r="J206" s="54"/>
      <c r="K206" s="54">
        <f t="shared" si="247"/>
        <v>20000</v>
      </c>
      <c r="L206" s="54"/>
      <c r="M206" s="54">
        <f t="shared" si="248"/>
        <v>20000</v>
      </c>
      <c r="N206" s="54"/>
      <c r="O206" s="54">
        <f t="shared" si="249"/>
        <v>20000</v>
      </c>
      <c r="P206" s="54"/>
      <c r="Q206" s="54">
        <f t="shared" si="250"/>
        <v>20000</v>
      </c>
      <c r="R206" s="54"/>
      <c r="S206" s="54">
        <f t="shared" si="251"/>
        <v>20000</v>
      </c>
      <c r="T206" s="54"/>
      <c r="U206" s="54">
        <f t="shared" si="252"/>
        <v>20000</v>
      </c>
      <c r="V206" s="54"/>
      <c r="W206" s="54">
        <f t="shared" si="253"/>
        <v>20000</v>
      </c>
      <c r="X206" s="54"/>
      <c r="Y206" s="54">
        <f t="shared" si="254"/>
        <v>20000</v>
      </c>
      <c r="Z206" s="54"/>
      <c r="AA206" s="54">
        <f t="shared" si="255"/>
        <v>20000</v>
      </c>
      <c r="AB206" s="54"/>
      <c r="AC206" s="54">
        <f t="shared" si="256"/>
        <v>20000</v>
      </c>
      <c r="AD206" s="54"/>
      <c r="AE206" s="54">
        <f t="shared" si="257"/>
        <v>20000</v>
      </c>
      <c r="AF206" s="54"/>
      <c r="AG206" s="54">
        <f t="shared" si="258"/>
        <v>20000</v>
      </c>
      <c r="AH206" s="54"/>
      <c r="AI206" s="54">
        <f t="shared" si="259"/>
        <v>20000</v>
      </c>
      <c r="AJ206" s="54"/>
      <c r="AK206" s="54">
        <f t="shared" si="260"/>
        <v>20000</v>
      </c>
    </row>
    <row r="207" spans="1:37" s="20" customFormat="1" ht="21" customHeight="1">
      <c r="A207" s="58"/>
      <c r="B207" s="55"/>
      <c r="C207" s="135">
        <v>4430</v>
      </c>
      <c r="D207" s="31" t="s">
        <v>87</v>
      </c>
      <c r="E207" s="54">
        <v>4900</v>
      </c>
      <c r="F207" s="54"/>
      <c r="G207" s="54">
        <f t="shared" si="148"/>
        <v>4900</v>
      </c>
      <c r="H207" s="54"/>
      <c r="I207" s="54">
        <f t="shared" si="246"/>
        <v>4900</v>
      </c>
      <c r="J207" s="54"/>
      <c r="K207" s="54">
        <f t="shared" si="247"/>
        <v>4900</v>
      </c>
      <c r="L207" s="54"/>
      <c r="M207" s="54">
        <f t="shared" si="248"/>
        <v>4900</v>
      </c>
      <c r="N207" s="54"/>
      <c r="O207" s="54">
        <f t="shared" si="249"/>
        <v>4900</v>
      </c>
      <c r="P207" s="54"/>
      <c r="Q207" s="54">
        <f t="shared" si="250"/>
        <v>4900</v>
      </c>
      <c r="R207" s="54"/>
      <c r="S207" s="54">
        <f t="shared" si="251"/>
        <v>4900</v>
      </c>
      <c r="T207" s="54"/>
      <c r="U207" s="54">
        <f t="shared" si="252"/>
        <v>4900</v>
      </c>
      <c r="V207" s="54"/>
      <c r="W207" s="54">
        <f t="shared" si="253"/>
        <v>4900</v>
      </c>
      <c r="X207" s="54"/>
      <c r="Y207" s="54">
        <f t="shared" si="254"/>
        <v>4900</v>
      </c>
      <c r="Z207" s="54">
        <v>-4000</v>
      </c>
      <c r="AA207" s="54">
        <f t="shared" si="255"/>
        <v>900</v>
      </c>
      <c r="AB207" s="54"/>
      <c r="AC207" s="54">
        <f t="shared" si="256"/>
        <v>900</v>
      </c>
      <c r="AD207" s="54"/>
      <c r="AE207" s="54">
        <f t="shared" si="257"/>
        <v>900</v>
      </c>
      <c r="AF207" s="54"/>
      <c r="AG207" s="54">
        <f t="shared" si="258"/>
        <v>900</v>
      </c>
      <c r="AH207" s="54"/>
      <c r="AI207" s="54">
        <f t="shared" si="259"/>
        <v>900</v>
      </c>
      <c r="AJ207" s="54"/>
      <c r="AK207" s="54">
        <f t="shared" si="260"/>
        <v>900</v>
      </c>
    </row>
    <row r="208" spans="1:37" s="20" customFormat="1" ht="24">
      <c r="A208" s="58"/>
      <c r="B208" s="55"/>
      <c r="C208" s="135">
        <v>4610</v>
      </c>
      <c r="D208" s="31" t="s">
        <v>151</v>
      </c>
      <c r="E208" s="54">
        <f>24000+10000</f>
        <v>34000</v>
      </c>
      <c r="F208" s="54"/>
      <c r="G208" s="54">
        <f t="shared" si="148"/>
        <v>34000</v>
      </c>
      <c r="H208" s="54"/>
      <c r="I208" s="54">
        <f t="shared" si="246"/>
        <v>34000</v>
      </c>
      <c r="J208" s="54"/>
      <c r="K208" s="54">
        <f t="shared" si="247"/>
        <v>34000</v>
      </c>
      <c r="L208" s="54"/>
      <c r="M208" s="54">
        <f t="shared" si="248"/>
        <v>34000</v>
      </c>
      <c r="N208" s="54"/>
      <c r="O208" s="54">
        <f t="shared" si="249"/>
        <v>34000</v>
      </c>
      <c r="P208" s="54"/>
      <c r="Q208" s="54">
        <f t="shared" si="250"/>
        <v>34000</v>
      </c>
      <c r="R208" s="54"/>
      <c r="S208" s="54">
        <f t="shared" si="251"/>
        <v>34000</v>
      </c>
      <c r="T208" s="54"/>
      <c r="U208" s="54">
        <f t="shared" si="252"/>
        <v>34000</v>
      </c>
      <c r="V208" s="54"/>
      <c r="W208" s="54">
        <f t="shared" si="253"/>
        <v>34000</v>
      </c>
      <c r="X208" s="54"/>
      <c r="Y208" s="54">
        <f t="shared" si="254"/>
        <v>34000</v>
      </c>
      <c r="Z208" s="54"/>
      <c r="AA208" s="54">
        <f t="shared" si="255"/>
        <v>34000</v>
      </c>
      <c r="AB208" s="54"/>
      <c r="AC208" s="54">
        <f t="shared" si="256"/>
        <v>34000</v>
      </c>
      <c r="AD208" s="54"/>
      <c r="AE208" s="54">
        <f t="shared" si="257"/>
        <v>34000</v>
      </c>
      <c r="AF208" s="54"/>
      <c r="AG208" s="54">
        <f t="shared" si="258"/>
        <v>34000</v>
      </c>
      <c r="AH208" s="54"/>
      <c r="AI208" s="54">
        <f t="shared" si="259"/>
        <v>34000</v>
      </c>
      <c r="AJ208" s="54"/>
      <c r="AK208" s="54">
        <f t="shared" si="260"/>
        <v>34000</v>
      </c>
    </row>
    <row r="209" spans="1:37" s="20" customFormat="1" ht="36">
      <c r="A209" s="58"/>
      <c r="B209" s="55"/>
      <c r="C209" s="135">
        <v>4740</v>
      </c>
      <c r="D209" s="31" t="s">
        <v>183</v>
      </c>
      <c r="E209" s="54">
        <v>2000</v>
      </c>
      <c r="F209" s="54"/>
      <c r="G209" s="54">
        <f t="shared" si="148"/>
        <v>2000</v>
      </c>
      <c r="H209" s="54"/>
      <c r="I209" s="54">
        <f t="shared" si="246"/>
        <v>2000</v>
      </c>
      <c r="J209" s="54"/>
      <c r="K209" s="54">
        <f t="shared" si="247"/>
        <v>2000</v>
      </c>
      <c r="L209" s="54"/>
      <c r="M209" s="54">
        <f t="shared" si="248"/>
        <v>2000</v>
      </c>
      <c r="N209" s="54"/>
      <c r="O209" s="54">
        <f t="shared" si="249"/>
        <v>2000</v>
      </c>
      <c r="P209" s="54"/>
      <c r="Q209" s="54">
        <f t="shared" si="250"/>
        <v>2000</v>
      </c>
      <c r="R209" s="54"/>
      <c r="S209" s="54">
        <f t="shared" si="251"/>
        <v>2000</v>
      </c>
      <c r="T209" s="54"/>
      <c r="U209" s="54">
        <f t="shared" si="252"/>
        <v>2000</v>
      </c>
      <c r="V209" s="54"/>
      <c r="W209" s="54">
        <f t="shared" si="253"/>
        <v>2000</v>
      </c>
      <c r="X209" s="54"/>
      <c r="Y209" s="54">
        <f t="shared" si="254"/>
        <v>2000</v>
      </c>
      <c r="Z209" s="54"/>
      <c r="AA209" s="54">
        <f t="shared" si="255"/>
        <v>2000</v>
      </c>
      <c r="AB209" s="54"/>
      <c r="AC209" s="54">
        <f t="shared" si="256"/>
        <v>2000</v>
      </c>
      <c r="AD209" s="54"/>
      <c r="AE209" s="54">
        <f t="shared" si="257"/>
        <v>2000</v>
      </c>
      <c r="AF209" s="54"/>
      <c r="AG209" s="54">
        <f t="shared" si="258"/>
        <v>2000</v>
      </c>
      <c r="AH209" s="54"/>
      <c r="AI209" s="54">
        <f t="shared" si="259"/>
        <v>2000</v>
      </c>
      <c r="AJ209" s="54"/>
      <c r="AK209" s="54">
        <f t="shared" si="260"/>
        <v>2000</v>
      </c>
    </row>
    <row r="210" spans="1:37" s="20" customFormat="1" ht="24">
      <c r="A210" s="58"/>
      <c r="B210" s="55"/>
      <c r="C210" s="135">
        <v>4750</v>
      </c>
      <c r="D210" s="31" t="s">
        <v>305</v>
      </c>
      <c r="E210" s="54">
        <v>2000</v>
      </c>
      <c r="F210" s="54"/>
      <c r="G210" s="54">
        <f t="shared" si="148"/>
        <v>2000</v>
      </c>
      <c r="H210" s="54"/>
      <c r="I210" s="54">
        <f t="shared" si="246"/>
        <v>2000</v>
      </c>
      <c r="J210" s="54"/>
      <c r="K210" s="54">
        <f t="shared" si="247"/>
        <v>2000</v>
      </c>
      <c r="L210" s="54"/>
      <c r="M210" s="54">
        <f t="shared" si="248"/>
        <v>2000</v>
      </c>
      <c r="N210" s="54"/>
      <c r="O210" s="54">
        <f t="shared" si="249"/>
        <v>2000</v>
      </c>
      <c r="P210" s="54"/>
      <c r="Q210" s="54">
        <f t="shared" si="250"/>
        <v>2000</v>
      </c>
      <c r="R210" s="54"/>
      <c r="S210" s="54">
        <f t="shared" si="251"/>
        <v>2000</v>
      </c>
      <c r="T210" s="54"/>
      <c r="U210" s="54">
        <f t="shared" si="252"/>
        <v>2000</v>
      </c>
      <c r="V210" s="54"/>
      <c r="W210" s="54">
        <f t="shared" si="253"/>
        <v>2000</v>
      </c>
      <c r="X210" s="54"/>
      <c r="Y210" s="54">
        <f t="shared" si="254"/>
        <v>2000</v>
      </c>
      <c r="Z210" s="54"/>
      <c r="AA210" s="54">
        <f t="shared" si="255"/>
        <v>2000</v>
      </c>
      <c r="AB210" s="54"/>
      <c r="AC210" s="54">
        <f t="shared" si="256"/>
        <v>2000</v>
      </c>
      <c r="AD210" s="54"/>
      <c r="AE210" s="54">
        <f t="shared" si="257"/>
        <v>2000</v>
      </c>
      <c r="AF210" s="54"/>
      <c r="AG210" s="54">
        <f t="shared" si="258"/>
        <v>2000</v>
      </c>
      <c r="AH210" s="54"/>
      <c r="AI210" s="54">
        <f t="shared" si="259"/>
        <v>2000</v>
      </c>
      <c r="AJ210" s="54"/>
      <c r="AK210" s="54">
        <f t="shared" si="260"/>
        <v>2000</v>
      </c>
    </row>
    <row r="211" spans="1:37" s="5" customFormat="1" ht="21.75" customHeight="1">
      <c r="A211" s="27" t="s">
        <v>327</v>
      </c>
      <c r="B211" s="28"/>
      <c r="C211" s="29"/>
      <c r="D211" s="30" t="s">
        <v>328</v>
      </c>
      <c r="E211" s="134">
        <f aca="true" t="shared" si="261" ref="E211:AK211">SUM(E212)</f>
        <v>356637</v>
      </c>
      <c r="F211" s="134">
        <f t="shared" si="261"/>
        <v>0</v>
      </c>
      <c r="G211" s="134">
        <f t="shared" si="261"/>
        <v>356637</v>
      </c>
      <c r="H211" s="134">
        <f t="shared" si="261"/>
        <v>0</v>
      </c>
      <c r="I211" s="134">
        <f t="shared" si="261"/>
        <v>356637</v>
      </c>
      <c r="J211" s="134">
        <f t="shared" si="261"/>
        <v>0</v>
      </c>
      <c r="K211" s="134">
        <f t="shared" si="261"/>
        <v>356637</v>
      </c>
      <c r="L211" s="134">
        <f t="shared" si="261"/>
        <v>0</v>
      </c>
      <c r="M211" s="134">
        <f t="shared" si="261"/>
        <v>356637</v>
      </c>
      <c r="N211" s="134">
        <f t="shared" si="261"/>
        <v>0</v>
      </c>
      <c r="O211" s="134">
        <f t="shared" si="261"/>
        <v>356637</v>
      </c>
      <c r="P211" s="134">
        <f t="shared" si="261"/>
        <v>0</v>
      </c>
      <c r="Q211" s="134">
        <f t="shared" si="261"/>
        <v>356637</v>
      </c>
      <c r="R211" s="134">
        <f t="shared" si="261"/>
        <v>0</v>
      </c>
      <c r="S211" s="134">
        <f t="shared" si="261"/>
        <v>356637</v>
      </c>
      <c r="T211" s="134">
        <f t="shared" si="261"/>
        <v>0</v>
      </c>
      <c r="U211" s="134">
        <f t="shared" si="261"/>
        <v>356637</v>
      </c>
      <c r="V211" s="134">
        <f t="shared" si="261"/>
        <v>0</v>
      </c>
      <c r="W211" s="134">
        <f t="shared" si="261"/>
        <v>356637</v>
      </c>
      <c r="X211" s="134">
        <f t="shared" si="261"/>
        <v>0</v>
      </c>
      <c r="Y211" s="134">
        <f t="shared" si="261"/>
        <v>356637</v>
      </c>
      <c r="Z211" s="134">
        <f t="shared" si="261"/>
        <v>130000</v>
      </c>
      <c r="AA211" s="134">
        <f t="shared" si="261"/>
        <v>486637</v>
      </c>
      <c r="AB211" s="134">
        <f t="shared" si="261"/>
        <v>0</v>
      </c>
      <c r="AC211" s="134">
        <f t="shared" si="261"/>
        <v>486637</v>
      </c>
      <c r="AD211" s="134">
        <f t="shared" si="261"/>
        <v>0</v>
      </c>
      <c r="AE211" s="134">
        <f t="shared" si="261"/>
        <v>486637</v>
      </c>
      <c r="AF211" s="134">
        <f t="shared" si="261"/>
        <v>0</v>
      </c>
      <c r="AG211" s="134">
        <f t="shared" si="261"/>
        <v>486637</v>
      </c>
      <c r="AH211" s="134">
        <f t="shared" si="261"/>
        <v>0</v>
      </c>
      <c r="AI211" s="134">
        <f t="shared" si="261"/>
        <v>486637</v>
      </c>
      <c r="AJ211" s="134">
        <f t="shared" si="261"/>
        <v>0</v>
      </c>
      <c r="AK211" s="134">
        <f t="shared" si="261"/>
        <v>486637</v>
      </c>
    </row>
    <row r="212" spans="1:37" s="20" customFormat="1" ht="36">
      <c r="A212" s="41"/>
      <c r="B212" s="55" t="s">
        <v>329</v>
      </c>
      <c r="C212" s="58"/>
      <c r="D212" s="31" t="s">
        <v>330</v>
      </c>
      <c r="E212" s="54">
        <f aca="true" t="shared" si="262" ref="E212:AK212">SUM(E213:E213)</f>
        <v>356637</v>
      </c>
      <c r="F212" s="54">
        <f t="shared" si="262"/>
        <v>0</v>
      </c>
      <c r="G212" s="54">
        <f t="shared" si="262"/>
        <v>356637</v>
      </c>
      <c r="H212" s="54">
        <f t="shared" si="262"/>
        <v>0</v>
      </c>
      <c r="I212" s="54">
        <f t="shared" si="262"/>
        <v>356637</v>
      </c>
      <c r="J212" s="54">
        <f t="shared" si="262"/>
        <v>0</v>
      </c>
      <c r="K212" s="54">
        <f t="shared" si="262"/>
        <v>356637</v>
      </c>
      <c r="L212" s="54">
        <f t="shared" si="262"/>
        <v>0</v>
      </c>
      <c r="M212" s="54">
        <f t="shared" si="262"/>
        <v>356637</v>
      </c>
      <c r="N212" s="54">
        <f t="shared" si="262"/>
        <v>0</v>
      </c>
      <c r="O212" s="54">
        <f t="shared" si="262"/>
        <v>356637</v>
      </c>
      <c r="P212" s="54">
        <f t="shared" si="262"/>
        <v>0</v>
      </c>
      <c r="Q212" s="54">
        <f t="shared" si="262"/>
        <v>356637</v>
      </c>
      <c r="R212" s="54">
        <f t="shared" si="262"/>
        <v>0</v>
      </c>
      <c r="S212" s="54">
        <f t="shared" si="262"/>
        <v>356637</v>
      </c>
      <c r="T212" s="54">
        <f t="shared" si="262"/>
        <v>0</v>
      </c>
      <c r="U212" s="54">
        <f t="shared" si="262"/>
        <v>356637</v>
      </c>
      <c r="V212" s="54">
        <f t="shared" si="262"/>
        <v>0</v>
      </c>
      <c r="W212" s="54">
        <f t="shared" si="262"/>
        <v>356637</v>
      </c>
      <c r="X212" s="54">
        <f t="shared" si="262"/>
        <v>0</v>
      </c>
      <c r="Y212" s="54">
        <f t="shared" si="262"/>
        <v>356637</v>
      </c>
      <c r="Z212" s="54">
        <f t="shared" si="262"/>
        <v>130000</v>
      </c>
      <c r="AA212" s="54">
        <f t="shared" si="262"/>
        <v>486637</v>
      </c>
      <c r="AB212" s="54">
        <f t="shared" si="262"/>
        <v>0</v>
      </c>
      <c r="AC212" s="54">
        <f t="shared" si="262"/>
        <v>486637</v>
      </c>
      <c r="AD212" s="54">
        <f t="shared" si="262"/>
        <v>0</v>
      </c>
      <c r="AE212" s="54">
        <f t="shared" si="262"/>
        <v>486637</v>
      </c>
      <c r="AF212" s="54">
        <f t="shared" si="262"/>
        <v>0</v>
      </c>
      <c r="AG212" s="54">
        <f t="shared" si="262"/>
        <v>486637</v>
      </c>
      <c r="AH212" s="54">
        <f t="shared" si="262"/>
        <v>0</v>
      </c>
      <c r="AI212" s="54">
        <f t="shared" si="262"/>
        <v>486637</v>
      </c>
      <c r="AJ212" s="54">
        <f t="shared" si="262"/>
        <v>0</v>
      </c>
      <c r="AK212" s="54">
        <f t="shared" si="262"/>
        <v>486637</v>
      </c>
    </row>
    <row r="213" spans="1:37" s="20" customFormat="1" ht="48">
      <c r="A213" s="41"/>
      <c r="B213" s="140"/>
      <c r="C213" s="58">
        <v>8070</v>
      </c>
      <c r="D213" s="31" t="s">
        <v>331</v>
      </c>
      <c r="E213" s="54">
        <v>356637</v>
      </c>
      <c r="F213" s="54"/>
      <c r="G213" s="54">
        <f t="shared" si="148"/>
        <v>356637</v>
      </c>
      <c r="H213" s="54"/>
      <c r="I213" s="54">
        <f>SUM(G213:H213)</f>
        <v>356637</v>
      </c>
      <c r="J213" s="54"/>
      <c r="K213" s="54">
        <f>SUM(I213:J213)</f>
        <v>356637</v>
      </c>
      <c r="L213" s="54"/>
      <c r="M213" s="54">
        <f>SUM(K213:L213)</f>
        <v>356637</v>
      </c>
      <c r="N213" s="54"/>
      <c r="O213" s="54">
        <f>SUM(M213:N213)</f>
        <v>356637</v>
      </c>
      <c r="P213" s="54"/>
      <c r="Q213" s="54">
        <f>SUM(O213:P213)</f>
        <v>356637</v>
      </c>
      <c r="R213" s="54"/>
      <c r="S213" s="54">
        <f>SUM(Q213:R213)</f>
        <v>356637</v>
      </c>
      <c r="T213" s="54"/>
      <c r="U213" s="54">
        <f>SUM(S213:T213)</f>
        <v>356637</v>
      </c>
      <c r="V213" s="54"/>
      <c r="W213" s="54">
        <f>SUM(U213:V213)</f>
        <v>356637</v>
      </c>
      <c r="X213" s="54"/>
      <c r="Y213" s="54">
        <f>SUM(W213:X213)</f>
        <v>356637</v>
      </c>
      <c r="Z213" s="54">
        <v>130000</v>
      </c>
      <c r="AA213" s="54">
        <f>SUM(Y213:Z213)</f>
        <v>486637</v>
      </c>
      <c r="AB213" s="54"/>
      <c r="AC213" s="54">
        <f>SUM(AA213:AB213)</f>
        <v>486637</v>
      </c>
      <c r="AD213" s="54"/>
      <c r="AE213" s="54">
        <f>SUM(AC213:AD213)</f>
        <v>486637</v>
      </c>
      <c r="AF213" s="54"/>
      <c r="AG213" s="54">
        <f>SUM(AE213:AF213)</f>
        <v>486637</v>
      </c>
      <c r="AH213" s="54"/>
      <c r="AI213" s="54">
        <f>SUM(AG213:AH213)</f>
        <v>486637</v>
      </c>
      <c r="AJ213" s="54"/>
      <c r="AK213" s="54">
        <f>SUM(AI213:AJ213)</f>
        <v>486637</v>
      </c>
    </row>
    <row r="214" spans="1:37" s="5" customFormat="1" ht="21" customHeight="1">
      <c r="A214" s="27" t="s">
        <v>45</v>
      </c>
      <c r="B214" s="28"/>
      <c r="C214" s="29"/>
      <c r="D214" s="30" t="s">
        <v>46</v>
      </c>
      <c r="E214" s="134">
        <f aca="true" t="shared" si="263" ref="E214:AK214">SUM(E215)</f>
        <v>1167300</v>
      </c>
      <c r="F214" s="134">
        <f t="shared" si="263"/>
        <v>1050000</v>
      </c>
      <c r="G214" s="134">
        <f t="shared" si="263"/>
        <v>2217300</v>
      </c>
      <c r="H214" s="134">
        <f t="shared" si="263"/>
        <v>-511010</v>
      </c>
      <c r="I214" s="134">
        <f t="shared" si="263"/>
        <v>1706290</v>
      </c>
      <c r="J214" s="134">
        <f t="shared" si="263"/>
        <v>-599645</v>
      </c>
      <c r="K214" s="134">
        <f t="shared" si="263"/>
        <v>1106645</v>
      </c>
      <c r="L214" s="134">
        <f t="shared" si="263"/>
        <v>0</v>
      </c>
      <c r="M214" s="134">
        <f t="shared" si="263"/>
        <v>1106645</v>
      </c>
      <c r="N214" s="134">
        <f t="shared" si="263"/>
        <v>0</v>
      </c>
      <c r="O214" s="134">
        <f t="shared" si="263"/>
        <v>1106645</v>
      </c>
      <c r="P214" s="134">
        <f t="shared" si="263"/>
        <v>0</v>
      </c>
      <c r="Q214" s="134">
        <f t="shared" si="263"/>
        <v>1106645</v>
      </c>
      <c r="R214" s="134">
        <f t="shared" si="263"/>
        <v>-150000</v>
      </c>
      <c r="S214" s="134">
        <f t="shared" si="263"/>
        <v>956645</v>
      </c>
      <c r="T214" s="134">
        <f t="shared" si="263"/>
        <v>0</v>
      </c>
      <c r="U214" s="134">
        <f t="shared" si="263"/>
        <v>956645</v>
      </c>
      <c r="V214" s="134">
        <f t="shared" si="263"/>
        <v>-30600</v>
      </c>
      <c r="W214" s="134">
        <f t="shared" si="263"/>
        <v>887795</v>
      </c>
      <c r="X214" s="134">
        <f t="shared" si="263"/>
        <v>0</v>
      </c>
      <c r="Y214" s="134">
        <f t="shared" si="263"/>
        <v>887795</v>
      </c>
      <c r="Z214" s="134">
        <f t="shared" si="263"/>
        <v>-384750</v>
      </c>
      <c r="AA214" s="134">
        <f t="shared" si="263"/>
        <v>503045</v>
      </c>
      <c r="AB214" s="134">
        <f t="shared" si="263"/>
        <v>-22899</v>
      </c>
      <c r="AC214" s="134">
        <f t="shared" si="263"/>
        <v>480146</v>
      </c>
      <c r="AD214" s="134">
        <f t="shared" si="263"/>
        <v>0</v>
      </c>
      <c r="AE214" s="134">
        <f t="shared" si="263"/>
        <v>480146</v>
      </c>
      <c r="AF214" s="134">
        <f t="shared" si="263"/>
        <v>-5990</v>
      </c>
      <c r="AG214" s="134">
        <f t="shared" si="263"/>
        <v>474156</v>
      </c>
      <c r="AH214" s="134">
        <f t="shared" si="263"/>
        <v>-80000</v>
      </c>
      <c r="AI214" s="134">
        <f t="shared" si="263"/>
        <v>394156</v>
      </c>
      <c r="AJ214" s="134">
        <f t="shared" si="263"/>
        <v>0</v>
      </c>
      <c r="AK214" s="134">
        <f t="shared" si="263"/>
        <v>394156</v>
      </c>
    </row>
    <row r="215" spans="1:37" s="20" customFormat="1" ht="21" customHeight="1">
      <c r="A215" s="41"/>
      <c r="B215" s="55" t="s">
        <v>332</v>
      </c>
      <c r="C215" s="58"/>
      <c r="D215" s="31" t="s">
        <v>92</v>
      </c>
      <c r="E215" s="54">
        <f aca="true" t="shared" si="264" ref="E215:W215">SUM(E216:E217)</f>
        <v>1167300</v>
      </c>
      <c r="F215" s="54">
        <f t="shared" si="264"/>
        <v>1050000</v>
      </c>
      <c r="G215" s="54">
        <f t="shared" si="264"/>
        <v>2217300</v>
      </c>
      <c r="H215" s="54">
        <f t="shared" si="264"/>
        <v>-511010</v>
      </c>
      <c r="I215" s="54">
        <f t="shared" si="264"/>
        <v>1706290</v>
      </c>
      <c r="J215" s="54">
        <f t="shared" si="264"/>
        <v>-599645</v>
      </c>
      <c r="K215" s="54">
        <f t="shared" si="264"/>
        <v>1106645</v>
      </c>
      <c r="L215" s="54">
        <f t="shared" si="264"/>
        <v>0</v>
      </c>
      <c r="M215" s="54">
        <f t="shared" si="264"/>
        <v>1106645</v>
      </c>
      <c r="N215" s="54">
        <f t="shared" si="264"/>
        <v>0</v>
      </c>
      <c r="O215" s="54">
        <f t="shared" si="264"/>
        <v>1106645</v>
      </c>
      <c r="P215" s="54">
        <f t="shared" si="264"/>
        <v>0</v>
      </c>
      <c r="Q215" s="54">
        <f t="shared" si="264"/>
        <v>1106645</v>
      </c>
      <c r="R215" s="54">
        <f t="shared" si="264"/>
        <v>-150000</v>
      </c>
      <c r="S215" s="54">
        <f t="shared" si="264"/>
        <v>956645</v>
      </c>
      <c r="T215" s="54">
        <f t="shared" si="264"/>
        <v>0</v>
      </c>
      <c r="U215" s="54">
        <f t="shared" si="264"/>
        <v>956645</v>
      </c>
      <c r="V215" s="54">
        <f t="shared" si="264"/>
        <v>-30600</v>
      </c>
      <c r="W215" s="54">
        <f t="shared" si="264"/>
        <v>887795</v>
      </c>
      <c r="X215" s="54">
        <f aca="true" t="shared" si="265" ref="X215:AC215">SUM(X216:X217)</f>
        <v>0</v>
      </c>
      <c r="Y215" s="54">
        <f t="shared" si="265"/>
        <v>887795</v>
      </c>
      <c r="Z215" s="54">
        <f t="shared" si="265"/>
        <v>-384750</v>
      </c>
      <c r="AA215" s="54">
        <f t="shared" si="265"/>
        <v>503045</v>
      </c>
      <c r="AB215" s="54">
        <f t="shared" si="265"/>
        <v>-22899</v>
      </c>
      <c r="AC215" s="54">
        <f t="shared" si="265"/>
        <v>480146</v>
      </c>
      <c r="AD215" s="54">
        <f aca="true" t="shared" si="266" ref="AD215:AI215">SUM(AD216:AD217)</f>
        <v>0</v>
      </c>
      <c r="AE215" s="54">
        <f t="shared" si="266"/>
        <v>480146</v>
      </c>
      <c r="AF215" s="54">
        <f t="shared" si="266"/>
        <v>-5990</v>
      </c>
      <c r="AG215" s="54">
        <f t="shared" si="266"/>
        <v>474156</v>
      </c>
      <c r="AH215" s="54">
        <f t="shared" si="266"/>
        <v>-80000</v>
      </c>
      <c r="AI215" s="54">
        <f t="shared" si="266"/>
        <v>394156</v>
      </c>
      <c r="AJ215" s="54">
        <f>SUM(AJ216:AJ217)</f>
        <v>0</v>
      </c>
      <c r="AK215" s="54">
        <f>SUM(AK216:AK217)</f>
        <v>394156</v>
      </c>
    </row>
    <row r="216" spans="1:37" s="20" customFormat="1" ht="21" customHeight="1">
      <c r="A216" s="41"/>
      <c r="B216" s="140"/>
      <c r="C216" s="58">
        <v>4810</v>
      </c>
      <c r="D216" s="31" t="s">
        <v>93</v>
      </c>
      <c r="E216" s="54">
        <f>68800+48500+200000+300000</f>
        <v>617300</v>
      </c>
      <c r="F216" s="54">
        <f>100000+60000+10000+65000+5000+300000+190000</f>
        <v>730000</v>
      </c>
      <c r="G216" s="54">
        <f t="shared" si="148"/>
        <v>1347300</v>
      </c>
      <c r="H216" s="54">
        <f>-58190-5820-447000</f>
        <v>-511010</v>
      </c>
      <c r="I216" s="54">
        <f>SUM(G216:H216)</f>
        <v>836290</v>
      </c>
      <c r="J216" s="54">
        <f>-175597+24400-119-329-148000</f>
        <v>-299645</v>
      </c>
      <c r="K216" s="54">
        <f>SUM(I216:J216)</f>
        <v>536645</v>
      </c>
      <c r="L216" s="54"/>
      <c r="M216" s="54">
        <f>SUM(K216:L216)</f>
        <v>536645</v>
      </c>
      <c r="N216" s="54"/>
      <c r="O216" s="54">
        <f>SUM(M216:N216)</f>
        <v>536645</v>
      </c>
      <c r="P216" s="54"/>
      <c r="Q216" s="54">
        <f>SUM(O216:P216)</f>
        <v>536645</v>
      </c>
      <c r="R216" s="54"/>
      <c r="S216" s="54">
        <f>SUM(Q216:R216)</f>
        <v>536645</v>
      </c>
      <c r="T216" s="54"/>
      <c r="U216" s="54">
        <f>SUM(S216:T216)</f>
        <v>536645</v>
      </c>
      <c r="V216" s="54">
        <f>-20600-10000</f>
        <v>-30600</v>
      </c>
      <c r="W216" s="54">
        <v>467795</v>
      </c>
      <c r="X216" s="54"/>
      <c r="Y216" s="54">
        <f>SUM(W216:X216)</f>
        <v>467795</v>
      </c>
      <c r="Z216" s="54">
        <f>-31750-13000</f>
        <v>-44750</v>
      </c>
      <c r="AA216" s="54">
        <f>SUM(Y216:Z216)</f>
        <v>423045</v>
      </c>
      <c r="AB216" s="54">
        <v>-22899</v>
      </c>
      <c r="AC216" s="54">
        <f>SUM(AA216:AB216)</f>
        <v>400146</v>
      </c>
      <c r="AD216" s="54"/>
      <c r="AE216" s="54">
        <f>SUM(AC216:AD216)</f>
        <v>400146</v>
      </c>
      <c r="AF216" s="54">
        <v>-5990</v>
      </c>
      <c r="AG216" s="54">
        <f>SUM(AE216:AF216)</f>
        <v>394156</v>
      </c>
      <c r="AH216" s="54"/>
      <c r="AI216" s="54">
        <f>SUM(AG216:AH216)</f>
        <v>394156</v>
      </c>
      <c r="AJ216" s="54"/>
      <c r="AK216" s="54">
        <f>SUM(AI216:AJ216)</f>
        <v>394156</v>
      </c>
    </row>
    <row r="217" spans="1:41" s="20" customFormat="1" ht="24">
      <c r="A217" s="41"/>
      <c r="B217" s="140"/>
      <c r="C217" s="58">
        <v>6800</v>
      </c>
      <c r="D217" s="31" t="s">
        <v>196</v>
      </c>
      <c r="E217" s="54">
        <f>150000+400000</f>
        <v>550000</v>
      </c>
      <c r="F217" s="54">
        <f>300000+20000</f>
        <v>320000</v>
      </c>
      <c r="G217" s="54">
        <f t="shared" si="148"/>
        <v>870000</v>
      </c>
      <c r="H217" s="54"/>
      <c r="I217" s="54">
        <f>SUM(G217:H217)</f>
        <v>870000</v>
      </c>
      <c r="J217" s="54">
        <v>-300000</v>
      </c>
      <c r="K217" s="54">
        <f>SUM(I217:J217)</f>
        <v>570000</v>
      </c>
      <c r="L217" s="54"/>
      <c r="M217" s="54">
        <f>SUM(K217:L217)</f>
        <v>570000</v>
      </c>
      <c r="N217" s="54"/>
      <c r="O217" s="54">
        <f>SUM(M217:N217)</f>
        <v>570000</v>
      </c>
      <c r="P217" s="54"/>
      <c r="Q217" s="54">
        <f>SUM(O217:P217)</f>
        <v>570000</v>
      </c>
      <c r="R217" s="54">
        <v>-150000</v>
      </c>
      <c r="S217" s="54">
        <f>SUM(Q217:R217)</f>
        <v>420000</v>
      </c>
      <c r="T217" s="54"/>
      <c r="U217" s="54">
        <f>SUM(S217:T217)</f>
        <v>420000</v>
      </c>
      <c r="V217" s="54">
        <v>0</v>
      </c>
      <c r="W217" s="54">
        <f>SUM(U217:V217)</f>
        <v>420000</v>
      </c>
      <c r="X217" s="54">
        <v>0</v>
      </c>
      <c r="Y217" s="54">
        <f>SUM(W217:X217)</f>
        <v>420000</v>
      </c>
      <c r="Z217" s="54">
        <v>-340000</v>
      </c>
      <c r="AA217" s="54">
        <f>SUM(Y217:Z217)</f>
        <v>80000</v>
      </c>
      <c r="AB217" s="54"/>
      <c r="AC217" s="54">
        <f>SUM(AA217:AB217)</f>
        <v>80000</v>
      </c>
      <c r="AD217" s="54"/>
      <c r="AE217" s="54">
        <f>SUM(AC217:AD217)</f>
        <v>80000</v>
      </c>
      <c r="AF217" s="54"/>
      <c r="AG217" s="54">
        <f>SUM(AE217:AF217)</f>
        <v>80000</v>
      </c>
      <c r="AH217" s="54">
        <f>-20000-60000</f>
        <v>-80000</v>
      </c>
      <c r="AI217" s="54">
        <f>SUM(AG217:AH217)</f>
        <v>0</v>
      </c>
      <c r="AJ217" s="54"/>
      <c r="AK217" s="54">
        <f>SUM(AI217:AJ217)</f>
        <v>0</v>
      </c>
      <c r="AN217" s="67"/>
      <c r="AO217" s="67"/>
    </row>
    <row r="218" spans="1:37" s="6" customFormat="1" ht="20.25" customHeight="1">
      <c r="A218" s="27" t="s">
        <v>94</v>
      </c>
      <c r="B218" s="28"/>
      <c r="C218" s="29"/>
      <c r="D218" s="30" t="s">
        <v>95</v>
      </c>
      <c r="E218" s="134">
        <f aca="true" t="shared" si="267" ref="E218:W218">SUM(E219,E249,E264,E270,E297,E304,E309,E320)</f>
        <v>27468430</v>
      </c>
      <c r="F218" s="134">
        <f t="shared" si="267"/>
        <v>-1600000</v>
      </c>
      <c r="G218" s="134">
        <f t="shared" si="267"/>
        <v>25868430</v>
      </c>
      <c r="H218" s="134">
        <f t="shared" si="267"/>
        <v>0</v>
      </c>
      <c r="I218" s="134">
        <f t="shared" si="267"/>
        <v>25868430</v>
      </c>
      <c r="J218" s="134">
        <f t="shared" si="267"/>
        <v>125888</v>
      </c>
      <c r="K218" s="134">
        <f t="shared" si="267"/>
        <v>25994318</v>
      </c>
      <c r="L218" s="134">
        <f t="shared" si="267"/>
        <v>0</v>
      </c>
      <c r="M218" s="134">
        <f t="shared" si="267"/>
        <v>25994318</v>
      </c>
      <c r="N218" s="134">
        <f t="shared" si="267"/>
        <v>0</v>
      </c>
      <c r="O218" s="134">
        <f t="shared" si="267"/>
        <v>25994318</v>
      </c>
      <c r="P218" s="134">
        <f t="shared" si="267"/>
        <v>0</v>
      </c>
      <c r="Q218" s="134">
        <f t="shared" si="267"/>
        <v>25994318</v>
      </c>
      <c r="R218" s="134">
        <f t="shared" si="267"/>
        <v>7600</v>
      </c>
      <c r="S218" s="134">
        <f t="shared" si="267"/>
        <v>26001918</v>
      </c>
      <c r="T218" s="134">
        <f t="shared" si="267"/>
        <v>0</v>
      </c>
      <c r="U218" s="134">
        <f t="shared" si="267"/>
        <v>26001918</v>
      </c>
      <c r="V218" s="134">
        <f t="shared" si="267"/>
        <v>1251</v>
      </c>
      <c r="W218" s="134">
        <f t="shared" si="267"/>
        <v>26003169</v>
      </c>
      <c r="X218" s="134">
        <f aca="true" t="shared" si="268" ref="X218:AC218">SUM(X219,X249,X264,X270,X297,X304,X309,X320)</f>
        <v>44050</v>
      </c>
      <c r="Y218" s="134">
        <f t="shared" si="268"/>
        <v>26047219</v>
      </c>
      <c r="Z218" s="134">
        <f t="shared" si="268"/>
        <v>-980079</v>
      </c>
      <c r="AA218" s="134">
        <f t="shared" si="268"/>
        <v>25067140</v>
      </c>
      <c r="AB218" s="134">
        <f t="shared" si="268"/>
        <v>-52341</v>
      </c>
      <c r="AC218" s="134">
        <f t="shared" si="268"/>
        <v>25014799</v>
      </c>
      <c r="AD218" s="134">
        <f aca="true" t="shared" si="269" ref="AD218:AI218">SUM(AD219,AD249,AD264,AD270,AD297,AD304,AD309,AD320)</f>
        <v>-825070</v>
      </c>
      <c r="AE218" s="134">
        <f t="shared" si="269"/>
        <v>24189729</v>
      </c>
      <c r="AF218" s="134">
        <f t="shared" si="269"/>
        <v>537322</v>
      </c>
      <c r="AG218" s="134">
        <f t="shared" si="269"/>
        <v>24727051</v>
      </c>
      <c r="AH218" s="134">
        <f t="shared" si="269"/>
        <v>10669</v>
      </c>
      <c r="AI218" s="134">
        <f t="shared" si="269"/>
        <v>24737720</v>
      </c>
      <c r="AJ218" s="134">
        <f>SUM(AJ219,AJ249,AJ264,AJ270,AJ297,AJ304,AJ309,AJ320)</f>
        <v>0</v>
      </c>
      <c r="AK218" s="134">
        <f>SUM(AK219,AK249,AK264,AK270,AK297,AK304,AK309,AK320)</f>
        <v>24737720</v>
      </c>
    </row>
    <row r="219" spans="1:37" s="20" customFormat="1" ht="22.5" customHeight="1">
      <c r="A219" s="41"/>
      <c r="B219" s="55" t="s">
        <v>96</v>
      </c>
      <c r="C219" s="58"/>
      <c r="D219" s="31" t="s">
        <v>51</v>
      </c>
      <c r="E219" s="54">
        <f aca="true" t="shared" si="270" ref="E219:W219">SUM(E220:E248)</f>
        <v>13620346</v>
      </c>
      <c r="F219" s="54">
        <f t="shared" si="270"/>
        <v>-1200000</v>
      </c>
      <c r="G219" s="54">
        <f t="shared" si="270"/>
        <v>12420346</v>
      </c>
      <c r="H219" s="54">
        <f t="shared" si="270"/>
        <v>0</v>
      </c>
      <c r="I219" s="54">
        <f t="shared" si="270"/>
        <v>12420346</v>
      </c>
      <c r="J219" s="54">
        <f t="shared" si="270"/>
        <v>82287</v>
      </c>
      <c r="K219" s="54">
        <f t="shared" si="270"/>
        <v>12502633</v>
      </c>
      <c r="L219" s="54">
        <f t="shared" si="270"/>
        <v>0</v>
      </c>
      <c r="M219" s="54">
        <f t="shared" si="270"/>
        <v>12502633</v>
      </c>
      <c r="N219" s="54">
        <f t="shared" si="270"/>
        <v>0</v>
      </c>
      <c r="O219" s="54">
        <f t="shared" si="270"/>
        <v>12502633</v>
      </c>
      <c r="P219" s="54">
        <f t="shared" si="270"/>
        <v>0</v>
      </c>
      <c r="Q219" s="54">
        <f t="shared" si="270"/>
        <v>12502633</v>
      </c>
      <c r="R219" s="54">
        <f t="shared" si="270"/>
        <v>6100</v>
      </c>
      <c r="S219" s="54">
        <f t="shared" si="270"/>
        <v>12508733</v>
      </c>
      <c r="T219" s="54">
        <f t="shared" si="270"/>
        <v>0</v>
      </c>
      <c r="U219" s="54">
        <f t="shared" si="270"/>
        <v>12508733</v>
      </c>
      <c r="V219" s="54">
        <f t="shared" si="270"/>
        <v>931</v>
      </c>
      <c r="W219" s="54">
        <f t="shared" si="270"/>
        <v>12509664</v>
      </c>
      <c r="X219" s="54">
        <f aca="true" t="shared" si="271" ref="X219:AC219">SUM(X220:X248)</f>
        <v>44050</v>
      </c>
      <c r="Y219" s="54">
        <f t="shared" si="271"/>
        <v>12553714</v>
      </c>
      <c r="Z219" s="54">
        <f t="shared" si="271"/>
        <v>113719</v>
      </c>
      <c r="AA219" s="54">
        <f t="shared" si="271"/>
        <v>12667433</v>
      </c>
      <c r="AB219" s="54">
        <f t="shared" si="271"/>
        <v>-17796</v>
      </c>
      <c r="AC219" s="54">
        <f t="shared" si="271"/>
        <v>12649637</v>
      </c>
      <c r="AD219" s="54">
        <f aca="true" t="shared" si="272" ref="AD219:AI219">SUM(AD220:AD248)</f>
        <v>70417</v>
      </c>
      <c r="AE219" s="54">
        <f t="shared" si="272"/>
        <v>12720054</v>
      </c>
      <c r="AF219" s="54">
        <f t="shared" si="272"/>
        <v>160015</v>
      </c>
      <c r="AG219" s="54">
        <f t="shared" si="272"/>
        <v>12880069</v>
      </c>
      <c r="AH219" s="54">
        <f t="shared" si="272"/>
        <v>12628</v>
      </c>
      <c r="AI219" s="54">
        <f t="shared" si="272"/>
        <v>12892697</v>
      </c>
      <c r="AJ219" s="54">
        <f>SUM(AJ220:AJ248)</f>
        <v>0</v>
      </c>
      <c r="AK219" s="54">
        <f>SUM(AK220:AK248)</f>
        <v>12892697</v>
      </c>
    </row>
    <row r="220" spans="1:43" s="20" customFormat="1" ht="25.5" customHeight="1">
      <c r="A220" s="41"/>
      <c r="B220" s="55"/>
      <c r="C220" s="58">
        <v>2540</v>
      </c>
      <c r="D220" s="31" t="s">
        <v>333</v>
      </c>
      <c r="E220" s="54">
        <v>447149</v>
      </c>
      <c r="F220" s="54"/>
      <c r="G220" s="54">
        <f aca="true" t="shared" si="273" ref="G220:G293">SUM(E220:F220)</f>
        <v>447149</v>
      </c>
      <c r="H220" s="54"/>
      <c r="I220" s="54">
        <f aca="true" t="shared" si="274" ref="I220:I248">SUM(G220:H220)</f>
        <v>447149</v>
      </c>
      <c r="J220" s="54"/>
      <c r="K220" s="54">
        <f aca="true" t="shared" si="275" ref="K220:K248">SUM(I220:J220)</f>
        <v>447149</v>
      </c>
      <c r="L220" s="54"/>
      <c r="M220" s="54">
        <f aca="true" t="shared" si="276" ref="M220:M248">SUM(K220:L220)</f>
        <v>447149</v>
      </c>
      <c r="N220" s="54"/>
      <c r="O220" s="54">
        <f aca="true" t="shared" si="277" ref="O220:O248">SUM(M220:N220)</f>
        <v>447149</v>
      </c>
      <c r="P220" s="54"/>
      <c r="Q220" s="54">
        <f aca="true" t="shared" si="278" ref="Q220:Q248">SUM(O220:P220)</f>
        <v>447149</v>
      </c>
      <c r="R220" s="54"/>
      <c r="S220" s="54">
        <f aca="true" t="shared" si="279" ref="S220:S248">SUM(Q220:R220)</f>
        <v>447149</v>
      </c>
      <c r="T220" s="54"/>
      <c r="U220" s="54">
        <f aca="true" t="shared" si="280" ref="U220:U248">SUM(S220:T220)</f>
        <v>447149</v>
      </c>
      <c r="V220" s="54"/>
      <c r="W220" s="54">
        <f aca="true" t="shared" si="281" ref="W220:W248">SUM(U220:V220)</f>
        <v>447149</v>
      </c>
      <c r="X220" s="54"/>
      <c r="Y220" s="54">
        <f aca="true" t="shared" si="282" ref="Y220:Y248">SUM(W220:X220)</f>
        <v>447149</v>
      </c>
      <c r="Z220" s="141">
        <v>-149040</v>
      </c>
      <c r="AA220" s="54">
        <f aca="true" t="shared" si="283" ref="AA220:AA248">SUM(Y220:Z220)</f>
        <v>298109</v>
      </c>
      <c r="AB220" s="141"/>
      <c r="AC220" s="54">
        <f aca="true" t="shared" si="284" ref="AC220:AC248">SUM(AA220:AB220)</f>
        <v>298109</v>
      </c>
      <c r="AD220" s="141"/>
      <c r="AE220" s="54">
        <f aca="true" t="shared" si="285" ref="AE220:AE248">SUM(AC220:AD220)</f>
        <v>298109</v>
      </c>
      <c r="AF220" s="141"/>
      <c r="AG220" s="54">
        <f aca="true" t="shared" si="286" ref="AG220:AG248">SUM(AE220:AF220)</f>
        <v>298109</v>
      </c>
      <c r="AH220" s="141"/>
      <c r="AI220" s="54">
        <f aca="true" t="shared" si="287" ref="AI220:AI248">SUM(AG220:AH220)</f>
        <v>298109</v>
      </c>
      <c r="AJ220" s="141"/>
      <c r="AK220" s="54">
        <f aca="true" t="shared" si="288" ref="AK220:AK248">SUM(AI220:AJ220)</f>
        <v>298109</v>
      </c>
      <c r="AP220" s="67"/>
      <c r="AQ220" s="67"/>
    </row>
    <row r="221" spans="1:43" s="20" customFormat="1" ht="60">
      <c r="A221" s="41"/>
      <c r="B221" s="55"/>
      <c r="C221" s="58">
        <v>2590</v>
      </c>
      <c r="D221" s="31" t="s">
        <v>343</v>
      </c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>
        <v>0</v>
      </c>
      <c r="Z221" s="141">
        <v>239259</v>
      </c>
      <c r="AA221" s="54">
        <f t="shared" si="283"/>
        <v>239259</v>
      </c>
      <c r="AB221" s="141"/>
      <c r="AC221" s="54">
        <f t="shared" si="284"/>
        <v>239259</v>
      </c>
      <c r="AD221" s="141"/>
      <c r="AE221" s="54">
        <f t="shared" si="285"/>
        <v>239259</v>
      </c>
      <c r="AF221" s="141"/>
      <c r="AG221" s="54">
        <f t="shared" si="286"/>
        <v>239259</v>
      </c>
      <c r="AH221" s="141"/>
      <c r="AI221" s="54">
        <f t="shared" si="287"/>
        <v>239259</v>
      </c>
      <c r="AJ221" s="141"/>
      <c r="AK221" s="54">
        <f t="shared" si="288"/>
        <v>239259</v>
      </c>
      <c r="AP221" s="67"/>
      <c r="AQ221" s="67"/>
    </row>
    <row r="222" spans="1:37" s="20" customFormat="1" ht="21" customHeight="1">
      <c r="A222" s="41"/>
      <c r="B222" s="55"/>
      <c r="C222" s="41">
        <v>3020</v>
      </c>
      <c r="D222" s="31" t="s">
        <v>334</v>
      </c>
      <c r="E222" s="54">
        <v>195991</v>
      </c>
      <c r="F222" s="54"/>
      <c r="G222" s="54">
        <f t="shared" si="273"/>
        <v>195991</v>
      </c>
      <c r="H222" s="54"/>
      <c r="I222" s="54">
        <f t="shared" si="274"/>
        <v>195991</v>
      </c>
      <c r="J222" s="54"/>
      <c r="K222" s="54">
        <f t="shared" si="275"/>
        <v>195991</v>
      </c>
      <c r="L222" s="54"/>
      <c r="M222" s="54">
        <f t="shared" si="276"/>
        <v>195991</v>
      </c>
      <c r="N222" s="54"/>
      <c r="O222" s="54">
        <f t="shared" si="277"/>
        <v>195991</v>
      </c>
      <c r="P222" s="54"/>
      <c r="Q222" s="54">
        <f t="shared" si="278"/>
        <v>195991</v>
      </c>
      <c r="R222" s="54"/>
      <c r="S222" s="54">
        <f t="shared" si="279"/>
        <v>195991</v>
      </c>
      <c r="T222" s="54"/>
      <c r="U222" s="54">
        <f t="shared" si="280"/>
        <v>195991</v>
      </c>
      <c r="V222" s="54"/>
      <c r="W222" s="54">
        <f t="shared" si="281"/>
        <v>195991</v>
      </c>
      <c r="X222" s="54"/>
      <c r="Y222" s="54">
        <f t="shared" si="282"/>
        <v>195991</v>
      </c>
      <c r="Z222" s="54"/>
      <c r="AA222" s="54">
        <f t="shared" si="283"/>
        <v>195991</v>
      </c>
      <c r="AB222" s="54">
        <v>-1150</v>
      </c>
      <c r="AC222" s="54">
        <f t="shared" si="284"/>
        <v>194841</v>
      </c>
      <c r="AD222" s="54"/>
      <c r="AE222" s="54">
        <f t="shared" si="285"/>
        <v>194841</v>
      </c>
      <c r="AF222" s="54">
        <f>13523-4528</f>
        <v>8995</v>
      </c>
      <c r="AG222" s="54">
        <f t="shared" si="286"/>
        <v>203836</v>
      </c>
      <c r="AH222" s="54">
        <f>202-476</f>
        <v>-274</v>
      </c>
      <c r="AI222" s="54">
        <f t="shared" si="287"/>
        <v>203562</v>
      </c>
      <c r="AJ222" s="54">
        <v>-104</v>
      </c>
      <c r="AK222" s="54">
        <f t="shared" si="288"/>
        <v>203458</v>
      </c>
    </row>
    <row r="223" spans="1:39" s="20" customFormat="1" ht="21" customHeight="1">
      <c r="A223" s="41"/>
      <c r="B223" s="55"/>
      <c r="C223" s="41">
        <v>4010</v>
      </c>
      <c r="D223" s="31" t="s">
        <v>79</v>
      </c>
      <c r="E223" s="54">
        <v>7107101</v>
      </c>
      <c r="F223" s="54"/>
      <c r="G223" s="54">
        <f t="shared" si="273"/>
        <v>7107101</v>
      </c>
      <c r="H223" s="54"/>
      <c r="I223" s="54">
        <f t="shared" si="274"/>
        <v>7107101</v>
      </c>
      <c r="J223" s="54">
        <v>13926</v>
      </c>
      <c r="K223" s="54">
        <f t="shared" si="275"/>
        <v>7121027</v>
      </c>
      <c r="L223" s="54"/>
      <c r="M223" s="54">
        <f t="shared" si="276"/>
        <v>7121027</v>
      </c>
      <c r="N223" s="54"/>
      <c r="O223" s="54">
        <f t="shared" si="277"/>
        <v>7121027</v>
      </c>
      <c r="P223" s="54"/>
      <c r="Q223" s="54">
        <f t="shared" si="278"/>
        <v>7121027</v>
      </c>
      <c r="R223" s="54"/>
      <c r="S223" s="54">
        <f t="shared" si="279"/>
        <v>7121027</v>
      </c>
      <c r="T223" s="54"/>
      <c r="U223" s="54">
        <f t="shared" si="280"/>
        <v>7121027</v>
      </c>
      <c r="V223" s="54"/>
      <c r="W223" s="54">
        <f t="shared" si="281"/>
        <v>7121027</v>
      </c>
      <c r="X223" s="54"/>
      <c r="Y223" s="54">
        <f t="shared" si="282"/>
        <v>7121027</v>
      </c>
      <c r="Z223" s="54"/>
      <c r="AA223" s="54">
        <f t="shared" si="283"/>
        <v>7121027</v>
      </c>
      <c r="AB223" s="54">
        <v>-13975</v>
      </c>
      <c r="AC223" s="54">
        <f t="shared" si="284"/>
        <v>7107052</v>
      </c>
      <c r="AD223" s="54">
        <f>3398-10598</f>
        <v>-7200</v>
      </c>
      <c r="AE223" s="54">
        <f t="shared" si="285"/>
        <v>7099852</v>
      </c>
      <c r="AF223" s="54">
        <f>154123-5172</f>
        <v>148951</v>
      </c>
      <c r="AG223" s="54">
        <f t="shared" si="286"/>
        <v>7248803</v>
      </c>
      <c r="AH223" s="54">
        <v>-5470</v>
      </c>
      <c r="AI223" s="54">
        <f t="shared" si="287"/>
        <v>7243333</v>
      </c>
      <c r="AJ223" s="54"/>
      <c r="AK223" s="54">
        <f t="shared" si="288"/>
        <v>7243333</v>
      </c>
      <c r="AL223" s="67"/>
      <c r="AM223" s="67"/>
    </row>
    <row r="224" spans="1:39" s="20" customFormat="1" ht="21" customHeight="1">
      <c r="A224" s="41"/>
      <c r="B224" s="55"/>
      <c r="C224" s="41">
        <v>4040</v>
      </c>
      <c r="D224" s="31" t="s">
        <v>80</v>
      </c>
      <c r="E224" s="54">
        <v>551652</v>
      </c>
      <c r="F224" s="54"/>
      <c r="G224" s="54">
        <f t="shared" si="273"/>
        <v>551652</v>
      </c>
      <c r="H224" s="54"/>
      <c r="I224" s="54">
        <f t="shared" si="274"/>
        <v>551652</v>
      </c>
      <c r="J224" s="54">
        <v>-18389</v>
      </c>
      <c r="K224" s="54">
        <f t="shared" si="275"/>
        <v>533263</v>
      </c>
      <c r="L224" s="54"/>
      <c r="M224" s="54">
        <f t="shared" si="276"/>
        <v>533263</v>
      </c>
      <c r="N224" s="54"/>
      <c r="O224" s="54">
        <f t="shared" si="277"/>
        <v>533263</v>
      </c>
      <c r="P224" s="54"/>
      <c r="Q224" s="54">
        <f t="shared" si="278"/>
        <v>533263</v>
      </c>
      <c r="R224" s="54"/>
      <c r="S224" s="54">
        <f t="shared" si="279"/>
        <v>533263</v>
      </c>
      <c r="T224" s="54"/>
      <c r="U224" s="54">
        <f t="shared" si="280"/>
        <v>533263</v>
      </c>
      <c r="V224" s="54"/>
      <c r="W224" s="54">
        <f t="shared" si="281"/>
        <v>533263</v>
      </c>
      <c r="X224" s="54"/>
      <c r="Y224" s="54">
        <f t="shared" si="282"/>
        <v>533263</v>
      </c>
      <c r="Z224" s="54"/>
      <c r="AA224" s="54">
        <f t="shared" si="283"/>
        <v>533263</v>
      </c>
      <c r="AB224" s="54"/>
      <c r="AC224" s="54">
        <f t="shared" si="284"/>
        <v>533263</v>
      </c>
      <c r="AD224" s="54"/>
      <c r="AE224" s="54">
        <f t="shared" si="285"/>
        <v>533263</v>
      </c>
      <c r="AF224" s="54"/>
      <c r="AG224" s="54">
        <f t="shared" si="286"/>
        <v>533263</v>
      </c>
      <c r="AH224" s="54"/>
      <c r="AI224" s="54">
        <f t="shared" si="287"/>
        <v>533263</v>
      </c>
      <c r="AJ224" s="54"/>
      <c r="AK224" s="54">
        <f t="shared" si="288"/>
        <v>533263</v>
      </c>
      <c r="AL224" s="67"/>
      <c r="AM224" s="67"/>
    </row>
    <row r="225" spans="1:39" s="20" customFormat="1" ht="21" customHeight="1">
      <c r="A225" s="41"/>
      <c r="B225" s="55"/>
      <c r="C225" s="41">
        <v>4110</v>
      </c>
      <c r="D225" s="31" t="s">
        <v>81</v>
      </c>
      <c r="E225" s="54">
        <v>1159019</v>
      </c>
      <c r="F225" s="54"/>
      <c r="G225" s="54">
        <f t="shared" si="273"/>
        <v>1159019</v>
      </c>
      <c r="H225" s="54"/>
      <c r="I225" s="54">
        <f t="shared" si="274"/>
        <v>1159019</v>
      </c>
      <c r="J225" s="54"/>
      <c r="K225" s="54">
        <f t="shared" si="275"/>
        <v>1159019</v>
      </c>
      <c r="L225" s="54"/>
      <c r="M225" s="54">
        <f t="shared" si="276"/>
        <v>1159019</v>
      </c>
      <c r="N225" s="54"/>
      <c r="O225" s="54">
        <f t="shared" si="277"/>
        <v>1159019</v>
      </c>
      <c r="P225" s="54"/>
      <c r="Q225" s="54">
        <f t="shared" si="278"/>
        <v>1159019</v>
      </c>
      <c r="R225" s="54"/>
      <c r="S225" s="54">
        <f t="shared" si="279"/>
        <v>1159019</v>
      </c>
      <c r="T225" s="54"/>
      <c r="U225" s="54">
        <f t="shared" si="280"/>
        <v>1159019</v>
      </c>
      <c r="V225" s="54"/>
      <c r="W225" s="54">
        <f t="shared" si="281"/>
        <v>1159019</v>
      </c>
      <c r="X225" s="54"/>
      <c r="Y225" s="54">
        <f t="shared" si="282"/>
        <v>1159019</v>
      </c>
      <c r="Z225" s="54"/>
      <c r="AA225" s="54">
        <f t="shared" si="283"/>
        <v>1159019</v>
      </c>
      <c r="AB225" s="54">
        <v>-2298</v>
      </c>
      <c r="AC225" s="54">
        <f t="shared" si="284"/>
        <v>1156721</v>
      </c>
      <c r="AD225" s="54"/>
      <c r="AE225" s="54">
        <f t="shared" si="285"/>
        <v>1156721</v>
      </c>
      <c r="AF225" s="54">
        <f>396-2653</f>
        <v>-2257</v>
      </c>
      <c r="AG225" s="54">
        <f t="shared" si="286"/>
        <v>1154464</v>
      </c>
      <c r="AH225" s="54">
        <v>12750</v>
      </c>
      <c r="AI225" s="54">
        <f t="shared" si="287"/>
        <v>1167214</v>
      </c>
      <c r="AJ225" s="54"/>
      <c r="AK225" s="54">
        <f t="shared" si="288"/>
        <v>1167214</v>
      </c>
      <c r="AL225" s="67"/>
      <c r="AM225" s="67"/>
    </row>
    <row r="226" spans="1:39" s="20" customFormat="1" ht="21" customHeight="1">
      <c r="A226" s="41"/>
      <c r="B226" s="55"/>
      <c r="C226" s="41">
        <v>4120</v>
      </c>
      <c r="D226" s="31" t="s">
        <v>82</v>
      </c>
      <c r="E226" s="54">
        <v>186008</v>
      </c>
      <c r="F226" s="54"/>
      <c r="G226" s="54">
        <f t="shared" si="273"/>
        <v>186008</v>
      </c>
      <c r="H226" s="54"/>
      <c r="I226" s="54">
        <f t="shared" si="274"/>
        <v>186008</v>
      </c>
      <c r="J226" s="54"/>
      <c r="K226" s="54">
        <f t="shared" si="275"/>
        <v>186008</v>
      </c>
      <c r="L226" s="54"/>
      <c r="M226" s="54">
        <f t="shared" si="276"/>
        <v>186008</v>
      </c>
      <c r="N226" s="54"/>
      <c r="O226" s="54">
        <f t="shared" si="277"/>
        <v>186008</v>
      </c>
      <c r="P226" s="54"/>
      <c r="Q226" s="54">
        <f t="shared" si="278"/>
        <v>186008</v>
      </c>
      <c r="R226" s="54"/>
      <c r="S226" s="54">
        <f t="shared" si="279"/>
        <v>186008</v>
      </c>
      <c r="T226" s="54"/>
      <c r="U226" s="54">
        <f t="shared" si="280"/>
        <v>186008</v>
      </c>
      <c r="V226" s="54"/>
      <c r="W226" s="54">
        <f t="shared" si="281"/>
        <v>186008</v>
      </c>
      <c r="X226" s="54"/>
      <c r="Y226" s="54">
        <f t="shared" si="282"/>
        <v>186008</v>
      </c>
      <c r="Z226" s="54"/>
      <c r="AA226" s="54">
        <f t="shared" si="283"/>
        <v>186008</v>
      </c>
      <c r="AB226" s="54">
        <v>-373</v>
      </c>
      <c r="AC226" s="54">
        <f t="shared" si="284"/>
        <v>185635</v>
      </c>
      <c r="AD226" s="54"/>
      <c r="AE226" s="54">
        <f t="shared" si="285"/>
        <v>185635</v>
      </c>
      <c r="AF226" s="54">
        <v>-2674</v>
      </c>
      <c r="AG226" s="54">
        <f t="shared" si="286"/>
        <v>182961</v>
      </c>
      <c r="AH226" s="54">
        <f>254-61</f>
        <v>193</v>
      </c>
      <c r="AI226" s="54">
        <f t="shared" si="287"/>
        <v>183154</v>
      </c>
      <c r="AJ226" s="54"/>
      <c r="AK226" s="54">
        <f t="shared" si="288"/>
        <v>183154</v>
      </c>
      <c r="AL226" s="67"/>
      <c r="AM226" s="67"/>
    </row>
    <row r="227" spans="1:39" s="20" customFormat="1" ht="21" customHeight="1">
      <c r="A227" s="41"/>
      <c r="B227" s="55"/>
      <c r="C227" s="41">
        <v>4170</v>
      </c>
      <c r="D227" s="31" t="s">
        <v>161</v>
      </c>
      <c r="E227" s="54">
        <v>13100</v>
      </c>
      <c r="F227" s="54"/>
      <c r="G227" s="54">
        <f t="shared" si="273"/>
        <v>13100</v>
      </c>
      <c r="H227" s="54"/>
      <c r="I227" s="54">
        <f t="shared" si="274"/>
        <v>13100</v>
      </c>
      <c r="J227" s="54"/>
      <c r="K227" s="54">
        <f t="shared" si="275"/>
        <v>13100</v>
      </c>
      <c r="L227" s="54">
        <v>1000</v>
      </c>
      <c r="M227" s="54">
        <f t="shared" si="276"/>
        <v>14100</v>
      </c>
      <c r="N227" s="54"/>
      <c r="O227" s="54">
        <f t="shared" si="277"/>
        <v>14100</v>
      </c>
      <c r="P227" s="54"/>
      <c r="Q227" s="54">
        <f t="shared" si="278"/>
        <v>14100</v>
      </c>
      <c r="R227" s="54"/>
      <c r="S227" s="54">
        <f t="shared" si="279"/>
        <v>14100</v>
      </c>
      <c r="T227" s="54"/>
      <c r="U227" s="54">
        <f t="shared" si="280"/>
        <v>14100</v>
      </c>
      <c r="V227" s="54"/>
      <c r="W227" s="54">
        <f t="shared" si="281"/>
        <v>14100</v>
      </c>
      <c r="X227" s="54"/>
      <c r="Y227" s="54">
        <f t="shared" si="282"/>
        <v>14100</v>
      </c>
      <c r="Z227" s="54"/>
      <c r="AA227" s="54">
        <f t="shared" si="283"/>
        <v>14100</v>
      </c>
      <c r="AB227" s="54"/>
      <c r="AC227" s="54">
        <f t="shared" si="284"/>
        <v>14100</v>
      </c>
      <c r="AD227" s="54">
        <v>7570</v>
      </c>
      <c r="AE227" s="54">
        <f t="shared" si="285"/>
        <v>21670</v>
      </c>
      <c r="AF227" s="54">
        <v>-1048</v>
      </c>
      <c r="AG227" s="54">
        <f t="shared" si="286"/>
        <v>20622</v>
      </c>
      <c r="AH227" s="54">
        <v>-93</v>
      </c>
      <c r="AI227" s="54">
        <f t="shared" si="287"/>
        <v>20529</v>
      </c>
      <c r="AJ227" s="54"/>
      <c r="AK227" s="54">
        <f t="shared" si="288"/>
        <v>20529</v>
      </c>
      <c r="AL227" s="67"/>
      <c r="AM227" s="67"/>
    </row>
    <row r="228" spans="1:37" s="20" customFormat="1" ht="21" customHeight="1">
      <c r="A228" s="41"/>
      <c r="B228" s="55"/>
      <c r="C228" s="41">
        <v>4210</v>
      </c>
      <c r="D228" s="31" t="s">
        <v>86</v>
      </c>
      <c r="E228" s="54">
        <f>6800+450205</f>
        <v>457005</v>
      </c>
      <c r="F228" s="54"/>
      <c r="G228" s="54">
        <f t="shared" si="273"/>
        <v>457005</v>
      </c>
      <c r="H228" s="54"/>
      <c r="I228" s="54">
        <f t="shared" si="274"/>
        <v>457005</v>
      </c>
      <c r="J228" s="54">
        <f>1750-2700</f>
        <v>-950</v>
      </c>
      <c r="K228" s="54">
        <f t="shared" si="275"/>
        <v>456055</v>
      </c>
      <c r="L228" s="54"/>
      <c r="M228" s="54">
        <f t="shared" si="276"/>
        <v>456055</v>
      </c>
      <c r="N228" s="54">
        <v>-8704</v>
      </c>
      <c r="O228" s="54">
        <f t="shared" si="277"/>
        <v>447351</v>
      </c>
      <c r="P228" s="54"/>
      <c r="Q228" s="54">
        <f t="shared" si="278"/>
        <v>447351</v>
      </c>
      <c r="R228" s="54">
        <v>-20</v>
      </c>
      <c r="S228" s="54">
        <f t="shared" si="279"/>
        <v>447331</v>
      </c>
      <c r="T228" s="54"/>
      <c r="U228" s="54">
        <f t="shared" si="280"/>
        <v>447331</v>
      </c>
      <c r="V228" s="54"/>
      <c r="W228" s="54">
        <f t="shared" si="281"/>
        <v>447331</v>
      </c>
      <c r="X228" s="54"/>
      <c r="Y228" s="54">
        <f t="shared" si="282"/>
        <v>447331</v>
      </c>
      <c r="Z228" s="54">
        <v>-860</v>
      </c>
      <c r="AA228" s="54">
        <f t="shared" si="283"/>
        <v>446471</v>
      </c>
      <c r="AB228" s="54"/>
      <c r="AC228" s="54">
        <f t="shared" si="284"/>
        <v>446471</v>
      </c>
      <c r="AD228" s="54">
        <f>34874-48690</f>
        <v>-13816</v>
      </c>
      <c r="AE228" s="54">
        <f t="shared" si="285"/>
        <v>432655</v>
      </c>
      <c r="AF228" s="54">
        <f>20073-9938</f>
        <v>10135</v>
      </c>
      <c r="AG228" s="54">
        <f t="shared" si="286"/>
        <v>442790</v>
      </c>
      <c r="AH228" s="54">
        <f>4341-4255+200</f>
        <v>286</v>
      </c>
      <c r="AI228" s="54">
        <f t="shared" si="287"/>
        <v>443076</v>
      </c>
      <c r="AJ228" s="54">
        <v>575</v>
      </c>
      <c r="AK228" s="54">
        <f t="shared" si="288"/>
        <v>443651</v>
      </c>
    </row>
    <row r="229" spans="1:37" s="20" customFormat="1" ht="24">
      <c r="A229" s="41"/>
      <c r="B229" s="55"/>
      <c r="C229" s="58">
        <v>4230</v>
      </c>
      <c r="D229" s="31" t="s">
        <v>335</v>
      </c>
      <c r="E229" s="54">
        <v>2000</v>
      </c>
      <c r="F229" s="54"/>
      <c r="G229" s="54">
        <f t="shared" si="273"/>
        <v>2000</v>
      </c>
      <c r="H229" s="54"/>
      <c r="I229" s="54">
        <f t="shared" si="274"/>
        <v>2000</v>
      </c>
      <c r="J229" s="54"/>
      <c r="K229" s="54">
        <f t="shared" si="275"/>
        <v>2000</v>
      </c>
      <c r="L229" s="54"/>
      <c r="M229" s="54">
        <f t="shared" si="276"/>
        <v>2000</v>
      </c>
      <c r="N229" s="54"/>
      <c r="O229" s="54">
        <f t="shared" si="277"/>
        <v>2000</v>
      </c>
      <c r="P229" s="54"/>
      <c r="Q229" s="54">
        <f t="shared" si="278"/>
        <v>2000</v>
      </c>
      <c r="R229" s="54"/>
      <c r="S229" s="54">
        <f t="shared" si="279"/>
        <v>2000</v>
      </c>
      <c r="T229" s="54"/>
      <c r="U229" s="54">
        <f t="shared" si="280"/>
        <v>2000</v>
      </c>
      <c r="V229" s="54"/>
      <c r="W229" s="54">
        <f t="shared" si="281"/>
        <v>2000</v>
      </c>
      <c r="X229" s="54"/>
      <c r="Y229" s="54">
        <f t="shared" si="282"/>
        <v>2000</v>
      </c>
      <c r="Z229" s="54"/>
      <c r="AA229" s="54">
        <f t="shared" si="283"/>
        <v>2000</v>
      </c>
      <c r="AB229" s="54"/>
      <c r="AC229" s="54">
        <f t="shared" si="284"/>
        <v>2000</v>
      </c>
      <c r="AD229" s="54"/>
      <c r="AE229" s="54">
        <f t="shared" si="285"/>
        <v>2000</v>
      </c>
      <c r="AF229" s="54">
        <v>-45</v>
      </c>
      <c r="AG229" s="54">
        <f t="shared" si="286"/>
        <v>1955</v>
      </c>
      <c r="AH229" s="54">
        <v>-80</v>
      </c>
      <c r="AI229" s="54">
        <f t="shared" si="287"/>
        <v>1875</v>
      </c>
      <c r="AJ229" s="54"/>
      <c r="AK229" s="54">
        <f t="shared" si="288"/>
        <v>1875</v>
      </c>
    </row>
    <row r="230" spans="1:37" s="20" customFormat="1" ht="24">
      <c r="A230" s="41"/>
      <c r="B230" s="55"/>
      <c r="C230" s="58">
        <v>4240</v>
      </c>
      <c r="D230" s="31" t="s">
        <v>101</v>
      </c>
      <c r="E230" s="54">
        <f>500+84060</f>
        <v>84560</v>
      </c>
      <c r="F230" s="54"/>
      <c r="G230" s="54">
        <f t="shared" si="273"/>
        <v>84560</v>
      </c>
      <c r="H230" s="54"/>
      <c r="I230" s="54">
        <f t="shared" si="274"/>
        <v>84560</v>
      </c>
      <c r="J230" s="54">
        <v>1700</v>
      </c>
      <c r="K230" s="54">
        <f t="shared" si="275"/>
        <v>86260</v>
      </c>
      <c r="L230" s="54"/>
      <c r="M230" s="54">
        <f t="shared" si="276"/>
        <v>86260</v>
      </c>
      <c r="N230" s="54">
        <v>7685</v>
      </c>
      <c r="O230" s="54">
        <f t="shared" si="277"/>
        <v>93945</v>
      </c>
      <c r="P230" s="54"/>
      <c r="Q230" s="54">
        <f t="shared" si="278"/>
        <v>93945</v>
      </c>
      <c r="R230" s="54"/>
      <c r="S230" s="54">
        <f t="shared" si="279"/>
        <v>93945</v>
      </c>
      <c r="T230" s="54"/>
      <c r="U230" s="54">
        <f t="shared" si="280"/>
        <v>93945</v>
      </c>
      <c r="V230" s="54">
        <v>331</v>
      </c>
      <c r="W230" s="54">
        <f t="shared" si="281"/>
        <v>94276</v>
      </c>
      <c r="X230" s="54"/>
      <c r="Y230" s="54">
        <f t="shared" si="282"/>
        <v>94276</v>
      </c>
      <c r="Z230" s="54"/>
      <c r="AA230" s="54">
        <f t="shared" si="283"/>
        <v>94276</v>
      </c>
      <c r="AB230" s="54"/>
      <c r="AC230" s="54">
        <f t="shared" si="284"/>
        <v>94276</v>
      </c>
      <c r="AD230" s="54">
        <f>47967+1000</f>
        <v>48967</v>
      </c>
      <c r="AE230" s="54">
        <f t="shared" si="285"/>
        <v>143243</v>
      </c>
      <c r="AF230" s="54">
        <f>2297-1989</f>
        <v>308</v>
      </c>
      <c r="AG230" s="54">
        <f t="shared" si="286"/>
        <v>143551</v>
      </c>
      <c r="AH230" s="54">
        <f>1139-539</f>
        <v>600</v>
      </c>
      <c r="AI230" s="54">
        <f t="shared" si="287"/>
        <v>144151</v>
      </c>
      <c r="AJ230" s="54"/>
      <c r="AK230" s="54">
        <f t="shared" si="288"/>
        <v>144151</v>
      </c>
    </row>
    <row r="231" spans="1:37" s="20" customFormat="1" ht="21" customHeight="1">
      <c r="A231" s="41"/>
      <c r="B231" s="55"/>
      <c r="C231" s="41">
        <v>4260</v>
      </c>
      <c r="D231" s="31" t="s">
        <v>88</v>
      </c>
      <c r="E231" s="54">
        <v>505430</v>
      </c>
      <c r="F231" s="54"/>
      <c r="G231" s="54">
        <f t="shared" si="273"/>
        <v>505430</v>
      </c>
      <c r="H231" s="54"/>
      <c r="I231" s="54">
        <f t="shared" si="274"/>
        <v>505430</v>
      </c>
      <c r="J231" s="54"/>
      <c r="K231" s="54">
        <f t="shared" si="275"/>
        <v>505430</v>
      </c>
      <c r="L231" s="54"/>
      <c r="M231" s="54">
        <f t="shared" si="276"/>
        <v>505430</v>
      </c>
      <c r="N231" s="54"/>
      <c r="O231" s="54">
        <f t="shared" si="277"/>
        <v>505430</v>
      </c>
      <c r="P231" s="54"/>
      <c r="Q231" s="54">
        <f t="shared" si="278"/>
        <v>505430</v>
      </c>
      <c r="R231" s="54">
        <v>6100</v>
      </c>
      <c r="S231" s="54">
        <f t="shared" si="279"/>
        <v>511530</v>
      </c>
      <c r="T231" s="54"/>
      <c r="U231" s="54">
        <f t="shared" si="280"/>
        <v>511530</v>
      </c>
      <c r="V231" s="54">
        <v>600</v>
      </c>
      <c r="W231" s="54">
        <f t="shared" si="281"/>
        <v>512130</v>
      </c>
      <c r="X231" s="54"/>
      <c r="Y231" s="54">
        <f t="shared" si="282"/>
        <v>512130</v>
      </c>
      <c r="Z231" s="54">
        <v>6500</v>
      </c>
      <c r="AA231" s="54">
        <f t="shared" si="283"/>
        <v>518630</v>
      </c>
      <c r="AB231" s="54"/>
      <c r="AC231" s="54">
        <f t="shared" si="284"/>
        <v>518630</v>
      </c>
      <c r="AD231" s="54">
        <f>48237-1437</f>
        <v>46800</v>
      </c>
      <c r="AE231" s="54">
        <f t="shared" si="285"/>
        <v>565430</v>
      </c>
      <c r="AF231" s="54">
        <f>5080-5080</f>
        <v>0</v>
      </c>
      <c r="AG231" s="54">
        <f t="shared" si="286"/>
        <v>565430</v>
      </c>
      <c r="AH231" s="54">
        <v>-7060</v>
      </c>
      <c r="AI231" s="54">
        <f t="shared" si="287"/>
        <v>558370</v>
      </c>
      <c r="AJ231" s="54">
        <v>-45</v>
      </c>
      <c r="AK231" s="54">
        <f t="shared" si="288"/>
        <v>558325</v>
      </c>
    </row>
    <row r="232" spans="1:37" s="20" customFormat="1" ht="21" customHeight="1">
      <c r="A232" s="41"/>
      <c r="B232" s="55"/>
      <c r="C232" s="41">
        <v>4270</v>
      </c>
      <c r="D232" s="31" t="s">
        <v>74</v>
      </c>
      <c r="E232" s="54">
        <v>153158</v>
      </c>
      <c r="F232" s="54"/>
      <c r="G232" s="54">
        <f t="shared" si="273"/>
        <v>153158</v>
      </c>
      <c r="H232" s="54"/>
      <c r="I232" s="54">
        <f t="shared" si="274"/>
        <v>153158</v>
      </c>
      <c r="J232" s="54">
        <v>85000</v>
      </c>
      <c r="K232" s="54">
        <f t="shared" si="275"/>
        <v>238158</v>
      </c>
      <c r="L232" s="54">
        <v>-1000</v>
      </c>
      <c r="M232" s="54">
        <f t="shared" si="276"/>
        <v>237158</v>
      </c>
      <c r="N232" s="54"/>
      <c r="O232" s="54">
        <f t="shared" si="277"/>
        <v>237158</v>
      </c>
      <c r="P232" s="54"/>
      <c r="Q232" s="54">
        <f t="shared" si="278"/>
        <v>237158</v>
      </c>
      <c r="R232" s="54"/>
      <c r="S232" s="54">
        <f t="shared" si="279"/>
        <v>237158</v>
      </c>
      <c r="T232" s="54"/>
      <c r="U232" s="54">
        <f t="shared" si="280"/>
        <v>237158</v>
      </c>
      <c r="V232" s="54"/>
      <c r="W232" s="54">
        <f t="shared" si="281"/>
        <v>237158</v>
      </c>
      <c r="X232" s="54"/>
      <c r="Y232" s="54">
        <f t="shared" si="282"/>
        <v>237158</v>
      </c>
      <c r="Z232" s="54">
        <f>17000+860</f>
        <v>17860</v>
      </c>
      <c r="AA232" s="54">
        <f t="shared" si="283"/>
        <v>255018</v>
      </c>
      <c r="AB232" s="54"/>
      <c r="AC232" s="54">
        <f t="shared" si="284"/>
        <v>255018</v>
      </c>
      <c r="AD232" s="54">
        <f>3905-12605</f>
        <v>-8700</v>
      </c>
      <c r="AE232" s="54">
        <f t="shared" si="285"/>
        <v>246318</v>
      </c>
      <c r="AF232" s="54">
        <f>949-3390</f>
        <v>-2441</v>
      </c>
      <c r="AG232" s="54">
        <f t="shared" si="286"/>
        <v>243877</v>
      </c>
      <c r="AH232" s="54">
        <f>4181-300</f>
        <v>3881</v>
      </c>
      <c r="AI232" s="54">
        <f t="shared" si="287"/>
        <v>247758</v>
      </c>
      <c r="AJ232" s="54"/>
      <c r="AK232" s="54">
        <f t="shared" si="288"/>
        <v>247758</v>
      </c>
    </row>
    <row r="233" spans="1:37" s="20" customFormat="1" ht="21" customHeight="1">
      <c r="A233" s="41"/>
      <c r="B233" s="55"/>
      <c r="C233" s="41">
        <v>4280</v>
      </c>
      <c r="D233" s="31" t="s">
        <v>336</v>
      </c>
      <c r="E233" s="54">
        <v>18900</v>
      </c>
      <c r="F233" s="54"/>
      <c r="G233" s="54">
        <f t="shared" si="273"/>
        <v>18900</v>
      </c>
      <c r="H233" s="54"/>
      <c r="I233" s="54">
        <f t="shared" si="274"/>
        <v>18900</v>
      </c>
      <c r="J233" s="54"/>
      <c r="K233" s="54">
        <f t="shared" si="275"/>
        <v>18900</v>
      </c>
      <c r="L233" s="54"/>
      <c r="M233" s="54">
        <f t="shared" si="276"/>
        <v>18900</v>
      </c>
      <c r="N233" s="54"/>
      <c r="O233" s="54">
        <f t="shared" si="277"/>
        <v>18900</v>
      </c>
      <c r="P233" s="54"/>
      <c r="Q233" s="54">
        <f t="shared" si="278"/>
        <v>18900</v>
      </c>
      <c r="R233" s="54"/>
      <c r="S233" s="54">
        <f t="shared" si="279"/>
        <v>18900</v>
      </c>
      <c r="T233" s="54"/>
      <c r="U233" s="54">
        <f t="shared" si="280"/>
        <v>18900</v>
      </c>
      <c r="V233" s="54"/>
      <c r="W233" s="54">
        <f t="shared" si="281"/>
        <v>18900</v>
      </c>
      <c r="X233" s="54"/>
      <c r="Y233" s="54">
        <f t="shared" si="282"/>
        <v>18900</v>
      </c>
      <c r="Z233" s="54">
        <v>-261</v>
      </c>
      <c r="AA233" s="54">
        <f t="shared" si="283"/>
        <v>18639</v>
      </c>
      <c r="AB233" s="54"/>
      <c r="AC233" s="54">
        <f t="shared" si="284"/>
        <v>18639</v>
      </c>
      <c r="AD233" s="54">
        <v>-200</v>
      </c>
      <c r="AE233" s="54">
        <f t="shared" si="285"/>
        <v>18439</v>
      </c>
      <c r="AF233" s="54">
        <v>-2721</v>
      </c>
      <c r="AG233" s="54">
        <f t="shared" si="286"/>
        <v>15718</v>
      </c>
      <c r="AH233" s="54">
        <v>-629</v>
      </c>
      <c r="AI233" s="54">
        <f t="shared" si="287"/>
        <v>15089</v>
      </c>
      <c r="AJ233" s="54"/>
      <c r="AK233" s="54">
        <f t="shared" si="288"/>
        <v>15089</v>
      </c>
    </row>
    <row r="234" spans="1:37" s="20" customFormat="1" ht="21" customHeight="1">
      <c r="A234" s="41"/>
      <c r="B234" s="55"/>
      <c r="C234" s="41">
        <v>4300</v>
      </c>
      <c r="D234" s="31" t="s">
        <v>75</v>
      </c>
      <c r="E234" s="54">
        <v>110748</v>
      </c>
      <c r="F234" s="54"/>
      <c r="G234" s="54">
        <f t="shared" si="273"/>
        <v>110748</v>
      </c>
      <c r="H234" s="54"/>
      <c r="I234" s="54">
        <f t="shared" si="274"/>
        <v>110748</v>
      </c>
      <c r="J234" s="54">
        <v>1000</v>
      </c>
      <c r="K234" s="54">
        <f t="shared" si="275"/>
        <v>111748</v>
      </c>
      <c r="L234" s="54"/>
      <c r="M234" s="54">
        <f t="shared" si="276"/>
        <v>111748</v>
      </c>
      <c r="N234" s="54">
        <v>-1000</v>
      </c>
      <c r="O234" s="54">
        <f t="shared" si="277"/>
        <v>110748</v>
      </c>
      <c r="P234" s="54"/>
      <c r="Q234" s="54">
        <f t="shared" si="278"/>
        <v>110748</v>
      </c>
      <c r="R234" s="54"/>
      <c r="S234" s="54">
        <f t="shared" si="279"/>
        <v>110748</v>
      </c>
      <c r="T234" s="54"/>
      <c r="U234" s="54">
        <f t="shared" si="280"/>
        <v>110748</v>
      </c>
      <c r="V234" s="54"/>
      <c r="W234" s="54">
        <f t="shared" si="281"/>
        <v>110748</v>
      </c>
      <c r="X234" s="54">
        <v>44050</v>
      </c>
      <c r="Y234" s="54">
        <f t="shared" si="282"/>
        <v>154798</v>
      </c>
      <c r="Z234" s="54"/>
      <c r="AA234" s="54">
        <f t="shared" si="283"/>
        <v>154798</v>
      </c>
      <c r="AB234" s="54"/>
      <c r="AC234" s="54">
        <f t="shared" si="284"/>
        <v>154798</v>
      </c>
      <c r="AD234" s="54">
        <f>10289-2553</f>
        <v>7736</v>
      </c>
      <c r="AE234" s="54">
        <f t="shared" si="285"/>
        <v>162534</v>
      </c>
      <c r="AF234" s="54">
        <f>5335-917</f>
        <v>4418</v>
      </c>
      <c r="AG234" s="54">
        <f t="shared" si="286"/>
        <v>166952</v>
      </c>
      <c r="AH234" s="54">
        <f>1870-1037-200</f>
        <v>633</v>
      </c>
      <c r="AI234" s="54">
        <f t="shared" si="287"/>
        <v>167585</v>
      </c>
      <c r="AJ234" s="54">
        <v>604</v>
      </c>
      <c r="AK234" s="54">
        <f t="shared" si="288"/>
        <v>168189</v>
      </c>
    </row>
    <row r="235" spans="1:37" s="20" customFormat="1" ht="21" customHeight="1">
      <c r="A235" s="41"/>
      <c r="B235" s="55"/>
      <c r="C235" s="41">
        <v>4350</v>
      </c>
      <c r="D235" s="31" t="s">
        <v>169</v>
      </c>
      <c r="E235" s="54">
        <v>4050</v>
      </c>
      <c r="F235" s="54"/>
      <c r="G235" s="54">
        <f t="shared" si="273"/>
        <v>4050</v>
      </c>
      <c r="H235" s="54"/>
      <c r="I235" s="54">
        <f t="shared" si="274"/>
        <v>4050</v>
      </c>
      <c r="J235" s="54"/>
      <c r="K235" s="54">
        <f t="shared" si="275"/>
        <v>4050</v>
      </c>
      <c r="L235" s="54"/>
      <c r="M235" s="54">
        <f t="shared" si="276"/>
        <v>4050</v>
      </c>
      <c r="N235" s="54">
        <v>200</v>
      </c>
      <c r="O235" s="54">
        <f t="shared" si="277"/>
        <v>4250</v>
      </c>
      <c r="P235" s="54"/>
      <c r="Q235" s="54">
        <f t="shared" si="278"/>
        <v>4250</v>
      </c>
      <c r="R235" s="54"/>
      <c r="S235" s="54">
        <f t="shared" si="279"/>
        <v>4250</v>
      </c>
      <c r="T235" s="54"/>
      <c r="U235" s="54">
        <f t="shared" si="280"/>
        <v>4250</v>
      </c>
      <c r="V235" s="54"/>
      <c r="W235" s="54">
        <f t="shared" si="281"/>
        <v>4250</v>
      </c>
      <c r="X235" s="54"/>
      <c r="Y235" s="54">
        <f t="shared" si="282"/>
        <v>4250</v>
      </c>
      <c r="Z235" s="54">
        <v>261</v>
      </c>
      <c r="AA235" s="54">
        <f t="shared" si="283"/>
        <v>4511</v>
      </c>
      <c r="AB235" s="54"/>
      <c r="AC235" s="54">
        <f t="shared" si="284"/>
        <v>4511</v>
      </c>
      <c r="AD235" s="54">
        <v>-1150</v>
      </c>
      <c r="AE235" s="54">
        <f t="shared" si="285"/>
        <v>3361</v>
      </c>
      <c r="AF235" s="54">
        <v>-100</v>
      </c>
      <c r="AG235" s="54">
        <f t="shared" si="286"/>
        <v>3261</v>
      </c>
      <c r="AH235" s="54">
        <v>298</v>
      </c>
      <c r="AI235" s="54">
        <f t="shared" si="287"/>
        <v>3559</v>
      </c>
      <c r="AJ235" s="54"/>
      <c r="AK235" s="54">
        <f t="shared" si="288"/>
        <v>3559</v>
      </c>
    </row>
    <row r="236" spans="1:37" s="20" customFormat="1" ht="27" customHeight="1">
      <c r="A236" s="41"/>
      <c r="B236" s="55"/>
      <c r="C236" s="41">
        <v>4360</v>
      </c>
      <c r="D236" s="31" t="s">
        <v>317</v>
      </c>
      <c r="E236" s="54"/>
      <c r="F236" s="54"/>
      <c r="G236" s="54"/>
      <c r="H236" s="54"/>
      <c r="I236" s="54">
        <v>0</v>
      </c>
      <c r="J236" s="54">
        <v>370</v>
      </c>
      <c r="K236" s="54">
        <f t="shared" si="275"/>
        <v>370</v>
      </c>
      <c r="L236" s="54"/>
      <c r="M236" s="54">
        <f t="shared" si="276"/>
        <v>370</v>
      </c>
      <c r="N236" s="54"/>
      <c r="O236" s="54">
        <f t="shared" si="277"/>
        <v>370</v>
      </c>
      <c r="P236" s="54"/>
      <c r="Q236" s="54">
        <f t="shared" si="278"/>
        <v>370</v>
      </c>
      <c r="R236" s="54"/>
      <c r="S236" s="54">
        <f t="shared" si="279"/>
        <v>370</v>
      </c>
      <c r="T236" s="54"/>
      <c r="U236" s="54">
        <f t="shared" si="280"/>
        <v>370</v>
      </c>
      <c r="V236" s="54"/>
      <c r="W236" s="54">
        <f t="shared" si="281"/>
        <v>370</v>
      </c>
      <c r="X236" s="54"/>
      <c r="Y236" s="54">
        <f t="shared" si="282"/>
        <v>370</v>
      </c>
      <c r="Z236" s="54"/>
      <c r="AA236" s="54">
        <f t="shared" si="283"/>
        <v>370</v>
      </c>
      <c r="AB236" s="54"/>
      <c r="AC236" s="54">
        <f t="shared" si="284"/>
        <v>370</v>
      </c>
      <c r="AD236" s="54"/>
      <c r="AE236" s="54">
        <f t="shared" si="285"/>
        <v>370</v>
      </c>
      <c r="AF236" s="54"/>
      <c r="AG236" s="54">
        <f t="shared" si="286"/>
        <v>370</v>
      </c>
      <c r="AH236" s="54">
        <v>50</v>
      </c>
      <c r="AI236" s="54">
        <f t="shared" si="287"/>
        <v>420</v>
      </c>
      <c r="AJ236" s="54"/>
      <c r="AK236" s="54">
        <f t="shared" si="288"/>
        <v>420</v>
      </c>
    </row>
    <row r="237" spans="1:37" s="20" customFormat="1" ht="24">
      <c r="A237" s="41"/>
      <c r="B237" s="55"/>
      <c r="C237" s="41">
        <v>4370</v>
      </c>
      <c r="D237" s="12" t="s">
        <v>182</v>
      </c>
      <c r="E237" s="54">
        <v>20770</v>
      </c>
      <c r="F237" s="54"/>
      <c r="G237" s="54">
        <f t="shared" si="273"/>
        <v>20770</v>
      </c>
      <c r="H237" s="54"/>
      <c r="I237" s="54">
        <f t="shared" si="274"/>
        <v>20770</v>
      </c>
      <c r="J237" s="54">
        <v>-370</v>
      </c>
      <c r="K237" s="54">
        <f t="shared" si="275"/>
        <v>20400</v>
      </c>
      <c r="L237" s="54"/>
      <c r="M237" s="54">
        <f t="shared" si="276"/>
        <v>20400</v>
      </c>
      <c r="N237" s="54">
        <v>1000</v>
      </c>
      <c r="O237" s="54">
        <f t="shared" si="277"/>
        <v>21400</v>
      </c>
      <c r="P237" s="54"/>
      <c r="Q237" s="54">
        <f t="shared" si="278"/>
        <v>21400</v>
      </c>
      <c r="R237" s="54"/>
      <c r="S237" s="54">
        <f t="shared" si="279"/>
        <v>21400</v>
      </c>
      <c r="T237" s="54"/>
      <c r="U237" s="54">
        <f t="shared" si="280"/>
        <v>21400</v>
      </c>
      <c r="V237" s="54"/>
      <c r="W237" s="54">
        <f t="shared" si="281"/>
        <v>21400</v>
      </c>
      <c r="X237" s="54"/>
      <c r="Y237" s="54">
        <f t="shared" si="282"/>
        <v>21400</v>
      </c>
      <c r="Z237" s="54"/>
      <c r="AA237" s="54">
        <f t="shared" si="283"/>
        <v>21400</v>
      </c>
      <c r="AB237" s="54"/>
      <c r="AC237" s="54">
        <f t="shared" si="284"/>
        <v>21400</v>
      </c>
      <c r="AD237" s="54">
        <v>-2480</v>
      </c>
      <c r="AE237" s="54">
        <f t="shared" si="285"/>
        <v>18920</v>
      </c>
      <c r="AF237" s="54">
        <v>-342</v>
      </c>
      <c r="AG237" s="54">
        <f t="shared" si="286"/>
        <v>18578</v>
      </c>
      <c r="AH237" s="54">
        <v>-22</v>
      </c>
      <c r="AI237" s="54">
        <f t="shared" si="287"/>
        <v>18556</v>
      </c>
      <c r="AJ237" s="54">
        <v>-22</v>
      </c>
      <c r="AK237" s="54">
        <f t="shared" si="288"/>
        <v>18534</v>
      </c>
    </row>
    <row r="238" spans="1:37" s="20" customFormat="1" ht="24">
      <c r="A238" s="41"/>
      <c r="B238" s="55"/>
      <c r="C238" s="41">
        <v>4390</v>
      </c>
      <c r="D238" s="31" t="s">
        <v>337</v>
      </c>
      <c r="E238" s="54">
        <v>5400</v>
      </c>
      <c r="F238" s="54"/>
      <c r="G238" s="54">
        <f t="shared" si="273"/>
        <v>5400</v>
      </c>
      <c r="H238" s="54"/>
      <c r="I238" s="54">
        <f t="shared" si="274"/>
        <v>5400</v>
      </c>
      <c r="J238" s="54"/>
      <c r="K238" s="54">
        <f t="shared" si="275"/>
        <v>5400</v>
      </c>
      <c r="L238" s="54"/>
      <c r="M238" s="54">
        <f t="shared" si="276"/>
        <v>5400</v>
      </c>
      <c r="N238" s="54"/>
      <c r="O238" s="54">
        <f t="shared" si="277"/>
        <v>5400</v>
      </c>
      <c r="P238" s="54"/>
      <c r="Q238" s="54">
        <f t="shared" si="278"/>
        <v>5400</v>
      </c>
      <c r="R238" s="54"/>
      <c r="S238" s="54">
        <f t="shared" si="279"/>
        <v>5400</v>
      </c>
      <c r="T238" s="54"/>
      <c r="U238" s="54">
        <f t="shared" si="280"/>
        <v>5400</v>
      </c>
      <c r="V238" s="54"/>
      <c r="W238" s="54">
        <f t="shared" si="281"/>
        <v>5400</v>
      </c>
      <c r="X238" s="54"/>
      <c r="Y238" s="54">
        <f t="shared" si="282"/>
        <v>5400</v>
      </c>
      <c r="Z238" s="54"/>
      <c r="AA238" s="54">
        <f t="shared" si="283"/>
        <v>5400</v>
      </c>
      <c r="AB238" s="54"/>
      <c r="AC238" s="54">
        <f t="shared" si="284"/>
        <v>5400</v>
      </c>
      <c r="AD238" s="54">
        <v>-3000</v>
      </c>
      <c r="AE238" s="54">
        <f t="shared" si="285"/>
        <v>2400</v>
      </c>
      <c r="AF238" s="54">
        <v>-600</v>
      </c>
      <c r="AG238" s="54">
        <f t="shared" si="286"/>
        <v>1800</v>
      </c>
      <c r="AH238" s="54"/>
      <c r="AI238" s="54">
        <f t="shared" si="287"/>
        <v>1800</v>
      </c>
      <c r="AJ238" s="54">
        <v>-1000</v>
      </c>
      <c r="AK238" s="54">
        <f t="shared" si="288"/>
        <v>800</v>
      </c>
    </row>
    <row r="239" spans="1:37" s="20" customFormat="1" ht="21" customHeight="1">
      <c r="A239" s="41"/>
      <c r="B239" s="55"/>
      <c r="C239" s="41">
        <v>4410</v>
      </c>
      <c r="D239" s="31" t="s">
        <v>85</v>
      </c>
      <c r="E239" s="54">
        <v>18780</v>
      </c>
      <c r="F239" s="54"/>
      <c r="G239" s="54">
        <f t="shared" si="273"/>
        <v>18780</v>
      </c>
      <c r="H239" s="54"/>
      <c r="I239" s="54">
        <f t="shared" si="274"/>
        <v>18780</v>
      </c>
      <c r="J239" s="54"/>
      <c r="K239" s="54">
        <f t="shared" si="275"/>
        <v>18780</v>
      </c>
      <c r="L239" s="54"/>
      <c r="M239" s="54">
        <f t="shared" si="276"/>
        <v>18780</v>
      </c>
      <c r="N239" s="54"/>
      <c r="O239" s="54">
        <f t="shared" si="277"/>
        <v>18780</v>
      </c>
      <c r="P239" s="54"/>
      <c r="Q239" s="54">
        <f t="shared" si="278"/>
        <v>18780</v>
      </c>
      <c r="R239" s="54"/>
      <c r="S239" s="54">
        <f t="shared" si="279"/>
        <v>18780</v>
      </c>
      <c r="T239" s="54"/>
      <c r="U239" s="54">
        <f t="shared" si="280"/>
        <v>18780</v>
      </c>
      <c r="V239" s="54">
        <v>-283</v>
      </c>
      <c r="W239" s="54">
        <f t="shared" si="281"/>
        <v>18497</v>
      </c>
      <c r="X239" s="54"/>
      <c r="Y239" s="54">
        <f t="shared" si="282"/>
        <v>18497</v>
      </c>
      <c r="Z239" s="54"/>
      <c r="AA239" s="54">
        <f t="shared" si="283"/>
        <v>18497</v>
      </c>
      <c r="AB239" s="54"/>
      <c r="AC239" s="54">
        <f t="shared" si="284"/>
        <v>18497</v>
      </c>
      <c r="AD239" s="54">
        <v>-300</v>
      </c>
      <c r="AE239" s="54">
        <f t="shared" si="285"/>
        <v>18197</v>
      </c>
      <c r="AF239" s="54">
        <v>740</v>
      </c>
      <c r="AG239" s="54">
        <f t="shared" si="286"/>
        <v>18937</v>
      </c>
      <c r="AH239" s="54">
        <v>-272</v>
      </c>
      <c r="AI239" s="54">
        <f t="shared" si="287"/>
        <v>18665</v>
      </c>
      <c r="AJ239" s="54">
        <v>-8</v>
      </c>
      <c r="AK239" s="54">
        <f t="shared" si="288"/>
        <v>18657</v>
      </c>
    </row>
    <row r="240" spans="1:37" s="20" customFormat="1" ht="21" customHeight="1">
      <c r="A240" s="41"/>
      <c r="B240" s="55"/>
      <c r="C240" s="41">
        <v>4420</v>
      </c>
      <c r="D240" s="31" t="s">
        <v>314</v>
      </c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>
        <v>0</v>
      </c>
      <c r="V240" s="54">
        <v>283</v>
      </c>
      <c r="W240" s="54">
        <f t="shared" si="281"/>
        <v>283</v>
      </c>
      <c r="X240" s="54"/>
      <c r="Y240" s="54">
        <f t="shared" si="282"/>
        <v>283</v>
      </c>
      <c r="Z240" s="54"/>
      <c r="AA240" s="54">
        <f t="shared" si="283"/>
        <v>283</v>
      </c>
      <c r="AB240" s="54"/>
      <c r="AC240" s="54">
        <f t="shared" si="284"/>
        <v>283</v>
      </c>
      <c r="AD240" s="54"/>
      <c r="AE240" s="54">
        <f t="shared" si="285"/>
        <v>283</v>
      </c>
      <c r="AF240" s="54"/>
      <c r="AG240" s="54">
        <f t="shared" si="286"/>
        <v>283</v>
      </c>
      <c r="AH240" s="54"/>
      <c r="AI240" s="54">
        <f t="shared" si="287"/>
        <v>283</v>
      </c>
      <c r="AJ240" s="54"/>
      <c r="AK240" s="54">
        <f t="shared" si="288"/>
        <v>283</v>
      </c>
    </row>
    <row r="241" spans="1:37" s="20" customFormat="1" ht="21" customHeight="1">
      <c r="A241" s="41"/>
      <c r="B241" s="55"/>
      <c r="C241" s="135">
        <v>4430</v>
      </c>
      <c r="D241" s="31" t="s">
        <v>87</v>
      </c>
      <c r="E241" s="54">
        <v>8100</v>
      </c>
      <c r="F241" s="54"/>
      <c r="G241" s="54">
        <f t="shared" si="273"/>
        <v>8100</v>
      </c>
      <c r="H241" s="54"/>
      <c r="I241" s="54">
        <f t="shared" si="274"/>
        <v>8100</v>
      </c>
      <c r="J241" s="54"/>
      <c r="K241" s="54">
        <f t="shared" si="275"/>
        <v>8100</v>
      </c>
      <c r="L241" s="54">
        <f>1270+1500+580</f>
        <v>3350</v>
      </c>
      <c r="M241" s="54">
        <f t="shared" si="276"/>
        <v>11450</v>
      </c>
      <c r="N241" s="54">
        <v>800</v>
      </c>
      <c r="O241" s="54">
        <f t="shared" si="277"/>
        <v>12250</v>
      </c>
      <c r="P241" s="54"/>
      <c r="Q241" s="54">
        <f t="shared" si="278"/>
        <v>12250</v>
      </c>
      <c r="R241" s="54"/>
      <c r="S241" s="54">
        <f t="shared" si="279"/>
        <v>12250</v>
      </c>
      <c r="T241" s="54"/>
      <c r="U241" s="54">
        <f t="shared" si="280"/>
        <v>12250</v>
      </c>
      <c r="V241" s="54"/>
      <c r="W241" s="54">
        <f t="shared" si="281"/>
        <v>12250</v>
      </c>
      <c r="X241" s="54"/>
      <c r="Y241" s="54">
        <f t="shared" si="282"/>
        <v>12250</v>
      </c>
      <c r="Z241" s="54"/>
      <c r="AA241" s="54">
        <f t="shared" si="283"/>
        <v>12250</v>
      </c>
      <c r="AB241" s="54"/>
      <c r="AC241" s="54">
        <f t="shared" si="284"/>
        <v>12250</v>
      </c>
      <c r="AD241" s="54">
        <f>4000-6690</f>
        <v>-2690</v>
      </c>
      <c r="AE241" s="54">
        <f t="shared" si="285"/>
        <v>9560</v>
      </c>
      <c r="AF241" s="54">
        <f>2001-1854</f>
        <v>147</v>
      </c>
      <c r="AG241" s="54">
        <f t="shared" si="286"/>
        <v>9707</v>
      </c>
      <c r="AH241" s="54"/>
      <c r="AI241" s="54">
        <f t="shared" si="287"/>
        <v>9707</v>
      </c>
      <c r="AJ241" s="54"/>
      <c r="AK241" s="54">
        <f t="shared" si="288"/>
        <v>9707</v>
      </c>
    </row>
    <row r="242" spans="1:37" s="20" customFormat="1" ht="24">
      <c r="A242" s="41"/>
      <c r="B242" s="55"/>
      <c r="C242" s="135">
        <v>4440</v>
      </c>
      <c r="D242" s="31" t="s">
        <v>83</v>
      </c>
      <c r="E242" s="54">
        <v>414975</v>
      </c>
      <c r="F242" s="54"/>
      <c r="G242" s="54">
        <f t="shared" si="273"/>
        <v>414975</v>
      </c>
      <c r="H242" s="54"/>
      <c r="I242" s="54">
        <f t="shared" si="274"/>
        <v>414975</v>
      </c>
      <c r="J242" s="54"/>
      <c r="K242" s="54">
        <f t="shared" si="275"/>
        <v>414975</v>
      </c>
      <c r="L242" s="54"/>
      <c r="M242" s="54">
        <f t="shared" si="276"/>
        <v>414975</v>
      </c>
      <c r="N242" s="54"/>
      <c r="O242" s="54">
        <f t="shared" si="277"/>
        <v>414975</v>
      </c>
      <c r="P242" s="54"/>
      <c r="Q242" s="54">
        <f t="shared" si="278"/>
        <v>414975</v>
      </c>
      <c r="R242" s="54"/>
      <c r="S242" s="54">
        <f t="shared" si="279"/>
        <v>414975</v>
      </c>
      <c r="T242" s="54"/>
      <c r="U242" s="54">
        <f t="shared" si="280"/>
        <v>414975</v>
      </c>
      <c r="V242" s="54"/>
      <c r="W242" s="54">
        <f t="shared" si="281"/>
        <v>414975</v>
      </c>
      <c r="X242" s="54"/>
      <c r="Y242" s="54">
        <f t="shared" si="282"/>
        <v>414975</v>
      </c>
      <c r="Z242" s="54"/>
      <c r="AA242" s="54">
        <f t="shared" si="283"/>
        <v>414975</v>
      </c>
      <c r="AB242" s="54"/>
      <c r="AC242" s="54">
        <f t="shared" si="284"/>
        <v>414975</v>
      </c>
      <c r="AD242" s="54"/>
      <c r="AE242" s="54">
        <f t="shared" si="285"/>
        <v>414975</v>
      </c>
      <c r="AF242" s="54"/>
      <c r="AG242" s="54">
        <f t="shared" si="286"/>
        <v>414975</v>
      </c>
      <c r="AH242" s="54">
        <v>7859</v>
      </c>
      <c r="AI242" s="54">
        <f t="shared" si="287"/>
        <v>422834</v>
      </c>
      <c r="AJ242" s="54"/>
      <c r="AK242" s="54">
        <f t="shared" si="288"/>
        <v>422834</v>
      </c>
    </row>
    <row r="243" spans="1:37" s="20" customFormat="1" ht="22.5" customHeight="1">
      <c r="A243" s="41"/>
      <c r="B243" s="55"/>
      <c r="C243" s="135">
        <v>4570</v>
      </c>
      <c r="D243" s="31" t="s">
        <v>338</v>
      </c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>
        <v>0</v>
      </c>
      <c r="R243" s="54">
        <f>19+20</f>
        <v>39</v>
      </c>
      <c r="S243" s="54">
        <f t="shared" si="279"/>
        <v>39</v>
      </c>
      <c r="T243" s="54"/>
      <c r="U243" s="54">
        <f t="shared" si="280"/>
        <v>39</v>
      </c>
      <c r="V243" s="54"/>
      <c r="W243" s="54">
        <f t="shared" si="281"/>
        <v>39</v>
      </c>
      <c r="X243" s="54"/>
      <c r="Y243" s="54">
        <f t="shared" si="282"/>
        <v>39</v>
      </c>
      <c r="Z243" s="54"/>
      <c r="AA243" s="54">
        <f t="shared" si="283"/>
        <v>39</v>
      </c>
      <c r="AB243" s="54"/>
      <c r="AC243" s="54">
        <f t="shared" si="284"/>
        <v>39</v>
      </c>
      <c r="AD243" s="54"/>
      <c r="AE243" s="54">
        <f t="shared" si="285"/>
        <v>39</v>
      </c>
      <c r="AF243" s="54">
        <v>-1</v>
      </c>
      <c r="AG243" s="54">
        <f t="shared" si="286"/>
        <v>38</v>
      </c>
      <c r="AH243" s="54"/>
      <c r="AI243" s="54">
        <f t="shared" si="287"/>
        <v>38</v>
      </c>
      <c r="AJ243" s="54"/>
      <c r="AK243" s="54">
        <f t="shared" si="288"/>
        <v>38</v>
      </c>
    </row>
    <row r="244" spans="1:37" s="20" customFormat="1" ht="21" customHeight="1">
      <c r="A244" s="41"/>
      <c r="B244" s="55"/>
      <c r="C244" s="135">
        <v>4580</v>
      </c>
      <c r="D244" s="31" t="s">
        <v>11</v>
      </c>
      <c r="E244" s="54"/>
      <c r="F244" s="54"/>
      <c r="G244" s="54"/>
      <c r="H244" s="54"/>
      <c r="I244" s="54"/>
      <c r="J244" s="54"/>
      <c r="K244" s="54"/>
      <c r="L244" s="54"/>
      <c r="M244" s="54">
        <v>0</v>
      </c>
      <c r="N244" s="54">
        <v>19</v>
      </c>
      <c r="O244" s="54">
        <f t="shared" si="277"/>
        <v>19</v>
      </c>
      <c r="P244" s="54"/>
      <c r="Q244" s="54">
        <f t="shared" si="278"/>
        <v>19</v>
      </c>
      <c r="R244" s="54">
        <v>-19</v>
      </c>
      <c r="S244" s="54">
        <f t="shared" si="279"/>
        <v>0</v>
      </c>
      <c r="T244" s="54"/>
      <c r="U244" s="54">
        <f t="shared" si="280"/>
        <v>0</v>
      </c>
      <c r="V244" s="54"/>
      <c r="W244" s="54">
        <f t="shared" si="281"/>
        <v>0</v>
      </c>
      <c r="X244" s="54"/>
      <c r="Y244" s="54">
        <f t="shared" si="282"/>
        <v>0</v>
      </c>
      <c r="Z244" s="54"/>
      <c r="AA244" s="54">
        <f t="shared" si="283"/>
        <v>0</v>
      </c>
      <c r="AB244" s="54"/>
      <c r="AC244" s="54">
        <f t="shared" si="284"/>
        <v>0</v>
      </c>
      <c r="AD244" s="54"/>
      <c r="AE244" s="54">
        <f t="shared" si="285"/>
        <v>0</v>
      </c>
      <c r="AF244" s="54"/>
      <c r="AG244" s="54">
        <f t="shared" si="286"/>
        <v>0</v>
      </c>
      <c r="AH244" s="54"/>
      <c r="AI244" s="54">
        <f t="shared" si="287"/>
        <v>0</v>
      </c>
      <c r="AJ244" s="54"/>
      <c r="AK244" s="54">
        <f t="shared" si="288"/>
        <v>0</v>
      </c>
    </row>
    <row r="245" spans="1:37" s="20" customFormat="1" ht="24">
      <c r="A245" s="41"/>
      <c r="B245" s="55"/>
      <c r="C245" s="135">
        <v>4700</v>
      </c>
      <c r="D245" s="31" t="s">
        <v>193</v>
      </c>
      <c r="E245" s="54">
        <v>8860</v>
      </c>
      <c r="F245" s="54"/>
      <c r="G245" s="54">
        <f t="shared" si="273"/>
        <v>8860</v>
      </c>
      <c r="H245" s="54"/>
      <c r="I245" s="54">
        <f t="shared" si="274"/>
        <v>8860</v>
      </c>
      <c r="J245" s="54"/>
      <c r="K245" s="54">
        <f t="shared" si="275"/>
        <v>8860</v>
      </c>
      <c r="L245" s="54"/>
      <c r="M245" s="54">
        <f t="shared" si="276"/>
        <v>8860</v>
      </c>
      <c r="N245" s="54"/>
      <c r="O245" s="54">
        <f t="shared" si="277"/>
        <v>8860</v>
      </c>
      <c r="P245" s="54"/>
      <c r="Q245" s="54">
        <f t="shared" si="278"/>
        <v>8860</v>
      </c>
      <c r="R245" s="54"/>
      <c r="S245" s="54">
        <f t="shared" si="279"/>
        <v>8860</v>
      </c>
      <c r="T245" s="54"/>
      <c r="U245" s="54">
        <f t="shared" si="280"/>
        <v>8860</v>
      </c>
      <c r="V245" s="54"/>
      <c r="W245" s="54">
        <f t="shared" si="281"/>
        <v>8860</v>
      </c>
      <c r="X245" s="54"/>
      <c r="Y245" s="54">
        <f t="shared" si="282"/>
        <v>8860</v>
      </c>
      <c r="Z245" s="54"/>
      <c r="AA245" s="54">
        <f t="shared" si="283"/>
        <v>8860</v>
      </c>
      <c r="AB245" s="54"/>
      <c r="AC245" s="54">
        <f t="shared" si="284"/>
        <v>8860</v>
      </c>
      <c r="AD245" s="54">
        <v>-1120</v>
      </c>
      <c r="AE245" s="54">
        <f t="shared" si="285"/>
        <v>7740</v>
      </c>
      <c r="AF245" s="54">
        <v>-4115</v>
      </c>
      <c r="AG245" s="54">
        <f t="shared" si="286"/>
        <v>3625</v>
      </c>
      <c r="AH245" s="54"/>
      <c r="AI245" s="54">
        <f t="shared" si="287"/>
        <v>3625</v>
      </c>
      <c r="AJ245" s="54"/>
      <c r="AK245" s="54">
        <f t="shared" si="288"/>
        <v>3625</v>
      </c>
    </row>
    <row r="246" spans="1:37" s="20" customFormat="1" ht="36">
      <c r="A246" s="41"/>
      <c r="B246" s="55"/>
      <c r="C246" s="135">
        <v>4740</v>
      </c>
      <c r="D246" s="12" t="s">
        <v>183</v>
      </c>
      <c r="E246" s="54">
        <v>5900</v>
      </c>
      <c r="F246" s="54"/>
      <c r="G246" s="54">
        <f t="shared" si="273"/>
        <v>5900</v>
      </c>
      <c r="H246" s="54"/>
      <c r="I246" s="54">
        <f t="shared" si="274"/>
        <v>5900</v>
      </c>
      <c r="J246" s="54"/>
      <c r="K246" s="54">
        <f t="shared" si="275"/>
        <v>5900</v>
      </c>
      <c r="L246" s="54"/>
      <c r="M246" s="54">
        <f t="shared" si="276"/>
        <v>5900</v>
      </c>
      <c r="N246" s="54"/>
      <c r="O246" s="54">
        <f t="shared" si="277"/>
        <v>5900</v>
      </c>
      <c r="P246" s="54"/>
      <c r="Q246" s="54">
        <f t="shared" si="278"/>
        <v>5900</v>
      </c>
      <c r="R246" s="54"/>
      <c r="S246" s="54">
        <f t="shared" si="279"/>
        <v>5900</v>
      </c>
      <c r="T246" s="54"/>
      <c r="U246" s="54">
        <f t="shared" si="280"/>
        <v>5900</v>
      </c>
      <c r="V246" s="54"/>
      <c r="W246" s="54">
        <f t="shared" si="281"/>
        <v>5900</v>
      </c>
      <c r="X246" s="54"/>
      <c r="Y246" s="54">
        <f t="shared" si="282"/>
        <v>5900</v>
      </c>
      <c r="Z246" s="54"/>
      <c r="AA246" s="54">
        <f t="shared" si="283"/>
        <v>5900</v>
      </c>
      <c r="AB246" s="54"/>
      <c r="AC246" s="54">
        <f t="shared" si="284"/>
        <v>5900</v>
      </c>
      <c r="AD246" s="54">
        <v>-400</v>
      </c>
      <c r="AE246" s="54">
        <f t="shared" si="285"/>
        <v>5500</v>
      </c>
      <c r="AF246" s="54">
        <v>-235</v>
      </c>
      <c r="AG246" s="54">
        <f t="shared" si="286"/>
        <v>5265</v>
      </c>
      <c r="AH246" s="54"/>
      <c r="AI246" s="54">
        <f t="shared" si="287"/>
        <v>5265</v>
      </c>
      <c r="AJ246" s="54"/>
      <c r="AK246" s="54">
        <f t="shared" si="288"/>
        <v>5265</v>
      </c>
    </row>
    <row r="247" spans="1:37" s="20" customFormat="1" ht="24">
      <c r="A247" s="41"/>
      <c r="B247" s="55"/>
      <c r="C247" s="135">
        <v>4750</v>
      </c>
      <c r="D247" s="12" t="s">
        <v>305</v>
      </c>
      <c r="E247" s="54">
        <v>41690</v>
      </c>
      <c r="F247" s="54"/>
      <c r="G247" s="54">
        <f t="shared" si="273"/>
        <v>41690</v>
      </c>
      <c r="H247" s="54"/>
      <c r="I247" s="54">
        <f t="shared" si="274"/>
        <v>41690</v>
      </c>
      <c r="J247" s="54"/>
      <c r="K247" s="54">
        <f t="shared" si="275"/>
        <v>41690</v>
      </c>
      <c r="L247" s="54">
        <f>-1270-1500-580</f>
        <v>-3350</v>
      </c>
      <c r="M247" s="54">
        <f t="shared" si="276"/>
        <v>38340</v>
      </c>
      <c r="N247" s="54"/>
      <c r="O247" s="54">
        <f t="shared" si="277"/>
        <v>38340</v>
      </c>
      <c r="P247" s="54"/>
      <c r="Q247" s="54">
        <f t="shared" si="278"/>
        <v>38340</v>
      </c>
      <c r="R247" s="54"/>
      <c r="S247" s="54">
        <f t="shared" si="279"/>
        <v>38340</v>
      </c>
      <c r="T247" s="54"/>
      <c r="U247" s="54">
        <f t="shared" si="280"/>
        <v>38340</v>
      </c>
      <c r="V247" s="54"/>
      <c r="W247" s="54">
        <f t="shared" si="281"/>
        <v>38340</v>
      </c>
      <c r="X247" s="54"/>
      <c r="Y247" s="54">
        <f t="shared" si="282"/>
        <v>38340</v>
      </c>
      <c r="Z247" s="54"/>
      <c r="AA247" s="54">
        <f t="shared" si="283"/>
        <v>38340</v>
      </c>
      <c r="AB247" s="54"/>
      <c r="AC247" s="54">
        <f t="shared" si="284"/>
        <v>38340</v>
      </c>
      <c r="AD247" s="54">
        <v>400</v>
      </c>
      <c r="AE247" s="54">
        <f t="shared" si="285"/>
        <v>38740</v>
      </c>
      <c r="AF247" s="54">
        <v>2900</v>
      </c>
      <c r="AG247" s="54">
        <f t="shared" si="286"/>
        <v>41640</v>
      </c>
      <c r="AH247" s="54">
        <v>-22</v>
      </c>
      <c r="AI247" s="54">
        <f t="shared" si="287"/>
        <v>41618</v>
      </c>
      <c r="AJ247" s="54"/>
      <c r="AK247" s="54">
        <f t="shared" si="288"/>
        <v>41618</v>
      </c>
    </row>
    <row r="248" spans="1:41" s="20" customFormat="1" ht="24">
      <c r="A248" s="41"/>
      <c r="B248" s="55"/>
      <c r="C248" s="135">
        <v>6050</v>
      </c>
      <c r="D248" s="12" t="s">
        <v>69</v>
      </c>
      <c r="E248" s="54">
        <v>2100000</v>
      </c>
      <c r="F248" s="54">
        <v>-1200000</v>
      </c>
      <c r="G248" s="54">
        <f t="shared" si="273"/>
        <v>900000</v>
      </c>
      <c r="H248" s="54"/>
      <c r="I248" s="54">
        <f t="shared" si="274"/>
        <v>900000</v>
      </c>
      <c r="J248" s="54"/>
      <c r="K248" s="54">
        <f t="shared" si="275"/>
        <v>900000</v>
      </c>
      <c r="L248" s="54"/>
      <c r="M248" s="54">
        <f t="shared" si="276"/>
        <v>900000</v>
      </c>
      <c r="N248" s="54"/>
      <c r="O248" s="54">
        <f t="shared" si="277"/>
        <v>900000</v>
      </c>
      <c r="P248" s="54"/>
      <c r="Q248" s="54">
        <f t="shared" si="278"/>
        <v>900000</v>
      </c>
      <c r="R248" s="54"/>
      <c r="S248" s="54">
        <f t="shared" si="279"/>
        <v>900000</v>
      </c>
      <c r="T248" s="54"/>
      <c r="U248" s="54">
        <f t="shared" si="280"/>
        <v>900000</v>
      </c>
      <c r="V248" s="54"/>
      <c r="W248" s="54">
        <f t="shared" si="281"/>
        <v>900000</v>
      </c>
      <c r="X248" s="54"/>
      <c r="Y248" s="54">
        <f t="shared" si="282"/>
        <v>900000</v>
      </c>
      <c r="Z248" s="54"/>
      <c r="AA248" s="54">
        <f t="shared" si="283"/>
        <v>900000</v>
      </c>
      <c r="AB248" s="54"/>
      <c r="AC248" s="54">
        <f t="shared" si="284"/>
        <v>900000</v>
      </c>
      <c r="AD248" s="54"/>
      <c r="AE248" s="54">
        <f t="shared" si="285"/>
        <v>900000</v>
      </c>
      <c r="AF248" s="54"/>
      <c r="AG248" s="54">
        <f t="shared" si="286"/>
        <v>900000</v>
      </c>
      <c r="AH248" s="54"/>
      <c r="AI248" s="54">
        <f t="shared" si="287"/>
        <v>900000</v>
      </c>
      <c r="AJ248" s="54"/>
      <c r="AK248" s="54">
        <f t="shared" si="288"/>
        <v>900000</v>
      </c>
      <c r="AN248" s="67"/>
      <c r="AO248" s="67"/>
    </row>
    <row r="249" spans="1:37" s="20" customFormat="1" ht="24">
      <c r="A249" s="41"/>
      <c r="B249" s="55">
        <v>80103</v>
      </c>
      <c r="C249" s="135"/>
      <c r="D249" s="31" t="s">
        <v>167</v>
      </c>
      <c r="E249" s="54">
        <f aca="true" t="shared" si="289" ref="E249:W249">SUM(E250:E263)</f>
        <v>449927</v>
      </c>
      <c r="F249" s="54">
        <f t="shared" si="289"/>
        <v>0</v>
      </c>
      <c r="G249" s="54">
        <f t="shared" si="289"/>
        <v>449927</v>
      </c>
      <c r="H249" s="54">
        <f t="shared" si="289"/>
        <v>0</v>
      </c>
      <c r="I249" s="54">
        <f t="shared" si="289"/>
        <v>449927</v>
      </c>
      <c r="J249" s="54">
        <f t="shared" si="289"/>
        <v>0</v>
      </c>
      <c r="K249" s="54">
        <f t="shared" si="289"/>
        <v>449927</v>
      </c>
      <c r="L249" s="54">
        <f t="shared" si="289"/>
        <v>0</v>
      </c>
      <c r="M249" s="54">
        <f t="shared" si="289"/>
        <v>449927</v>
      </c>
      <c r="N249" s="54">
        <f t="shared" si="289"/>
        <v>0</v>
      </c>
      <c r="O249" s="54">
        <f t="shared" si="289"/>
        <v>449927</v>
      </c>
      <c r="P249" s="54">
        <f t="shared" si="289"/>
        <v>0</v>
      </c>
      <c r="Q249" s="54">
        <f t="shared" si="289"/>
        <v>449927</v>
      </c>
      <c r="R249" s="54">
        <f t="shared" si="289"/>
        <v>0</v>
      </c>
      <c r="S249" s="54">
        <f t="shared" si="289"/>
        <v>449927</v>
      </c>
      <c r="T249" s="54">
        <f t="shared" si="289"/>
        <v>0</v>
      </c>
      <c r="U249" s="54">
        <f t="shared" si="289"/>
        <v>449927</v>
      </c>
      <c r="V249" s="54">
        <f t="shared" si="289"/>
        <v>0</v>
      </c>
      <c r="W249" s="54">
        <f t="shared" si="289"/>
        <v>449927</v>
      </c>
      <c r="X249" s="54">
        <f aca="true" t="shared" si="290" ref="X249:AC249">SUM(X250:X263)</f>
        <v>0</v>
      </c>
      <c r="Y249" s="54">
        <f t="shared" si="290"/>
        <v>449927</v>
      </c>
      <c r="Z249" s="54">
        <f t="shared" si="290"/>
        <v>15386</v>
      </c>
      <c r="AA249" s="54">
        <f t="shared" si="290"/>
        <v>465313</v>
      </c>
      <c r="AB249" s="54">
        <f t="shared" si="290"/>
        <v>16441</v>
      </c>
      <c r="AC249" s="54">
        <f t="shared" si="290"/>
        <v>481754</v>
      </c>
      <c r="AD249" s="54">
        <f aca="true" t="shared" si="291" ref="AD249:AI249">SUM(AD250:AD263)</f>
        <v>-5760</v>
      </c>
      <c r="AE249" s="54">
        <f t="shared" si="291"/>
        <v>475994</v>
      </c>
      <c r="AF249" s="54">
        <f t="shared" si="291"/>
        <v>3494</v>
      </c>
      <c r="AG249" s="54">
        <f t="shared" si="291"/>
        <v>479488</v>
      </c>
      <c r="AH249" s="54">
        <f t="shared" si="291"/>
        <v>-1854</v>
      </c>
      <c r="AI249" s="54">
        <f t="shared" si="291"/>
        <v>477634</v>
      </c>
      <c r="AJ249" s="54">
        <f>SUM(AJ250:AJ263)</f>
        <v>0</v>
      </c>
      <c r="AK249" s="54">
        <f>SUM(AK250:AK263)</f>
        <v>477634</v>
      </c>
    </row>
    <row r="250" spans="1:43" s="20" customFormat="1" ht="24">
      <c r="A250" s="41"/>
      <c r="B250" s="55"/>
      <c r="C250" s="58">
        <v>2540</v>
      </c>
      <c r="D250" s="31" t="s">
        <v>333</v>
      </c>
      <c r="E250" s="54">
        <v>61433</v>
      </c>
      <c r="F250" s="54"/>
      <c r="G250" s="54">
        <f t="shared" si="273"/>
        <v>61433</v>
      </c>
      <c r="H250" s="54"/>
      <c r="I250" s="54">
        <f aca="true" t="shared" si="292" ref="I250:I263">SUM(G250:H250)</f>
        <v>61433</v>
      </c>
      <c r="J250" s="54"/>
      <c r="K250" s="54">
        <f aca="true" t="shared" si="293" ref="K250:K263">SUM(I250:J250)</f>
        <v>61433</v>
      </c>
      <c r="L250" s="54"/>
      <c r="M250" s="54">
        <f aca="true" t="shared" si="294" ref="M250:M263">SUM(K250:L250)</f>
        <v>61433</v>
      </c>
      <c r="N250" s="54"/>
      <c r="O250" s="54">
        <f aca="true" t="shared" si="295" ref="O250:O263">SUM(M250:N250)</f>
        <v>61433</v>
      </c>
      <c r="P250" s="54"/>
      <c r="Q250" s="54">
        <f aca="true" t="shared" si="296" ref="Q250:Q263">SUM(O250:P250)</f>
        <v>61433</v>
      </c>
      <c r="R250" s="54"/>
      <c r="S250" s="54">
        <f aca="true" t="shared" si="297" ref="S250:S263">SUM(Q250:R250)</f>
        <v>61433</v>
      </c>
      <c r="T250" s="54"/>
      <c r="U250" s="54">
        <f aca="true" t="shared" si="298" ref="U250:U263">SUM(S250:T250)</f>
        <v>61433</v>
      </c>
      <c r="V250" s="54"/>
      <c r="W250" s="54">
        <f aca="true" t="shared" si="299" ref="W250:W263">SUM(U250:V250)</f>
        <v>61433</v>
      </c>
      <c r="X250" s="54"/>
      <c r="Y250" s="54">
        <f aca="true" t="shared" si="300" ref="Y250:Y263">SUM(W250:X250)</f>
        <v>61433</v>
      </c>
      <c r="Z250" s="54">
        <v>-20400</v>
      </c>
      <c r="AA250" s="54">
        <f aca="true" t="shared" si="301" ref="AA250:AA263">SUM(Y250:Z250)</f>
        <v>41033</v>
      </c>
      <c r="AB250" s="54"/>
      <c r="AC250" s="54">
        <f aca="true" t="shared" si="302" ref="AC250:AC263">SUM(AA250:AB250)</f>
        <v>41033</v>
      </c>
      <c r="AD250" s="54"/>
      <c r="AE250" s="54">
        <f aca="true" t="shared" si="303" ref="AE250:AE263">SUM(AC250:AD250)</f>
        <v>41033</v>
      </c>
      <c r="AF250" s="54"/>
      <c r="AG250" s="54">
        <f aca="true" t="shared" si="304" ref="AG250:AG263">SUM(AE250:AF250)</f>
        <v>41033</v>
      </c>
      <c r="AH250" s="54"/>
      <c r="AI250" s="54">
        <f aca="true" t="shared" si="305" ref="AI250:AI263">SUM(AG250:AH250)</f>
        <v>41033</v>
      </c>
      <c r="AJ250" s="54"/>
      <c r="AK250" s="54">
        <f aca="true" t="shared" si="306" ref="AK250:AK263">SUM(AI250:AJ250)</f>
        <v>41033</v>
      </c>
      <c r="AP250" s="67"/>
      <c r="AQ250" s="67"/>
    </row>
    <row r="251" spans="1:43" s="20" customFormat="1" ht="60">
      <c r="A251" s="41"/>
      <c r="B251" s="55"/>
      <c r="C251" s="58">
        <v>2590</v>
      </c>
      <c r="D251" s="31" t="s">
        <v>343</v>
      </c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>
        <v>0</v>
      </c>
      <c r="Z251" s="54">
        <v>9321</v>
      </c>
      <c r="AA251" s="54">
        <f t="shared" si="301"/>
        <v>9321</v>
      </c>
      <c r="AB251" s="54"/>
      <c r="AC251" s="54">
        <f t="shared" si="302"/>
        <v>9321</v>
      </c>
      <c r="AD251" s="54"/>
      <c r="AE251" s="54">
        <f t="shared" si="303"/>
        <v>9321</v>
      </c>
      <c r="AF251" s="54"/>
      <c r="AG251" s="54">
        <f t="shared" si="304"/>
        <v>9321</v>
      </c>
      <c r="AH251" s="54"/>
      <c r="AI251" s="54">
        <f t="shared" si="305"/>
        <v>9321</v>
      </c>
      <c r="AJ251" s="54"/>
      <c r="AK251" s="54">
        <f t="shared" si="306"/>
        <v>9321</v>
      </c>
      <c r="AP251" s="67"/>
      <c r="AQ251" s="67"/>
    </row>
    <row r="252" spans="1:37" s="20" customFormat="1" ht="24">
      <c r="A252" s="41"/>
      <c r="B252" s="55"/>
      <c r="C252" s="58">
        <v>3020</v>
      </c>
      <c r="D252" s="31" t="s">
        <v>159</v>
      </c>
      <c r="E252" s="54">
        <v>19723</v>
      </c>
      <c r="F252" s="54"/>
      <c r="G252" s="54">
        <f t="shared" si="273"/>
        <v>19723</v>
      </c>
      <c r="H252" s="54"/>
      <c r="I252" s="54">
        <f t="shared" si="292"/>
        <v>19723</v>
      </c>
      <c r="J252" s="54"/>
      <c r="K252" s="54">
        <f t="shared" si="293"/>
        <v>19723</v>
      </c>
      <c r="L252" s="54"/>
      <c r="M252" s="54">
        <f t="shared" si="294"/>
        <v>19723</v>
      </c>
      <c r="N252" s="54"/>
      <c r="O252" s="54">
        <f t="shared" si="295"/>
        <v>19723</v>
      </c>
      <c r="P252" s="54"/>
      <c r="Q252" s="54">
        <f t="shared" si="296"/>
        <v>19723</v>
      </c>
      <c r="R252" s="54"/>
      <c r="S252" s="54">
        <f t="shared" si="297"/>
        <v>19723</v>
      </c>
      <c r="T252" s="54"/>
      <c r="U252" s="54">
        <f t="shared" si="298"/>
        <v>19723</v>
      </c>
      <c r="V252" s="54"/>
      <c r="W252" s="54">
        <f t="shared" si="299"/>
        <v>19723</v>
      </c>
      <c r="X252" s="54"/>
      <c r="Y252" s="54">
        <f t="shared" si="300"/>
        <v>19723</v>
      </c>
      <c r="Z252" s="54"/>
      <c r="AA252" s="54">
        <f t="shared" si="301"/>
        <v>19723</v>
      </c>
      <c r="AB252" s="54">
        <v>1150</v>
      </c>
      <c r="AC252" s="54">
        <f t="shared" si="302"/>
        <v>20873</v>
      </c>
      <c r="AD252" s="54"/>
      <c r="AE252" s="54">
        <f t="shared" si="303"/>
        <v>20873</v>
      </c>
      <c r="AF252" s="54">
        <v>-686</v>
      </c>
      <c r="AG252" s="54">
        <f t="shared" si="304"/>
        <v>20187</v>
      </c>
      <c r="AH252" s="54">
        <v>-125</v>
      </c>
      <c r="AI252" s="54">
        <f t="shared" si="305"/>
        <v>20062</v>
      </c>
      <c r="AJ252" s="54"/>
      <c r="AK252" s="54">
        <f t="shared" si="306"/>
        <v>20062</v>
      </c>
    </row>
    <row r="253" spans="1:39" s="20" customFormat="1" ht="21" customHeight="1">
      <c r="A253" s="41"/>
      <c r="B253" s="55"/>
      <c r="C253" s="58">
        <v>4010</v>
      </c>
      <c r="D253" s="31" t="s">
        <v>79</v>
      </c>
      <c r="E253" s="54">
        <v>258770</v>
      </c>
      <c r="F253" s="54"/>
      <c r="G253" s="54">
        <f t="shared" si="273"/>
        <v>258770</v>
      </c>
      <c r="H253" s="54"/>
      <c r="I253" s="54">
        <f t="shared" si="292"/>
        <v>258770</v>
      </c>
      <c r="J253" s="54">
        <v>940</v>
      </c>
      <c r="K253" s="54">
        <f t="shared" si="293"/>
        <v>259710</v>
      </c>
      <c r="L253" s="54"/>
      <c r="M253" s="54">
        <f t="shared" si="294"/>
        <v>259710</v>
      </c>
      <c r="N253" s="54"/>
      <c r="O253" s="54">
        <f t="shared" si="295"/>
        <v>259710</v>
      </c>
      <c r="P253" s="54"/>
      <c r="Q253" s="54">
        <f t="shared" si="296"/>
        <v>259710</v>
      </c>
      <c r="R253" s="54"/>
      <c r="S253" s="54">
        <f t="shared" si="297"/>
        <v>259710</v>
      </c>
      <c r="T253" s="54"/>
      <c r="U253" s="54">
        <f t="shared" si="298"/>
        <v>259710</v>
      </c>
      <c r="V253" s="54"/>
      <c r="W253" s="54">
        <f t="shared" si="299"/>
        <v>259710</v>
      </c>
      <c r="X253" s="54"/>
      <c r="Y253" s="54">
        <f t="shared" si="300"/>
        <v>259710</v>
      </c>
      <c r="Z253" s="54">
        <v>12149</v>
      </c>
      <c r="AA253" s="54">
        <f t="shared" si="301"/>
        <v>271859</v>
      </c>
      <c r="AB253" s="54">
        <v>12825</v>
      </c>
      <c r="AC253" s="54">
        <f t="shared" si="302"/>
        <v>284684</v>
      </c>
      <c r="AD253" s="54"/>
      <c r="AE253" s="54">
        <f t="shared" si="303"/>
        <v>284684</v>
      </c>
      <c r="AF253" s="54">
        <f>3761-2313</f>
        <v>1448</v>
      </c>
      <c r="AG253" s="54">
        <f t="shared" si="304"/>
        <v>286132</v>
      </c>
      <c r="AH253" s="54">
        <v>-920</v>
      </c>
      <c r="AI253" s="54">
        <f t="shared" si="305"/>
        <v>285212</v>
      </c>
      <c r="AJ253" s="54"/>
      <c r="AK253" s="54">
        <f t="shared" si="306"/>
        <v>285212</v>
      </c>
      <c r="AL253" s="67"/>
      <c r="AM253" s="67"/>
    </row>
    <row r="254" spans="1:39" s="20" customFormat="1" ht="21" customHeight="1">
      <c r="A254" s="41"/>
      <c r="B254" s="55"/>
      <c r="C254" s="58">
        <v>4040</v>
      </c>
      <c r="D254" s="31" t="s">
        <v>80</v>
      </c>
      <c r="E254" s="54">
        <v>19531</v>
      </c>
      <c r="F254" s="54"/>
      <c r="G254" s="54">
        <f t="shared" si="273"/>
        <v>19531</v>
      </c>
      <c r="H254" s="54"/>
      <c r="I254" s="54">
        <f t="shared" si="292"/>
        <v>19531</v>
      </c>
      <c r="J254" s="54">
        <v>-940</v>
      </c>
      <c r="K254" s="54">
        <f t="shared" si="293"/>
        <v>18591</v>
      </c>
      <c r="L254" s="54"/>
      <c r="M254" s="54">
        <f t="shared" si="294"/>
        <v>18591</v>
      </c>
      <c r="N254" s="54"/>
      <c r="O254" s="54">
        <f t="shared" si="295"/>
        <v>18591</v>
      </c>
      <c r="P254" s="54"/>
      <c r="Q254" s="54">
        <f t="shared" si="296"/>
        <v>18591</v>
      </c>
      <c r="R254" s="54"/>
      <c r="S254" s="54">
        <f t="shared" si="297"/>
        <v>18591</v>
      </c>
      <c r="T254" s="54"/>
      <c r="U254" s="54">
        <f t="shared" si="298"/>
        <v>18591</v>
      </c>
      <c r="V254" s="54"/>
      <c r="W254" s="54">
        <f t="shared" si="299"/>
        <v>18591</v>
      </c>
      <c r="X254" s="54"/>
      <c r="Y254" s="54">
        <f t="shared" si="300"/>
        <v>18591</v>
      </c>
      <c r="Z254" s="54"/>
      <c r="AA254" s="54">
        <f t="shared" si="301"/>
        <v>18591</v>
      </c>
      <c r="AB254" s="54"/>
      <c r="AC254" s="54">
        <f t="shared" si="302"/>
        <v>18591</v>
      </c>
      <c r="AD254" s="54"/>
      <c r="AE254" s="54">
        <f t="shared" si="303"/>
        <v>18591</v>
      </c>
      <c r="AF254" s="54"/>
      <c r="AG254" s="54">
        <f t="shared" si="304"/>
        <v>18591</v>
      </c>
      <c r="AH254" s="54"/>
      <c r="AI254" s="54">
        <f t="shared" si="305"/>
        <v>18591</v>
      </c>
      <c r="AJ254" s="54"/>
      <c r="AK254" s="54">
        <f t="shared" si="306"/>
        <v>18591</v>
      </c>
      <c r="AL254" s="67"/>
      <c r="AM254" s="67"/>
    </row>
    <row r="255" spans="1:39" s="20" customFormat="1" ht="21" customHeight="1">
      <c r="A255" s="41"/>
      <c r="B255" s="55"/>
      <c r="C255" s="58">
        <v>4110</v>
      </c>
      <c r="D255" s="31" t="s">
        <v>81</v>
      </c>
      <c r="E255" s="54">
        <v>43218</v>
      </c>
      <c r="F255" s="54"/>
      <c r="G255" s="54">
        <f t="shared" si="273"/>
        <v>43218</v>
      </c>
      <c r="H255" s="54"/>
      <c r="I255" s="54">
        <f t="shared" si="292"/>
        <v>43218</v>
      </c>
      <c r="J255" s="54"/>
      <c r="K255" s="54">
        <f t="shared" si="293"/>
        <v>43218</v>
      </c>
      <c r="L255" s="54"/>
      <c r="M255" s="54">
        <f t="shared" si="294"/>
        <v>43218</v>
      </c>
      <c r="N255" s="54"/>
      <c r="O255" s="54">
        <f t="shared" si="295"/>
        <v>43218</v>
      </c>
      <c r="P255" s="54"/>
      <c r="Q255" s="54">
        <f t="shared" si="296"/>
        <v>43218</v>
      </c>
      <c r="R255" s="54"/>
      <c r="S255" s="54">
        <f t="shared" si="297"/>
        <v>43218</v>
      </c>
      <c r="T255" s="54"/>
      <c r="U255" s="54">
        <f t="shared" si="298"/>
        <v>43218</v>
      </c>
      <c r="V255" s="54"/>
      <c r="W255" s="54">
        <f t="shared" si="299"/>
        <v>43218</v>
      </c>
      <c r="X255" s="54"/>
      <c r="Y255" s="54">
        <f t="shared" si="300"/>
        <v>43218</v>
      </c>
      <c r="Z255" s="54">
        <v>1846</v>
      </c>
      <c r="AA255" s="54">
        <f t="shared" si="301"/>
        <v>45064</v>
      </c>
      <c r="AB255" s="54">
        <v>2123</v>
      </c>
      <c r="AC255" s="54">
        <f t="shared" si="302"/>
        <v>47187</v>
      </c>
      <c r="AD255" s="54"/>
      <c r="AE255" s="54">
        <f t="shared" si="303"/>
        <v>47187</v>
      </c>
      <c r="AF255" s="54">
        <f>3331-463</f>
        <v>2868</v>
      </c>
      <c r="AG255" s="54">
        <f t="shared" si="304"/>
        <v>50055</v>
      </c>
      <c r="AH255" s="54">
        <v>-241</v>
      </c>
      <c r="AI255" s="54">
        <f t="shared" si="305"/>
        <v>49814</v>
      </c>
      <c r="AJ255" s="54"/>
      <c r="AK255" s="54">
        <f t="shared" si="306"/>
        <v>49814</v>
      </c>
      <c r="AL255" s="67"/>
      <c r="AM255" s="67"/>
    </row>
    <row r="256" spans="1:39" s="20" customFormat="1" ht="21" customHeight="1">
      <c r="A256" s="41"/>
      <c r="B256" s="55"/>
      <c r="C256" s="58">
        <v>4120</v>
      </c>
      <c r="D256" s="31" t="s">
        <v>82</v>
      </c>
      <c r="E256" s="54">
        <v>7444</v>
      </c>
      <c r="F256" s="54"/>
      <c r="G256" s="54">
        <f t="shared" si="273"/>
        <v>7444</v>
      </c>
      <c r="H256" s="54"/>
      <c r="I256" s="54">
        <f t="shared" si="292"/>
        <v>7444</v>
      </c>
      <c r="J256" s="54"/>
      <c r="K256" s="54">
        <f t="shared" si="293"/>
        <v>7444</v>
      </c>
      <c r="L256" s="54"/>
      <c r="M256" s="54">
        <f t="shared" si="294"/>
        <v>7444</v>
      </c>
      <c r="N256" s="54"/>
      <c r="O256" s="54">
        <f t="shared" si="295"/>
        <v>7444</v>
      </c>
      <c r="P256" s="54"/>
      <c r="Q256" s="54">
        <f t="shared" si="296"/>
        <v>7444</v>
      </c>
      <c r="R256" s="54"/>
      <c r="S256" s="54">
        <f t="shared" si="297"/>
        <v>7444</v>
      </c>
      <c r="T256" s="54"/>
      <c r="U256" s="54">
        <f t="shared" si="298"/>
        <v>7444</v>
      </c>
      <c r="V256" s="54"/>
      <c r="W256" s="54">
        <f t="shared" si="299"/>
        <v>7444</v>
      </c>
      <c r="X256" s="54"/>
      <c r="Y256" s="54">
        <f t="shared" si="300"/>
        <v>7444</v>
      </c>
      <c r="Z256" s="54">
        <v>298</v>
      </c>
      <c r="AA256" s="54">
        <f t="shared" si="301"/>
        <v>7742</v>
      </c>
      <c r="AB256" s="54">
        <v>343</v>
      </c>
      <c r="AC256" s="54">
        <f t="shared" si="302"/>
        <v>8085</v>
      </c>
      <c r="AD256" s="54"/>
      <c r="AE256" s="54">
        <f t="shared" si="303"/>
        <v>8085</v>
      </c>
      <c r="AF256" s="54">
        <f>6-142</f>
        <v>-136</v>
      </c>
      <c r="AG256" s="54">
        <f t="shared" si="304"/>
        <v>7949</v>
      </c>
      <c r="AH256" s="54">
        <v>-39</v>
      </c>
      <c r="AI256" s="54">
        <f t="shared" si="305"/>
        <v>7910</v>
      </c>
      <c r="AJ256" s="54"/>
      <c r="AK256" s="54">
        <f t="shared" si="306"/>
        <v>7910</v>
      </c>
      <c r="AL256" s="67"/>
      <c r="AM256" s="67"/>
    </row>
    <row r="257" spans="1:37" s="20" customFormat="1" ht="21" customHeight="1">
      <c r="A257" s="41"/>
      <c r="B257" s="55"/>
      <c r="C257" s="58">
        <v>4210</v>
      </c>
      <c r="D257" s="31" t="s">
        <v>68</v>
      </c>
      <c r="E257" s="54">
        <f>1700+8950</f>
        <v>10650</v>
      </c>
      <c r="F257" s="54"/>
      <c r="G257" s="54">
        <f t="shared" si="273"/>
        <v>10650</v>
      </c>
      <c r="H257" s="54"/>
      <c r="I257" s="54">
        <f t="shared" si="292"/>
        <v>10650</v>
      </c>
      <c r="J257" s="54">
        <v>-1400</v>
      </c>
      <c r="K257" s="54">
        <f t="shared" si="293"/>
        <v>9250</v>
      </c>
      <c r="L257" s="54"/>
      <c r="M257" s="54">
        <f t="shared" si="294"/>
        <v>9250</v>
      </c>
      <c r="N257" s="54"/>
      <c r="O257" s="54">
        <f t="shared" si="295"/>
        <v>9250</v>
      </c>
      <c r="P257" s="54"/>
      <c r="Q257" s="54">
        <f t="shared" si="296"/>
        <v>9250</v>
      </c>
      <c r="R257" s="54"/>
      <c r="S257" s="54">
        <f t="shared" si="297"/>
        <v>9250</v>
      </c>
      <c r="T257" s="54"/>
      <c r="U257" s="54">
        <f t="shared" si="298"/>
        <v>9250</v>
      </c>
      <c r="V257" s="54"/>
      <c r="W257" s="54">
        <f t="shared" si="299"/>
        <v>9250</v>
      </c>
      <c r="X257" s="54"/>
      <c r="Y257" s="54">
        <f t="shared" si="300"/>
        <v>9250</v>
      </c>
      <c r="Z257" s="54">
        <v>9300</v>
      </c>
      <c r="AA257" s="54">
        <f t="shared" si="301"/>
        <v>18550</v>
      </c>
      <c r="AB257" s="54"/>
      <c r="AC257" s="54">
        <f t="shared" si="302"/>
        <v>18550</v>
      </c>
      <c r="AD257" s="54">
        <v>-2500</v>
      </c>
      <c r="AE257" s="54">
        <f t="shared" si="303"/>
        <v>16050</v>
      </c>
      <c r="AF257" s="54">
        <v>704</v>
      </c>
      <c r="AG257" s="54">
        <f t="shared" si="304"/>
        <v>16754</v>
      </c>
      <c r="AH257" s="54">
        <v>23</v>
      </c>
      <c r="AI257" s="54">
        <f t="shared" si="305"/>
        <v>16777</v>
      </c>
      <c r="AJ257" s="54"/>
      <c r="AK257" s="54">
        <f t="shared" si="306"/>
        <v>16777</v>
      </c>
    </row>
    <row r="258" spans="1:37" s="20" customFormat="1" ht="24">
      <c r="A258" s="41"/>
      <c r="B258" s="55"/>
      <c r="C258" s="58">
        <v>4240</v>
      </c>
      <c r="D258" s="31" t="s">
        <v>101</v>
      </c>
      <c r="E258" s="54">
        <v>3200</v>
      </c>
      <c r="F258" s="54"/>
      <c r="G258" s="54">
        <f t="shared" si="273"/>
        <v>3200</v>
      </c>
      <c r="H258" s="54"/>
      <c r="I258" s="54">
        <f t="shared" si="292"/>
        <v>3200</v>
      </c>
      <c r="J258" s="54">
        <v>1400</v>
      </c>
      <c r="K258" s="54">
        <f t="shared" si="293"/>
        <v>4600</v>
      </c>
      <c r="L258" s="54"/>
      <c r="M258" s="54">
        <f t="shared" si="294"/>
        <v>4600</v>
      </c>
      <c r="N258" s="54"/>
      <c r="O258" s="54">
        <f t="shared" si="295"/>
        <v>4600</v>
      </c>
      <c r="P258" s="54"/>
      <c r="Q258" s="54">
        <f t="shared" si="296"/>
        <v>4600</v>
      </c>
      <c r="R258" s="54"/>
      <c r="S258" s="54">
        <f t="shared" si="297"/>
        <v>4600</v>
      </c>
      <c r="T258" s="54"/>
      <c r="U258" s="54">
        <f t="shared" si="298"/>
        <v>4600</v>
      </c>
      <c r="V258" s="54"/>
      <c r="W258" s="54">
        <f t="shared" si="299"/>
        <v>4600</v>
      </c>
      <c r="X258" s="54"/>
      <c r="Y258" s="54">
        <f t="shared" si="300"/>
        <v>4600</v>
      </c>
      <c r="Z258" s="54">
        <v>1700</v>
      </c>
      <c r="AA258" s="54">
        <f t="shared" si="301"/>
        <v>6300</v>
      </c>
      <c r="AB258" s="54"/>
      <c r="AC258" s="54">
        <f t="shared" si="302"/>
        <v>6300</v>
      </c>
      <c r="AD258" s="54">
        <v>1500</v>
      </c>
      <c r="AE258" s="54">
        <f t="shared" si="303"/>
        <v>7800</v>
      </c>
      <c r="AF258" s="54">
        <v>-704</v>
      </c>
      <c r="AG258" s="54">
        <f t="shared" si="304"/>
        <v>7096</v>
      </c>
      <c r="AH258" s="54"/>
      <c r="AI258" s="54">
        <f t="shared" si="305"/>
        <v>7096</v>
      </c>
      <c r="AJ258" s="54"/>
      <c r="AK258" s="54">
        <f t="shared" si="306"/>
        <v>7096</v>
      </c>
    </row>
    <row r="259" spans="1:37" s="20" customFormat="1" ht="21" customHeight="1">
      <c r="A259" s="41"/>
      <c r="B259" s="55"/>
      <c r="C259" s="58">
        <v>4260</v>
      </c>
      <c r="D259" s="31" t="s">
        <v>88</v>
      </c>
      <c r="E259" s="54">
        <v>600</v>
      </c>
      <c r="F259" s="54"/>
      <c r="G259" s="54">
        <f t="shared" si="273"/>
        <v>600</v>
      </c>
      <c r="H259" s="54"/>
      <c r="I259" s="54">
        <f t="shared" si="292"/>
        <v>600</v>
      </c>
      <c r="J259" s="54"/>
      <c r="K259" s="54">
        <f t="shared" si="293"/>
        <v>600</v>
      </c>
      <c r="L259" s="54"/>
      <c r="M259" s="54">
        <f t="shared" si="294"/>
        <v>600</v>
      </c>
      <c r="N259" s="54"/>
      <c r="O259" s="54">
        <f t="shared" si="295"/>
        <v>600</v>
      </c>
      <c r="P259" s="54"/>
      <c r="Q259" s="54">
        <f t="shared" si="296"/>
        <v>600</v>
      </c>
      <c r="R259" s="54"/>
      <c r="S259" s="54">
        <f t="shared" si="297"/>
        <v>600</v>
      </c>
      <c r="T259" s="54"/>
      <c r="U259" s="54">
        <f t="shared" si="298"/>
        <v>600</v>
      </c>
      <c r="V259" s="54"/>
      <c r="W259" s="54">
        <f t="shared" si="299"/>
        <v>600</v>
      </c>
      <c r="X259" s="54"/>
      <c r="Y259" s="54">
        <f t="shared" si="300"/>
        <v>600</v>
      </c>
      <c r="Z259" s="54"/>
      <c r="AA259" s="54">
        <f t="shared" si="301"/>
        <v>600</v>
      </c>
      <c r="AB259" s="54"/>
      <c r="AC259" s="54">
        <f t="shared" si="302"/>
        <v>600</v>
      </c>
      <c r="AD259" s="54">
        <v>240</v>
      </c>
      <c r="AE259" s="54">
        <f t="shared" si="303"/>
        <v>840</v>
      </c>
      <c r="AF259" s="54"/>
      <c r="AG259" s="54">
        <f t="shared" si="304"/>
        <v>840</v>
      </c>
      <c r="AH259" s="54">
        <v>-23</v>
      </c>
      <c r="AI259" s="54">
        <f t="shared" si="305"/>
        <v>817</v>
      </c>
      <c r="AJ259" s="54"/>
      <c r="AK259" s="54">
        <f t="shared" si="306"/>
        <v>817</v>
      </c>
    </row>
    <row r="260" spans="1:37" s="20" customFormat="1" ht="21" customHeight="1">
      <c r="A260" s="41"/>
      <c r="B260" s="55"/>
      <c r="C260" s="58">
        <v>4270</v>
      </c>
      <c r="D260" s="31" t="s">
        <v>74</v>
      </c>
      <c r="E260" s="54">
        <v>6000</v>
      </c>
      <c r="F260" s="54"/>
      <c r="G260" s="54">
        <f t="shared" si="273"/>
        <v>6000</v>
      </c>
      <c r="H260" s="54"/>
      <c r="I260" s="54">
        <f t="shared" si="292"/>
        <v>6000</v>
      </c>
      <c r="J260" s="54"/>
      <c r="K260" s="54">
        <f t="shared" si="293"/>
        <v>6000</v>
      </c>
      <c r="L260" s="54"/>
      <c r="M260" s="54">
        <f t="shared" si="294"/>
        <v>6000</v>
      </c>
      <c r="N260" s="54"/>
      <c r="O260" s="54">
        <f t="shared" si="295"/>
        <v>6000</v>
      </c>
      <c r="P260" s="54"/>
      <c r="Q260" s="54">
        <f t="shared" si="296"/>
        <v>6000</v>
      </c>
      <c r="R260" s="54"/>
      <c r="S260" s="54">
        <f t="shared" si="297"/>
        <v>6000</v>
      </c>
      <c r="T260" s="54"/>
      <c r="U260" s="54">
        <f t="shared" si="298"/>
        <v>6000</v>
      </c>
      <c r="V260" s="54"/>
      <c r="W260" s="54">
        <f t="shared" si="299"/>
        <v>6000</v>
      </c>
      <c r="X260" s="54"/>
      <c r="Y260" s="54">
        <f t="shared" si="300"/>
        <v>6000</v>
      </c>
      <c r="Z260" s="54"/>
      <c r="AA260" s="54">
        <f t="shared" si="301"/>
        <v>6000</v>
      </c>
      <c r="AB260" s="54"/>
      <c r="AC260" s="54">
        <f t="shared" si="302"/>
        <v>6000</v>
      </c>
      <c r="AD260" s="54">
        <f>740-5740</f>
        <v>-5000</v>
      </c>
      <c r="AE260" s="54">
        <f t="shared" si="303"/>
        <v>1000</v>
      </c>
      <c r="AF260" s="54"/>
      <c r="AG260" s="54">
        <f t="shared" si="304"/>
        <v>1000</v>
      </c>
      <c r="AH260" s="54"/>
      <c r="AI260" s="54">
        <f t="shared" si="305"/>
        <v>1000</v>
      </c>
      <c r="AJ260" s="54"/>
      <c r="AK260" s="54">
        <f t="shared" si="306"/>
        <v>1000</v>
      </c>
    </row>
    <row r="261" spans="1:37" s="20" customFormat="1" ht="21" customHeight="1">
      <c r="A261" s="41"/>
      <c r="B261" s="55"/>
      <c r="C261" s="58">
        <v>4280</v>
      </c>
      <c r="D261" s="31" t="s">
        <v>336</v>
      </c>
      <c r="E261" s="54">
        <v>600</v>
      </c>
      <c r="F261" s="54"/>
      <c r="G261" s="54">
        <f t="shared" si="273"/>
        <v>600</v>
      </c>
      <c r="H261" s="54"/>
      <c r="I261" s="54">
        <f t="shared" si="292"/>
        <v>600</v>
      </c>
      <c r="J261" s="54"/>
      <c r="K261" s="54">
        <f t="shared" si="293"/>
        <v>600</v>
      </c>
      <c r="L261" s="54"/>
      <c r="M261" s="54">
        <f t="shared" si="294"/>
        <v>600</v>
      </c>
      <c r="N261" s="54"/>
      <c r="O261" s="54">
        <f t="shared" si="295"/>
        <v>600</v>
      </c>
      <c r="P261" s="54"/>
      <c r="Q261" s="54">
        <f t="shared" si="296"/>
        <v>600</v>
      </c>
      <c r="R261" s="54"/>
      <c r="S261" s="54">
        <f t="shared" si="297"/>
        <v>600</v>
      </c>
      <c r="T261" s="54"/>
      <c r="U261" s="54">
        <f t="shared" si="298"/>
        <v>600</v>
      </c>
      <c r="V261" s="54"/>
      <c r="W261" s="54">
        <f t="shared" si="299"/>
        <v>600</v>
      </c>
      <c r="X261" s="54"/>
      <c r="Y261" s="54">
        <f t="shared" si="300"/>
        <v>600</v>
      </c>
      <c r="Z261" s="54"/>
      <c r="AA261" s="54">
        <f t="shared" si="301"/>
        <v>600</v>
      </c>
      <c r="AB261" s="54"/>
      <c r="AC261" s="54">
        <f t="shared" si="302"/>
        <v>600</v>
      </c>
      <c r="AD261" s="54"/>
      <c r="AE261" s="54">
        <f t="shared" si="303"/>
        <v>600</v>
      </c>
      <c r="AF261" s="54"/>
      <c r="AG261" s="54">
        <f t="shared" si="304"/>
        <v>600</v>
      </c>
      <c r="AH261" s="54"/>
      <c r="AI261" s="54">
        <f t="shared" si="305"/>
        <v>600</v>
      </c>
      <c r="AJ261" s="54"/>
      <c r="AK261" s="54">
        <f t="shared" si="306"/>
        <v>600</v>
      </c>
    </row>
    <row r="262" spans="1:37" s="20" customFormat="1" ht="24">
      <c r="A262" s="41"/>
      <c r="B262" s="55"/>
      <c r="C262" s="58">
        <v>4440</v>
      </c>
      <c r="D262" s="31" t="s">
        <v>339</v>
      </c>
      <c r="E262" s="54">
        <v>18558</v>
      </c>
      <c r="F262" s="54"/>
      <c r="G262" s="54">
        <f t="shared" si="273"/>
        <v>18558</v>
      </c>
      <c r="H262" s="54"/>
      <c r="I262" s="54">
        <f t="shared" si="292"/>
        <v>18558</v>
      </c>
      <c r="J262" s="54"/>
      <c r="K262" s="54">
        <f t="shared" si="293"/>
        <v>18558</v>
      </c>
      <c r="L262" s="54"/>
      <c r="M262" s="54">
        <f t="shared" si="294"/>
        <v>18558</v>
      </c>
      <c r="N262" s="54"/>
      <c r="O262" s="54">
        <f t="shared" si="295"/>
        <v>18558</v>
      </c>
      <c r="P262" s="54"/>
      <c r="Q262" s="54">
        <f t="shared" si="296"/>
        <v>18558</v>
      </c>
      <c r="R262" s="54"/>
      <c r="S262" s="54">
        <f t="shared" si="297"/>
        <v>18558</v>
      </c>
      <c r="T262" s="54"/>
      <c r="U262" s="54">
        <f t="shared" si="298"/>
        <v>18558</v>
      </c>
      <c r="V262" s="54"/>
      <c r="W262" s="54">
        <f t="shared" si="299"/>
        <v>18558</v>
      </c>
      <c r="X262" s="54"/>
      <c r="Y262" s="54">
        <f t="shared" si="300"/>
        <v>18558</v>
      </c>
      <c r="Z262" s="54">
        <v>1172</v>
      </c>
      <c r="AA262" s="54">
        <f t="shared" si="301"/>
        <v>19730</v>
      </c>
      <c r="AB262" s="54"/>
      <c r="AC262" s="54">
        <f t="shared" si="302"/>
        <v>19730</v>
      </c>
      <c r="AD262" s="54"/>
      <c r="AE262" s="54">
        <f t="shared" si="303"/>
        <v>19730</v>
      </c>
      <c r="AF262" s="54"/>
      <c r="AG262" s="54">
        <f t="shared" si="304"/>
        <v>19730</v>
      </c>
      <c r="AH262" s="54">
        <f>210-739</f>
        <v>-529</v>
      </c>
      <c r="AI262" s="54">
        <f t="shared" si="305"/>
        <v>19201</v>
      </c>
      <c r="AJ262" s="54"/>
      <c r="AK262" s="54">
        <f t="shared" si="306"/>
        <v>19201</v>
      </c>
    </row>
    <row r="263" spans="1:37" s="20" customFormat="1" ht="36">
      <c r="A263" s="41"/>
      <c r="B263" s="55"/>
      <c r="C263" s="58">
        <v>4740</v>
      </c>
      <c r="D263" s="12" t="s">
        <v>183</v>
      </c>
      <c r="E263" s="54">
        <v>200</v>
      </c>
      <c r="F263" s="54"/>
      <c r="G263" s="54">
        <f t="shared" si="273"/>
        <v>200</v>
      </c>
      <c r="H263" s="54"/>
      <c r="I263" s="54">
        <f t="shared" si="292"/>
        <v>200</v>
      </c>
      <c r="J263" s="54"/>
      <c r="K263" s="54">
        <f t="shared" si="293"/>
        <v>200</v>
      </c>
      <c r="L263" s="54"/>
      <c r="M263" s="54">
        <f t="shared" si="294"/>
        <v>200</v>
      </c>
      <c r="N263" s="54"/>
      <c r="O263" s="54">
        <f t="shared" si="295"/>
        <v>200</v>
      </c>
      <c r="P263" s="54"/>
      <c r="Q263" s="54">
        <f t="shared" si="296"/>
        <v>200</v>
      </c>
      <c r="R263" s="54"/>
      <c r="S263" s="54">
        <f t="shared" si="297"/>
        <v>200</v>
      </c>
      <c r="T263" s="54"/>
      <c r="U263" s="54">
        <f t="shared" si="298"/>
        <v>200</v>
      </c>
      <c r="V263" s="54"/>
      <c r="W263" s="54">
        <f t="shared" si="299"/>
        <v>200</v>
      </c>
      <c r="X263" s="54"/>
      <c r="Y263" s="54">
        <f t="shared" si="300"/>
        <v>200</v>
      </c>
      <c r="Z263" s="54"/>
      <c r="AA263" s="54">
        <f t="shared" si="301"/>
        <v>200</v>
      </c>
      <c r="AB263" s="54"/>
      <c r="AC263" s="54">
        <f t="shared" si="302"/>
        <v>200</v>
      </c>
      <c r="AD263" s="54"/>
      <c r="AE263" s="54">
        <f t="shared" si="303"/>
        <v>200</v>
      </c>
      <c r="AF263" s="54"/>
      <c r="AG263" s="54">
        <f t="shared" si="304"/>
        <v>200</v>
      </c>
      <c r="AH263" s="54"/>
      <c r="AI263" s="54">
        <f t="shared" si="305"/>
        <v>200</v>
      </c>
      <c r="AJ263" s="54"/>
      <c r="AK263" s="54">
        <f t="shared" si="306"/>
        <v>200</v>
      </c>
    </row>
    <row r="264" spans="1:37" s="20" customFormat="1" ht="21" customHeight="1">
      <c r="A264" s="123"/>
      <c r="B264" s="55" t="s">
        <v>340</v>
      </c>
      <c r="C264" s="58"/>
      <c r="D264" s="31" t="s">
        <v>102</v>
      </c>
      <c r="E264" s="54">
        <f>SUM(E266:E268)</f>
        <v>3355548</v>
      </c>
      <c r="F264" s="54">
        <f>SUM(F266:F268)</f>
        <v>0</v>
      </c>
      <c r="G264" s="54">
        <f>SUM(G266:G268)</f>
        <v>3355548</v>
      </c>
      <c r="H264" s="54">
        <f>SUM(H266:H268)</f>
        <v>0</v>
      </c>
      <c r="I264" s="54">
        <f aca="true" t="shared" si="307" ref="I264:U264">SUM(I266:I269)</f>
        <v>3355548</v>
      </c>
      <c r="J264" s="54">
        <f t="shared" si="307"/>
        <v>43000</v>
      </c>
      <c r="K264" s="54">
        <f t="shared" si="307"/>
        <v>3398548</v>
      </c>
      <c r="L264" s="54">
        <f t="shared" si="307"/>
        <v>0</v>
      </c>
      <c r="M264" s="54">
        <f t="shared" si="307"/>
        <v>3398548</v>
      </c>
      <c r="N264" s="54">
        <f t="shared" si="307"/>
        <v>0</v>
      </c>
      <c r="O264" s="54">
        <f t="shared" si="307"/>
        <v>3398548</v>
      </c>
      <c r="P264" s="54">
        <f t="shared" si="307"/>
        <v>0</v>
      </c>
      <c r="Q264" s="54">
        <f t="shared" si="307"/>
        <v>3398548</v>
      </c>
      <c r="R264" s="54">
        <f t="shared" si="307"/>
        <v>0</v>
      </c>
      <c r="S264" s="54">
        <f t="shared" si="307"/>
        <v>3398548</v>
      </c>
      <c r="T264" s="54">
        <f t="shared" si="307"/>
        <v>0</v>
      </c>
      <c r="U264" s="54">
        <f t="shared" si="307"/>
        <v>3398548</v>
      </c>
      <c r="V264" s="54">
        <f aca="true" t="shared" si="308" ref="V264:AA264">SUM(V266:V269)</f>
        <v>0</v>
      </c>
      <c r="W264" s="54">
        <f t="shared" si="308"/>
        <v>3398548</v>
      </c>
      <c r="X264" s="54">
        <f t="shared" si="308"/>
        <v>0</v>
      </c>
      <c r="Y264" s="54">
        <f t="shared" si="308"/>
        <v>3398548</v>
      </c>
      <c r="Z264" s="54">
        <f t="shared" si="308"/>
        <v>12877</v>
      </c>
      <c r="AA264" s="54">
        <f t="shared" si="308"/>
        <v>3411425</v>
      </c>
      <c r="AB264" s="54">
        <f>SUM(AB266:AB269)</f>
        <v>0</v>
      </c>
      <c r="AC264" s="54">
        <f>SUM(AC266:AC269)</f>
        <v>3411425</v>
      </c>
      <c r="AD264" s="54">
        <f>SUM(AD266:AD269)</f>
        <v>0</v>
      </c>
      <c r="AE264" s="54">
        <f>SUM(AE266:AE269)</f>
        <v>3411425</v>
      </c>
      <c r="AF264" s="54">
        <f>SUM(AF266:AF269)</f>
        <v>216000</v>
      </c>
      <c r="AG264" s="54">
        <f>SUM(AG265:AG269)</f>
        <v>3627425</v>
      </c>
      <c r="AH264" s="54">
        <f>SUM(AH265:AH269)</f>
        <v>2800</v>
      </c>
      <c r="AI264" s="54">
        <f>SUM(AI265:AI269)</f>
        <v>3630225</v>
      </c>
      <c r="AJ264" s="54">
        <f>SUM(AJ265:AJ269)</f>
        <v>0</v>
      </c>
      <c r="AK264" s="54">
        <f>SUM(AK265:AK269)</f>
        <v>3630225</v>
      </c>
    </row>
    <row r="265" spans="1:43" s="20" customFormat="1" ht="48">
      <c r="A265" s="123"/>
      <c r="B265" s="55"/>
      <c r="C265" s="58">
        <v>2310</v>
      </c>
      <c r="D265" s="31" t="s">
        <v>434</v>
      </c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>
        <v>0</v>
      </c>
      <c r="AH265" s="54">
        <v>2800</v>
      </c>
      <c r="AI265" s="54">
        <f>SUM(AG265:AH265)</f>
        <v>2800</v>
      </c>
      <c r="AJ265" s="54"/>
      <c r="AK265" s="54">
        <f>SUM(AI265:AJ265)</f>
        <v>2800</v>
      </c>
      <c r="AP265" s="67"/>
      <c r="AQ265" s="67"/>
    </row>
    <row r="266" spans="1:43" s="20" customFormat="1" ht="24">
      <c r="A266" s="123"/>
      <c r="B266" s="55"/>
      <c r="C266" s="58">
        <v>2510</v>
      </c>
      <c r="D266" s="31" t="s">
        <v>341</v>
      </c>
      <c r="E266" s="54">
        <v>3355048</v>
      </c>
      <c r="F266" s="54"/>
      <c r="G266" s="54">
        <f t="shared" si="273"/>
        <v>3355048</v>
      </c>
      <c r="H266" s="54"/>
      <c r="I266" s="54">
        <f>SUM(G266:H266)</f>
        <v>3355048</v>
      </c>
      <c r="J266" s="54">
        <v>500</v>
      </c>
      <c r="K266" s="54">
        <f>SUM(I266:J266)</f>
        <v>3355548</v>
      </c>
      <c r="L266" s="54"/>
      <c r="M266" s="54">
        <f>SUM(K266:L266)</f>
        <v>3355548</v>
      </c>
      <c r="N266" s="54"/>
      <c r="O266" s="54">
        <f>SUM(M266:N266)</f>
        <v>3355548</v>
      </c>
      <c r="P266" s="54"/>
      <c r="Q266" s="54">
        <f>SUM(O266:P266)</f>
        <v>3355548</v>
      </c>
      <c r="R266" s="54"/>
      <c r="S266" s="54">
        <f>SUM(Q266:R266)</f>
        <v>3355548</v>
      </c>
      <c r="T266" s="54"/>
      <c r="U266" s="54">
        <f>SUM(S266:T266)</f>
        <v>3355548</v>
      </c>
      <c r="V266" s="54"/>
      <c r="W266" s="54">
        <f>SUM(U266:V266)</f>
        <v>3355548</v>
      </c>
      <c r="X266" s="54"/>
      <c r="Y266" s="54">
        <f>SUM(W266:X266)</f>
        <v>3355548</v>
      </c>
      <c r="Z266" s="54">
        <v>29877</v>
      </c>
      <c r="AA266" s="54">
        <f>SUM(Y266:Z266)</f>
        <v>3385425</v>
      </c>
      <c r="AB266" s="54"/>
      <c r="AC266" s="54">
        <f>SUM(AA266:AB266)</f>
        <v>3385425</v>
      </c>
      <c r="AD266" s="54"/>
      <c r="AE266" s="54">
        <f>SUM(AC266:AD266)</f>
        <v>3385425</v>
      </c>
      <c r="AF266" s="54">
        <v>216000</v>
      </c>
      <c r="AG266" s="54">
        <f>SUM(AE266:AF266)</f>
        <v>3601425</v>
      </c>
      <c r="AH266" s="54"/>
      <c r="AI266" s="54">
        <f>SUM(AG266:AH266)</f>
        <v>3601425</v>
      </c>
      <c r="AJ266" s="54"/>
      <c r="AK266" s="54">
        <f>SUM(AI266:AJ266)</f>
        <v>3601425</v>
      </c>
      <c r="AP266" s="67"/>
      <c r="AQ266" s="67"/>
    </row>
    <row r="267" spans="1:43" s="20" customFormat="1" ht="19.5" customHeight="1">
      <c r="A267" s="123"/>
      <c r="B267" s="55"/>
      <c r="C267" s="58">
        <v>4170</v>
      </c>
      <c r="D267" s="31" t="s">
        <v>161</v>
      </c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>
        <v>0</v>
      </c>
      <c r="AD267" s="54">
        <v>300</v>
      </c>
      <c r="AE267" s="54">
        <f>SUM(AC267:AD267)</f>
        <v>300</v>
      </c>
      <c r="AF267" s="54"/>
      <c r="AG267" s="54">
        <f>SUM(AE267:AF267)</f>
        <v>300</v>
      </c>
      <c r="AH267" s="54"/>
      <c r="AI267" s="54">
        <f>SUM(AG267:AH267)</f>
        <v>300</v>
      </c>
      <c r="AJ267" s="54"/>
      <c r="AK267" s="54">
        <f>SUM(AI267:AJ267)</f>
        <v>300</v>
      </c>
      <c r="AL267" s="67"/>
      <c r="AM267" s="67"/>
      <c r="AP267" s="67"/>
      <c r="AQ267" s="67"/>
    </row>
    <row r="268" spans="1:37" s="20" customFormat="1" ht="21" customHeight="1">
      <c r="A268" s="123"/>
      <c r="B268" s="55"/>
      <c r="C268" s="58">
        <v>4210</v>
      </c>
      <c r="D268" s="31" t="s">
        <v>68</v>
      </c>
      <c r="E268" s="54">
        <v>500</v>
      </c>
      <c r="F268" s="54"/>
      <c r="G268" s="54">
        <f t="shared" si="273"/>
        <v>500</v>
      </c>
      <c r="H268" s="54"/>
      <c r="I268" s="54">
        <f>SUM(G268:H268)</f>
        <v>500</v>
      </c>
      <c r="J268" s="54">
        <v>-500</v>
      </c>
      <c r="K268" s="54">
        <f>SUM(I268:J268)</f>
        <v>0</v>
      </c>
      <c r="L268" s="54"/>
      <c r="M268" s="54">
        <f>SUM(K268:L268)</f>
        <v>0</v>
      </c>
      <c r="N268" s="54"/>
      <c r="O268" s="54">
        <f>SUM(M268:N268)</f>
        <v>0</v>
      </c>
      <c r="P268" s="54"/>
      <c r="Q268" s="54">
        <f>SUM(O268:P268)</f>
        <v>0</v>
      </c>
      <c r="R268" s="54"/>
      <c r="S268" s="54">
        <f>SUM(Q268:R268)</f>
        <v>0</v>
      </c>
      <c r="T268" s="54"/>
      <c r="U268" s="54">
        <f>SUM(S268:T268)</f>
        <v>0</v>
      </c>
      <c r="V268" s="54"/>
      <c r="W268" s="54">
        <f>SUM(U268:V268)</f>
        <v>0</v>
      </c>
      <c r="X268" s="54"/>
      <c r="Y268" s="54">
        <f>SUM(W268:X268)</f>
        <v>0</v>
      </c>
      <c r="Z268" s="54"/>
      <c r="AA268" s="54">
        <f>SUM(Y268:Z268)</f>
        <v>0</v>
      </c>
      <c r="AB268" s="54"/>
      <c r="AC268" s="54">
        <f>SUM(AA268:AB268)</f>
        <v>0</v>
      </c>
      <c r="AD268" s="54"/>
      <c r="AE268" s="54">
        <f>SUM(AC268:AD268)</f>
        <v>0</v>
      </c>
      <c r="AF268" s="54"/>
      <c r="AG268" s="54">
        <f>SUM(AE268:AF268)</f>
        <v>0</v>
      </c>
      <c r="AH268" s="54"/>
      <c r="AI268" s="54">
        <f>SUM(AG268:AH268)</f>
        <v>0</v>
      </c>
      <c r="AJ268" s="54"/>
      <c r="AK268" s="54">
        <f>SUM(AI268:AJ268)</f>
        <v>0</v>
      </c>
    </row>
    <row r="269" spans="1:37" s="20" customFormat="1" ht="21" customHeight="1">
      <c r="A269" s="123"/>
      <c r="B269" s="55"/>
      <c r="C269" s="58">
        <v>4270</v>
      </c>
      <c r="D269" s="31" t="s">
        <v>74</v>
      </c>
      <c r="E269" s="54"/>
      <c r="F269" s="54"/>
      <c r="G269" s="54"/>
      <c r="H269" s="54"/>
      <c r="I269" s="54">
        <v>0</v>
      </c>
      <c r="J269" s="54">
        <v>43000</v>
      </c>
      <c r="K269" s="54">
        <f>SUM(I269:J269)</f>
        <v>43000</v>
      </c>
      <c r="L269" s="54"/>
      <c r="M269" s="54">
        <f>SUM(K269:L269)</f>
        <v>43000</v>
      </c>
      <c r="N269" s="54"/>
      <c r="O269" s="54">
        <f>SUM(M269:N269)</f>
        <v>43000</v>
      </c>
      <c r="P269" s="54"/>
      <c r="Q269" s="54">
        <f>SUM(O269:P269)</f>
        <v>43000</v>
      </c>
      <c r="R269" s="54"/>
      <c r="S269" s="54">
        <f>SUM(Q269:R269)</f>
        <v>43000</v>
      </c>
      <c r="T269" s="54"/>
      <c r="U269" s="54">
        <f>SUM(S269:T269)</f>
        <v>43000</v>
      </c>
      <c r="V269" s="54"/>
      <c r="W269" s="54">
        <f>SUM(U269:V269)</f>
        <v>43000</v>
      </c>
      <c r="X269" s="54"/>
      <c r="Y269" s="54">
        <f>SUM(W269:X269)</f>
        <v>43000</v>
      </c>
      <c r="Z269" s="54">
        <v>-17000</v>
      </c>
      <c r="AA269" s="54">
        <f>SUM(Y269:Z269)</f>
        <v>26000</v>
      </c>
      <c r="AB269" s="54"/>
      <c r="AC269" s="54">
        <f>SUM(AA269:AB269)</f>
        <v>26000</v>
      </c>
      <c r="AD269" s="54">
        <v>-300</v>
      </c>
      <c r="AE269" s="54">
        <f>SUM(AC269:AD269)</f>
        <v>25700</v>
      </c>
      <c r="AF269" s="54"/>
      <c r="AG269" s="54">
        <f>SUM(AE269:AF269)</f>
        <v>25700</v>
      </c>
      <c r="AH269" s="54"/>
      <c r="AI269" s="54">
        <f>SUM(AG269:AH269)</f>
        <v>25700</v>
      </c>
      <c r="AJ269" s="54"/>
      <c r="AK269" s="54">
        <f>SUM(AI269:AJ269)</f>
        <v>25700</v>
      </c>
    </row>
    <row r="270" spans="1:37" s="20" customFormat="1" ht="21" customHeight="1">
      <c r="A270" s="123"/>
      <c r="B270" s="55" t="s">
        <v>342</v>
      </c>
      <c r="C270" s="58"/>
      <c r="D270" s="31" t="s">
        <v>52</v>
      </c>
      <c r="E270" s="54">
        <f aca="true" t="shared" si="309" ref="E270:W270">SUM(E271:E296)</f>
        <v>9135030</v>
      </c>
      <c r="F270" s="54">
        <f t="shared" si="309"/>
        <v>-400000</v>
      </c>
      <c r="G270" s="54">
        <f t="shared" si="309"/>
        <v>8735030</v>
      </c>
      <c r="H270" s="54">
        <f t="shared" si="309"/>
        <v>0</v>
      </c>
      <c r="I270" s="54">
        <f t="shared" si="309"/>
        <v>8735030</v>
      </c>
      <c r="J270" s="54">
        <f t="shared" si="309"/>
        <v>-2400</v>
      </c>
      <c r="K270" s="54">
        <f t="shared" si="309"/>
        <v>8732630</v>
      </c>
      <c r="L270" s="54">
        <f t="shared" si="309"/>
        <v>0</v>
      </c>
      <c r="M270" s="54">
        <f t="shared" si="309"/>
        <v>8732630</v>
      </c>
      <c r="N270" s="54">
        <f t="shared" si="309"/>
        <v>0</v>
      </c>
      <c r="O270" s="54">
        <f t="shared" si="309"/>
        <v>8732630</v>
      </c>
      <c r="P270" s="54">
        <f t="shared" si="309"/>
        <v>0</v>
      </c>
      <c r="Q270" s="54">
        <f t="shared" si="309"/>
        <v>8732630</v>
      </c>
      <c r="R270" s="54">
        <f t="shared" si="309"/>
        <v>0</v>
      </c>
      <c r="S270" s="54">
        <f t="shared" si="309"/>
        <v>8732630</v>
      </c>
      <c r="T270" s="54">
        <f t="shared" si="309"/>
        <v>0</v>
      </c>
      <c r="U270" s="54">
        <f t="shared" si="309"/>
        <v>8732630</v>
      </c>
      <c r="V270" s="54">
        <f t="shared" si="309"/>
        <v>320</v>
      </c>
      <c r="W270" s="54">
        <f t="shared" si="309"/>
        <v>8732950</v>
      </c>
      <c r="X270" s="54">
        <f aca="true" t="shared" si="310" ref="X270:AC270">SUM(X271:X296)</f>
        <v>0</v>
      </c>
      <c r="Y270" s="54">
        <f t="shared" si="310"/>
        <v>8732950</v>
      </c>
      <c r="Z270" s="54">
        <f t="shared" si="310"/>
        <v>-1122061</v>
      </c>
      <c r="AA270" s="54">
        <f t="shared" si="310"/>
        <v>7610889</v>
      </c>
      <c r="AB270" s="54">
        <f t="shared" si="310"/>
        <v>0</v>
      </c>
      <c r="AC270" s="54">
        <f t="shared" si="310"/>
        <v>7610889</v>
      </c>
      <c r="AD270" s="54">
        <f aca="true" t="shared" si="311" ref="AD270:AI270">SUM(AD271:AD296)</f>
        <v>-890577</v>
      </c>
      <c r="AE270" s="54">
        <f t="shared" si="311"/>
        <v>6720312</v>
      </c>
      <c r="AF270" s="54">
        <f t="shared" si="311"/>
        <v>157171</v>
      </c>
      <c r="AG270" s="54">
        <f t="shared" si="311"/>
        <v>6877483</v>
      </c>
      <c r="AH270" s="54">
        <f t="shared" si="311"/>
        <v>-638</v>
      </c>
      <c r="AI270" s="54">
        <f t="shared" si="311"/>
        <v>6876845</v>
      </c>
      <c r="AJ270" s="54">
        <f>SUM(AJ271:AJ296)</f>
        <v>0</v>
      </c>
      <c r="AK270" s="54">
        <f>SUM(AK271:AK296)</f>
        <v>6876845</v>
      </c>
    </row>
    <row r="271" spans="1:43" s="20" customFormat="1" ht="60">
      <c r="A271" s="123"/>
      <c r="B271" s="55"/>
      <c r="C271" s="58">
        <v>2590</v>
      </c>
      <c r="D271" s="31" t="s">
        <v>343</v>
      </c>
      <c r="E271" s="54">
        <v>101210</v>
      </c>
      <c r="F271" s="54"/>
      <c r="G271" s="54">
        <f t="shared" si="273"/>
        <v>101210</v>
      </c>
      <c r="H271" s="54"/>
      <c r="I271" s="54">
        <f aca="true" t="shared" si="312" ref="I271:I296">SUM(G271:H271)</f>
        <v>101210</v>
      </c>
      <c r="J271" s="54"/>
      <c r="K271" s="54">
        <f aca="true" t="shared" si="313" ref="K271:K296">SUM(I271:J271)</f>
        <v>101210</v>
      </c>
      <c r="L271" s="54"/>
      <c r="M271" s="54">
        <f aca="true" t="shared" si="314" ref="M271:M296">SUM(K271:L271)</f>
        <v>101210</v>
      </c>
      <c r="N271" s="54"/>
      <c r="O271" s="54">
        <f aca="true" t="shared" si="315" ref="O271:O296">SUM(M271:N271)</f>
        <v>101210</v>
      </c>
      <c r="P271" s="54"/>
      <c r="Q271" s="54">
        <f aca="true" t="shared" si="316" ref="Q271:Q296">SUM(O271:P271)</f>
        <v>101210</v>
      </c>
      <c r="R271" s="54"/>
      <c r="S271" s="54">
        <f aca="true" t="shared" si="317" ref="S271:S296">SUM(Q271:R271)</f>
        <v>101210</v>
      </c>
      <c r="T271" s="54"/>
      <c r="U271" s="54">
        <f aca="true" t="shared" si="318" ref="U271:U296">SUM(S271:T271)</f>
        <v>101210</v>
      </c>
      <c r="V271" s="54"/>
      <c r="W271" s="54">
        <f aca="true" t="shared" si="319" ref="W271:W296">SUM(U271:V271)</f>
        <v>101210</v>
      </c>
      <c r="X271" s="54"/>
      <c r="Y271" s="54">
        <f aca="true" t="shared" si="320" ref="Y271:Y296">SUM(W271:X271)</f>
        <v>101210</v>
      </c>
      <c r="Z271" s="54">
        <v>8725</v>
      </c>
      <c r="AA271" s="54">
        <f aca="true" t="shared" si="321" ref="AA271:AA296">SUM(Y271:Z271)</f>
        <v>109935</v>
      </c>
      <c r="AB271" s="54"/>
      <c r="AC271" s="54">
        <f aca="true" t="shared" si="322" ref="AC271:AC296">SUM(AA271:AB271)</f>
        <v>109935</v>
      </c>
      <c r="AD271" s="54"/>
      <c r="AE271" s="54">
        <f aca="true" t="shared" si="323" ref="AE271:AE296">SUM(AC271:AD271)</f>
        <v>109935</v>
      </c>
      <c r="AF271" s="54"/>
      <c r="AG271" s="54">
        <f aca="true" t="shared" si="324" ref="AG271:AG296">SUM(AE271:AF271)</f>
        <v>109935</v>
      </c>
      <c r="AH271" s="54"/>
      <c r="AI271" s="54">
        <f aca="true" t="shared" si="325" ref="AI271:AI296">SUM(AG271:AH271)</f>
        <v>109935</v>
      </c>
      <c r="AJ271" s="54"/>
      <c r="AK271" s="54">
        <f aca="true" t="shared" si="326" ref="AK271:AK296">SUM(AI271:AJ271)</f>
        <v>109935</v>
      </c>
      <c r="AP271" s="67"/>
      <c r="AQ271" s="67"/>
    </row>
    <row r="272" spans="1:37" s="20" customFormat="1" ht="21" customHeight="1">
      <c r="A272" s="41"/>
      <c r="B272" s="55"/>
      <c r="C272" s="58">
        <v>3020</v>
      </c>
      <c r="D272" s="31" t="s">
        <v>159</v>
      </c>
      <c r="E272" s="54">
        <v>42171</v>
      </c>
      <c r="F272" s="54"/>
      <c r="G272" s="54">
        <f t="shared" si="273"/>
        <v>42171</v>
      </c>
      <c r="H272" s="54"/>
      <c r="I272" s="54">
        <f t="shared" si="312"/>
        <v>42171</v>
      </c>
      <c r="J272" s="54"/>
      <c r="K272" s="54">
        <f t="shared" si="313"/>
        <v>42171</v>
      </c>
      <c r="L272" s="54"/>
      <c r="M272" s="54">
        <f t="shared" si="314"/>
        <v>42171</v>
      </c>
      <c r="N272" s="54"/>
      <c r="O272" s="54">
        <f t="shared" si="315"/>
        <v>42171</v>
      </c>
      <c r="P272" s="54"/>
      <c r="Q272" s="54">
        <f t="shared" si="316"/>
        <v>42171</v>
      </c>
      <c r="R272" s="54"/>
      <c r="S272" s="54">
        <f t="shared" si="317"/>
        <v>42171</v>
      </c>
      <c r="T272" s="54"/>
      <c r="U272" s="54">
        <f t="shared" si="318"/>
        <v>42171</v>
      </c>
      <c r="V272" s="54"/>
      <c r="W272" s="54">
        <f t="shared" si="319"/>
        <v>42171</v>
      </c>
      <c r="X272" s="54"/>
      <c r="Y272" s="54">
        <f t="shared" si="320"/>
        <v>42171</v>
      </c>
      <c r="Z272" s="54"/>
      <c r="AA272" s="54">
        <f t="shared" si="321"/>
        <v>42171</v>
      </c>
      <c r="AB272" s="54"/>
      <c r="AC272" s="54">
        <f t="shared" si="322"/>
        <v>42171</v>
      </c>
      <c r="AD272" s="54">
        <f>888-38</f>
        <v>850</v>
      </c>
      <c r="AE272" s="54">
        <f t="shared" si="323"/>
        <v>43021</v>
      </c>
      <c r="AF272" s="54">
        <f>5590-100</f>
        <v>5490</v>
      </c>
      <c r="AG272" s="54">
        <f t="shared" si="324"/>
        <v>48511</v>
      </c>
      <c r="AH272" s="54"/>
      <c r="AI272" s="54">
        <f t="shared" si="325"/>
        <v>48511</v>
      </c>
      <c r="AJ272" s="54"/>
      <c r="AK272" s="54">
        <f t="shared" si="326"/>
        <v>48511</v>
      </c>
    </row>
    <row r="273" spans="1:39" s="20" customFormat="1" ht="21" customHeight="1">
      <c r="A273" s="41"/>
      <c r="B273" s="55"/>
      <c r="C273" s="58">
        <v>4010</v>
      </c>
      <c r="D273" s="31" t="s">
        <v>79</v>
      </c>
      <c r="E273" s="54">
        <v>3501950</v>
      </c>
      <c r="F273" s="54"/>
      <c r="G273" s="54">
        <f t="shared" si="273"/>
        <v>3501950</v>
      </c>
      <c r="H273" s="54"/>
      <c r="I273" s="54">
        <f t="shared" si="312"/>
        <v>3501950</v>
      </c>
      <c r="J273" s="54">
        <v>9023</v>
      </c>
      <c r="K273" s="54">
        <f t="shared" si="313"/>
        <v>3510973</v>
      </c>
      <c r="L273" s="54"/>
      <c r="M273" s="54">
        <f t="shared" si="314"/>
        <v>3510973</v>
      </c>
      <c r="N273" s="54"/>
      <c r="O273" s="54">
        <f t="shared" si="315"/>
        <v>3510973</v>
      </c>
      <c r="P273" s="54"/>
      <c r="Q273" s="54">
        <f t="shared" si="316"/>
        <v>3510973</v>
      </c>
      <c r="R273" s="54"/>
      <c r="S273" s="54">
        <f t="shared" si="317"/>
        <v>3510973</v>
      </c>
      <c r="T273" s="54"/>
      <c r="U273" s="54">
        <f t="shared" si="318"/>
        <v>3510973</v>
      </c>
      <c r="V273" s="54"/>
      <c r="W273" s="54">
        <f t="shared" si="319"/>
        <v>3510973</v>
      </c>
      <c r="X273" s="54"/>
      <c r="Y273" s="54">
        <f t="shared" si="320"/>
        <v>3510973</v>
      </c>
      <c r="Z273" s="54"/>
      <c r="AA273" s="54">
        <f t="shared" si="321"/>
        <v>3510973</v>
      </c>
      <c r="AB273" s="54"/>
      <c r="AC273" s="54">
        <f t="shared" si="322"/>
        <v>3510973</v>
      </c>
      <c r="AD273" s="54">
        <f>9919-7919</f>
        <v>2000</v>
      </c>
      <c r="AE273" s="54">
        <f t="shared" si="323"/>
        <v>3512973</v>
      </c>
      <c r="AF273" s="54">
        <v>142676</v>
      </c>
      <c r="AG273" s="54">
        <f t="shared" si="324"/>
        <v>3655649</v>
      </c>
      <c r="AH273" s="54">
        <v>-1300</v>
      </c>
      <c r="AI273" s="54">
        <f t="shared" si="325"/>
        <v>3654349</v>
      </c>
      <c r="AJ273" s="54"/>
      <c r="AK273" s="54">
        <f t="shared" si="326"/>
        <v>3654349</v>
      </c>
      <c r="AL273" s="67"/>
      <c r="AM273" s="67"/>
    </row>
    <row r="274" spans="1:39" s="20" customFormat="1" ht="21" customHeight="1">
      <c r="A274" s="41"/>
      <c r="B274" s="55"/>
      <c r="C274" s="58">
        <v>4040</v>
      </c>
      <c r="D274" s="31" t="s">
        <v>80</v>
      </c>
      <c r="E274" s="54">
        <v>264234</v>
      </c>
      <c r="F274" s="54"/>
      <c r="G274" s="54">
        <f t="shared" si="273"/>
        <v>264234</v>
      </c>
      <c r="H274" s="54"/>
      <c r="I274" s="54">
        <f t="shared" si="312"/>
        <v>264234</v>
      </c>
      <c r="J274" s="54">
        <v>-9023</v>
      </c>
      <c r="K274" s="54">
        <f t="shared" si="313"/>
        <v>255211</v>
      </c>
      <c r="L274" s="54"/>
      <c r="M274" s="54">
        <f t="shared" si="314"/>
        <v>255211</v>
      </c>
      <c r="N274" s="54"/>
      <c r="O274" s="54">
        <f t="shared" si="315"/>
        <v>255211</v>
      </c>
      <c r="P274" s="54"/>
      <c r="Q274" s="54">
        <f t="shared" si="316"/>
        <v>255211</v>
      </c>
      <c r="R274" s="54"/>
      <c r="S274" s="54">
        <f t="shared" si="317"/>
        <v>255211</v>
      </c>
      <c r="T274" s="54"/>
      <c r="U274" s="54">
        <f t="shared" si="318"/>
        <v>255211</v>
      </c>
      <c r="V274" s="54"/>
      <c r="W274" s="54">
        <f t="shared" si="319"/>
        <v>255211</v>
      </c>
      <c r="X274" s="54"/>
      <c r="Y274" s="54">
        <f t="shared" si="320"/>
        <v>255211</v>
      </c>
      <c r="Z274" s="54"/>
      <c r="AA274" s="54">
        <f t="shared" si="321"/>
        <v>255211</v>
      </c>
      <c r="AB274" s="54"/>
      <c r="AC274" s="54">
        <f t="shared" si="322"/>
        <v>255211</v>
      </c>
      <c r="AD274" s="54"/>
      <c r="AE274" s="54">
        <f t="shared" si="323"/>
        <v>255211</v>
      </c>
      <c r="AF274" s="54"/>
      <c r="AG274" s="54">
        <f t="shared" si="324"/>
        <v>255211</v>
      </c>
      <c r="AH274" s="54"/>
      <c r="AI274" s="54">
        <f t="shared" si="325"/>
        <v>255211</v>
      </c>
      <c r="AJ274" s="54"/>
      <c r="AK274" s="54">
        <f t="shared" si="326"/>
        <v>255211</v>
      </c>
      <c r="AL274" s="67"/>
      <c r="AM274" s="67"/>
    </row>
    <row r="275" spans="1:39" s="20" customFormat="1" ht="21" customHeight="1">
      <c r="A275" s="41"/>
      <c r="B275" s="55"/>
      <c r="C275" s="58">
        <v>4110</v>
      </c>
      <c r="D275" s="31" t="s">
        <v>81</v>
      </c>
      <c r="E275" s="54">
        <v>570864</v>
      </c>
      <c r="F275" s="54"/>
      <c r="G275" s="54">
        <f t="shared" si="273"/>
        <v>570864</v>
      </c>
      <c r="H275" s="54"/>
      <c r="I275" s="54">
        <f t="shared" si="312"/>
        <v>570864</v>
      </c>
      <c r="J275" s="54"/>
      <c r="K275" s="54">
        <f t="shared" si="313"/>
        <v>570864</v>
      </c>
      <c r="L275" s="54"/>
      <c r="M275" s="54">
        <f t="shared" si="314"/>
        <v>570864</v>
      </c>
      <c r="N275" s="54"/>
      <c r="O275" s="54">
        <f t="shared" si="315"/>
        <v>570864</v>
      </c>
      <c r="P275" s="54"/>
      <c r="Q275" s="54">
        <f t="shared" si="316"/>
        <v>570864</v>
      </c>
      <c r="R275" s="54"/>
      <c r="S275" s="54">
        <f t="shared" si="317"/>
        <v>570864</v>
      </c>
      <c r="T275" s="54"/>
      <c r="U275" s="54">
        <f t="shared" si="318"/>
        <v>570864</v>
      </c>
      <c r="V275" s="54"/>
      <c r="W275" s="54">
        <f t="shared" si="319"/>
        <v>570864</v>
      </c>
      <c r="X275" s="54"/>
      <c r="Y275" s="54">
        <f t="shared" si="320"/>
        <v>570864</v>
      </c>
      <c r="Z275" s="54"/>
      <c r="AA275" s="54">
        <f t="shared" si="321"/>
        <v>570864</v>
      </c>
      <c r="AB275" s="54"/>
      <c r="AC275" s="54">
        <f t="shared" si="322"/>
        <v>570864</v>
      </c>
      <c r="AD275" s="54"/>
      <c r="AE275" s="54">
        <f t="shared" si="323"/>
        <v>570864</v>
      </c>
      <c r="AF275" s="54">
        <v>9704</v>
      </c>
      <c r="AG275" s="54">
        <f t="shared" si="324"/>
        <v>580568</v>
      </c>
      <c r="AH275" s="54">
        <v>1700</v>
      </c>
      <c r="AI275" s="54">
        <f t="shared" si="325"/>
        <v>582268</v>
      </c>
      <c r="AJ275" s="54"/>
      <c r="AK275" s="54">
        <f t="shared" si="326"/>
        <v>582268</v>
      </c>
      <c r="AL275" s="67"/>
      <c r="AM275" s="67"/>
    </row>
    <row r="276" spans="1:39" s="20" customFormat="1" ht="21" customHeight="1">
      <c r="A276" s="41"/>
      <c r="B276" s="55"/>
      <c r="C276" s="58">
        <v>4120</v>
      </c>
      <c r="D276" s="31" t="s">
        <v>82</v>
      </c>
      <c r="E276" s="54">
        <v>94292</v>
      </c>
      <c r="F276" s="54"/>
      <c r="G276" s="54">
        <f t="shared" si="273"/>
        <v>94292</v>
      </c>
      <c r="H276" s="54"/>
      <c r="I276" s="54">
        <f t="shared" si="312"/>
        <v>94292</v>
      </c>
      <c r="J276" s="54"/>
      <c r="K276" s="54">
        <f t="shared" si="313"/>
        <v>94292</v>
      </c>
      <c r="L276" s="54"/>
      <c r="M276" s="54">
        <f t="shared" si="314"/>
        <v>94292</v>
      </c>
      <c r="N276" s="54"/>
      <c r="O276" s="54">
        <f t="shared" si="315"/>
        <v>94292</v>
      </c>
      <c r="P276" s="54"/>
      <c r="Q276" s="54">
        <f t="shared" si="316"/>
        <v>94292</v>
      </c>
      <c r="R276" s="54"/>
      <c r="S276" s="54">
        <f t="shared" si="317"/>
        <v>94292</v>
      </c>
      <c r="T276" s="54"/>
      <c r="U276" s="54">
        <f t="shared" si="318"/>
        <v>94292</v>
      </c>
      <c r="V276" s="54"/>
      <c r="W276" s="54">
        <f t="shared" si="319"/>
        <v>94292</v>
      </c>
      <c r="X276" s="54"/>
      <c r="Y276" s="54">
        <f t="shared" si="320"/>
        <v>94292</v>
      </c>
      <c r="Z276" s="54"/>
      <c r="AA276" s="54">
        <f t="shared" si="321"/>
        <v>94292</v>
      </c>
      <c r="AB276" s="54"/>
      <c r="AC276" s="54">
        <f t="shared" si="322"/>
        <v>94292</v>
      </c>
      <c r="AD276" s="54"/>
      <c r="AE276" s="54">
        <f t="shared" si="323"/>
        <v>94292</v>
      </c>
      <c r="AF276" s="54">
        <v>-1199</v>
      </c>
      <c r="AG276" s="54">
        <f t="shared" si="324"/>
        <v>93093</v>
      </c>
      <c r="AH276" s="54"/>
      <c r="AI276" s="54">
        <f t="shared" si="325"/>
        <v>93093</v>
      </c>
      <c r="AJ276" s="54"/>
      <c r="AK276" s="54">
        <f t="shared" si="326"/>
        <v>93093</v>
      </c>
      <c r="AL276" s="67"/>
      <c r="AM276" s="67"/>
    </row>
    <row r="277" spans="1:39" s="20" customFormat="1" ht="21" customHeight="1">
      <c r="A277" s="41"/>
      <c r="B277" s="55"/>
      <c r="C277" s="58">
        <v>4170</v>
      </c>
      <c r="D277" s="31" t="s">
        <v>161</v>
      </c>
      <c r="E277" s="54">
        <v>12700</v>
      </c>
      <c r="F277" s="54"/>
      <c r="G277" s="54">
        <f t="shared" si="273"/>
        <v>12700</v>
      </c>
      <c r="H277" s="54"/>
      <c r="I277" s="54">
        <f t="shared" si="312"/>
        <v>12700</v>
      </c>
      <c r="J277" s="54"/>
      <c r="K277" s="54">
        <f t="shared" si="313"/>
        <v>12700</v>
      </c>
      <c r="L277" s="54"/>
      <c r="M277" s="54">
        <f t="shared" si="314"/>
        <v>12700</v>
      </c>
      <c r="N277" s="54"/>
      <c r="O277" s="54">
        <f t="shared" si="315"/>
        <v>12700</v>
      </c>
      <c r="P277" s="54"/>
      <c r="Q277" s="54">
        <f t="shared" si="316"/>
        <v>12700</v>
      </c>
      <c r="R277" s="54"/>
      <c r="S277" s="54">
        <f t="shared" si="317"/>
        <v>12700</v>
      </c>
      <c r="T277" s="54"/>
      <c r="U277" s="54">
        <f t="shared" si="318"/>
        <v>12700</v>
      </c>
      <c r="V277" s="54"/>
      <c r="W277" s="54">
        <f t="shared" si="319"/>
        <v>12700</v>
      </c>
      <c r="X277" s="54"/>
      <c r="Y277" s="54">
        <f t="shared" si="320"/>
        <v>12700</v>
      </c>
      <c r="Z277" s="54"/>
      <c r="AA277" s="54">
        <f t="shared" si="321"/>
        <v>12700</v>
      </c>
      <c r="AB277" s="54"/>
      <c r="AC277" s="54">
        <f t="shared" si="322"/>
        <v>12700</v>
      </c>
      <c r="AD277" s="54">
        <v>-2000</v>
      </c>
      <c r="AE277" s="54">
        <f t="shared" si="323"/>
        <v>10700</v>
      </c>
      <c r="AF277" s="54"/>
      <c r="AG277" s="54">
        <f t="shared" si="324"/>
        <v>10700</v>
      </c>
      <c r="AH277" s="54"/>
      <c r="AI277" s="54">
        <f t="shared" si="325"/>
        <v>10700</v>
      </c>
      <c r="AJ277" s="54"/>
      <c r="AK277" s="54">
        <f t="shared" si="326"/>
        <v>10700</v>
      </c>
      <c r="AL277" s="67"/>
      <c r="AM277" s="67"/>
    </row>
    <row r="278" spans="1:37" s="20" customFormat="1" ht="21" customHeight="1">
      <c r="A278" s="41"/>
      <c r="B278" s="55"/>
      <c r="C278" s="58">
        <v>4210</v>
      </c>
      <c r="D278" s="31" t="s">
        <v>86</v>
      </c>
      <c r="E278" s="54">
        <f>1000+170700</f>
        <v>171700</v>
      </c>
      <c r="F278" s="54"/>
      <c r="G278" s="54">
        <f t="shared" si="273"/>
        <v>171700</v>
      </c>
      <c r="H278" s="54"/>
      <c r="I278" s="54">
        <f t="shared" si="312"/>
        <v>171700</v>
      </c>
      <c r="J278" s="54">
        <v>600</v>
      </c>
      <c r="K278" s="54">
        <f t="shared" si="313"/>
        <v>172300</v>
      </c>
      <c r="L278" s="54"/>
      <c r="M278" s="54">
        <f t="shared" si="314"/>
        <v>172300</v>
      </c>
      <c r="N278" s="54">
        <v>-510</v>
      </c>
      <c r="O278" s="54">
        <f t="shared" si="315"/>
        <v>171790</v>
      </c>
      <c r="P278" s="54"/>
      <c r="Q278" s="54">
        <f t="shared" si="316"/>
        <v>171790</v>
      </c>
      <c r="R278" s="54">
        <v>-14</v>
      </c>
      <c r="S278" s="54">
        <f t="shared" si="317"/>
        <v>171776</v>
      </c>
      <c r="T278" s="54"/>
      <c r="U278" s="54">
        <f t="shared" si="318"/>
        <v>171776</v>
      </c>
      <c r="V278" s="54"/>
      <c r="W278" s="54">
        <f t="shared" si="319"/>
        <v>171776</v>
      </c>
      <c r="X278" s="54"/>
      <c r="Y278" s="54">
        <f t="shared" si="320"/>
        <v>171776</v>
      </c>
      <c r="Z278" s="54">
        <v>5000</v>
      </c>
      <c r="AA278" s="54">
        <f t="shared" si="321"/>
        <v>176776</v>
      </c>
      <c r="AB278" s="54"/>
      <c r="AC278" s="54">
        <f t="shared" si="322"/>
        <v>176776</v>
      </c>
      <c r="AD278" s="54">
        <f>9611-23841</f>
        <v>-14230</v>
      </c>
      <c r="AE278" s="54">
        <f t="shared" si="323"/>
        <v>162546</v>
      </c>
      <c r="AF278" s="54">
        <f>2157-1157</f>
        <v>1000</v>
      </c>
      <c r="AG278" s="54">
        <f t="shared" si="324"/>
        <v>163546</v>
      </c>
      <c r="AH278" s="54">
        <f>997-600</f>
        <v>397</v>
      </c>
      <c r="AI278" s="54">
        <f t="shared" si="325"/>
        <v>163943</v>
      </c>
      <c r="AJ278" s="54"/>
      <c r="AK278" s="54">
        <f t="shared" si="326"/>
        <v>163943</v>
      </c>
    </row>
    <row r="279" spans="1:37" s="20" customFormat="1" ht="21" customHeight="1">
      <c r="A279" s="41"/>
      <c r="B279" s="55"/>
      <c r="C279" s="58">
        <v>4230</v>
      </c>
      <c r="D279" s="31" t="s">
        <v>335</v>
      </c>
      <c r="E279" s="54">
        <v>1500</v>
      </c>
      <c r="F279" s="54"/>
      <c r="G279" s="54">
        <f t="shared" si="273"/>
        <v>1500</v>
      </c>
      <c r="H279" s="54"/>
      <c r="I279" s="54">
        <f t="shared" si="312"/>
        <v>1500</v>
      </c>
      <c r="J279" s="54"/>
      <c r="K279" s="54">
        <f t="shared" si="313"/>
        <v>1500</v>
      </c>
      <c r="L279" s="54"/>
      <c r="M279" s="54">
        <f t="shared" si="314"/>
        <v>1500</v>
      </c>
      <c r="N279" s="54"/>
      <c r="O279" s="54">
        <f t="shared" si="315"/>
        <v>1500</v>
      </c>
      <c r="P279" s="54"/>
      <c r="Q279" s="54">
        <f t="shared" si="316"/>
        <v>1500</v>
      </c>
      <c r="R279" s="54"/>
      <c r="S279" s="54">
        <f t="shared" si="317"/>
        <v>1500</v>
      </c>
      <c r="T279" s="54"/>
      <c r="U279" s="54">
        <f t="shared" si="318"/>
        <v>1500</v>
      </c>
      <c r="V279" s="54"/>
      <c r="W279" s="54">
        <f t="shared" si="319"/>
        <v>1500</v>
      </c>
      <c r="X279" s="54"/>
      <c r="Y279" s="54">
        <f t="shared" si="320"/>
        <v>1500</v>
      </c>
      <c r="Z279" s="54"/>
      <c r="AA279" s="54">
        <f t="shared" si="321"/>
        <v>1500</v>
      </c>
      <c r="AB279" s="54"/>
      <c r="AC279" s="54">
        <f t="shared" si="322"/>
        <v>1500</v>
      </c>
      <c r="AD279" s="54">
        <v>4</v>
      </c>
      <c r="AE279" s="54">
        <f t="shared" si="323"/>
        <v>1504</v>
      </c>
      <c r="AF279" s="54"/>
      <c r="AG279" s="54">
        <f t="shared" si="324"/>
        <v>1504</v>
      </c>
      <c r="AH279" s="54"/>
      <c r="AI279" s="54">
        <f t="shared" si="325"/>
        <v>1504</v>
      </c>
      <c r="AJ279" s="54"/>
      <c r="AK279" s="54">
        <f t="shared" si="326"/>
        <v>1504</v>
      </c>
    </row>
    <row r="280" spans="1:37" s="20" customFormat="1" ht="21" customHeight="1">
      <c r="A280" s="41"/>
      <c r="B280" s="55"/>
      <c r="C280" s="58">
        <v>4240</v>
      </c>
      <c r="D280" s="31" t="s">
        <v>101</v>
      </c>
      <c r="E280" s="54">
        <v>11100</v>
      </c>
      <c r="F280" s="54"/>
      <c r="G280" s="54">
        <f t="shared" si="273"/>
        <v>11100</v>
      </c>
      <c r="H280" s="54"/>
      <c r="I280" s="54">
        <f t="shared" si="312"/>
        <v>11100</v>
      </c>
      <c r="J280" s="54"/>
      <c r="K280" s="54">
        <f t="shared" si="313"/>
        <v>11100</v>
      </c>
      <c r="L280" s="54"/>
      <c r="M280" s="54">
        <f t="shared" si="314"/>
        <v>11100</v>
      </c>
      <c r="N280" s="54"/>
      <c r="O280" s="54">
        <f t="shared" si="315"/>
        <v>11100</v>
      </c>
      <c r="P280" s="54"/>
      <c r="Q280" s="54">
        <f t="shared" si="316"/>
        <v>11100</v>
      </c>
      <c r="R280" s="54"/>
      <c r="S280" s="54">
        <f t="shared" si="317"/>
        <v>11100</v>
      </c>
      <c r="T280" s="54"/>
      <c r="U280" s="54">
        <f t="shared" si="318"/>
        <v>11100</v>
      </c>
      <c r="V280" s="54"/>
      <c r="W280" s="54">
        <f t="shared" si="319"/>
        <v>11100</v>
      </c>
      <c r="X280" s="54"/>
      <c r="Y280" s="54">
        <f t="shared" si="320"/>
        <v>11100</v>
      </c>
      <c r="Z280" s="54"/>
      <c r="AA280" s="54">
        <f t="shared" si="321"/>
        <v>11100</v>
      </c>
      <c r="AB280" s="54"/>
      <c r="AC280" s="54">
        <f t="shared" si="322"/>
        <v>11100</v>
      </c>
      <c r="AD280" s="54">
        <f>17693-1193</f>
        <v>16500</v>
      </c>
      <c r="AE280" s="54">
        <f t="shared" si="323"/>
        <v>27600</v>
      </c>
      <c r="AF280" s="54"/>
      <c r="AG280" s="54">
        <f t="shared" si="324"/>
        <v>27600</v>
      </c>
      <c r="AH280" s="54"/>
      <c r="AI280" s="54">
        <f t="shared" si="325"/>
        <v>27600</v>
      </c>
      <c r="AJ280" s="54"/>
      <c r="AK280" s="54">
        <f t="shared" si="326"/>
        <v>27600</v>
      </c>
    </row>
    <row r="281" spans="1:37" s="20" customFormat="1" ht="21" customHeight="1">
      <c r="A281" s="41"/>
      <c r="B281" s="55"/>
      <c r="C281" s="58">
        <v>4260</v>
      </c>
      <c r="D281" s="31" t="s">
        <v>88</v>
      </c>
      <c r="E281" s="54">
        <v>291500</v>
      </c>
      <c r="F281" s="54"/>
      <c r="G281" s="54">
        <f t="shared" si="273"/>
        <v>291500</v>
      </c>
      <c r="H281" s="54"/>
      <c r="I281" s="54">
        <f t="shared" si="312"/>
        <v>291500</v>
      </c>
      <c r="J281" s="54"/>
      <c r="K281" s="54">
        <f t="shared" si="313"/>
        <v>291500</v>
      </c>
      <c r="L281" s="54"/>
      <c r="M281" s="54">
        <f t="shared" si="314"/>
        <v>291500</v>
      </c>
      <c r="N281" s="54"/>
      <c r="O281" s="54">
        <f t="shared" si="315"/>
        <v>291500</v>
      </c>
      <c r="P281" s="54"/>
      <c r="Q281" s="54">
        <f t="shared" si="316"/>
        <v>291500</v>
      </c>
      <c r="R281" s="54"/>
      <c r="S281" s="54">
        <f t="shared" si="317"/>
        <v>291500</v>
      </c>
      <c r="T281" s="54"/>
      <c r="U281" s="54">
        <f t="shared" si="318"/>
        <v>291500</v>
      </c>
      <c r="V281" s="54">
        <v>320</v>
      </c>
      <c r="W281" s="54">
        <f t="shared" si="319"/>
        <v>291820</v>
      </c>
      <c r="X281" s="54"/>
      <c r="Y281" s="54">
        <f t="shared" si="320"/>
        <v>291820</v>
      </c>
      <c r="Z281" s="54"/>
      <c r="AA281" s="54">
        <f t="shared" si="321"/>
        <v>291820</v>
      </c>
      <c r="AB281" s="54"/>
      <c r="AC281" s="54">
        <f t="shared" si="322"/>
        <v>291820</v>
      </c>
      <c r="AD281" s="54">
        <v>35949</v>
      </c>
      <c r="AE281" s="54">
        <f t="shared" si="323"/>
        <v>327769</v>
      </c>
      <c r="AF281" s="54">
        <v>-1600</v>
      </c>
      <c r="AG281" s="54">
        <f t="shared" si="324"/>
        <v>326169</v>
      </c>
      <c r="AH281" s="54">
        <v>2855</v>
      </c>
      <c r="AI281" s="54">
        <f t="shared" si="325"/>
        <v>329024</v>
      </c>
      <c r="AJ281" s="54"/>
      <c r="AK281" s="54">
        <f t="shared" si="326"/>
        <v>329024</v>
      </c>
    </row>
    <row r="282" spans="1:37" s="20" customFormat="1" ht="21" customHeight="1">
      <c r="A282" s="41"/>
      <c r="B282" s="55"/>
      <c r="C282" s="58">
        <v>4270</v>
      </c>
      <c r="D282" s="31" t="s">
        <v>74</v>
      </c>
      <c r="E282" s="54">
        <v>49550</v>
      </c>
      <c r="F282" s="54"/>
      <c r="G282" s="54">
        <f t="shared" si="273"/>
        <v>49550</v>
      </c>
      <c r="H282" s="54"/>
      <c r="I282" s="54">
        <f t="shared" si="312"/>
        <v>49550</v>
      </c>
      <c r="J282" s="54">
        <f>-3250</f>
        <v>-3250</v>
      </c>
      <c r="K282" s="54">
        <f t="shared" si="313"/>
        <v>46300</v>
      </c>
      <c r="L282" s="54"/>
      <c r="M282" s="54">
        <f t="shared" si="314"/>
        <v>46300</v>
      </c>
      <c r="N282" s="54"/>
      <c r="O282" s="54">
        <f t="shared" si="315"/>
        <v>46300</v>
      </c>
      <c r="P282" s="54"/>
      <c r="Q282" s="54">
        <f t="shared" si="316"/>
        <v>46300</v>
      </c>
      <c r="R282" s="54"/>
      <c r="S282" s="54">
        <f t="shared" si="317"/>
        <v>46300</v>
      </c>
      <c r="T282" s="54"/>
      <c r="U282" s="54">
        <f t="shared" si="318"/>
        <v>46300</v>
      </c>
      <c r="V282" s="54"/>
      <c r="W282" s="54">
        <f t="shared" si="319"/>
        <v>46300</v>
      </c>
      <c r="X282" s="54"/>
      <c r="Y282" s="54">
        <f t="shared" si="320"/>
        <v>46300</v>
      </c>
      <c r="Z282" s="54">
        <v>-2000</v>
      </c>
      <c r="AA282" s="54">
        <f t="shared" si="321"/>
        <v>44300</v>
      </c>
      <c r="AB282" s="54"/>
      <c r="AC282" s="54">
        <f t="shared" si="322"/>
        <v>44300</v>
      </c>
      <c r="AD282" s="54">
        <f>4509-2088</f>
        <v>2421</v>
      </c>
      <c r="AE282" s="54">
        <f t="shared" si="323"/>
        <v>46721</v>
      </c>
      <c r="AF282" s="54"/>
      <c r="AG282" s="54">
        <f t="shared" si="324"/>
        <v>46721</v>
      </c>
      <c r="AH282" s="54">
        <f>11-1613</f>
        <v>-1602</v>
      </c>
      <c r="AI282" s="54">
        <f t="shared" si="325"/>
        <v>45119</v>
      </c>
      <c r="AJ282" s="54"/>
      <c r="AK282" s="54">
        <f t="shared" si="326"/>
        <v>45119</v>
      </c>
    </row>
    <row r="283" spans="1:37" s="20" customFormat="1" ht="21" customHeight="1">
      <c r="A283" s="41"/>
      <c r="B283" s="55"/>
      <c r="C283" s="58">
        <v>4280</v>
      </c>
      <c r="D283" s="31" t="s">
        <v>336</v>
      </c>
      <c r="E283" s="54">
        <v>8400</v>
      </c>
      <c r="F283" s="54"/>
      <c r="G283" s="54">
        <f t="shared" si="273"/>
        <v>8400</v>
      </c>
      <c r="H283" s="54"/>
      <c r="I283" s="54">
        <f t="shared" si="312"/>
        <v>8400</v>
      </c>
      <c r="J283" s="54"/>
      <c r="K283" s="54">
        <f t="shared" si="313"/>
        <v>8400</v>
      </c>
      <c r="L283" s="54"/>
      <c r="M283" s="54">
        <f t="shared" si="314"/>
        <v>8400</v>
      </c>
      <c r="N283" s="54"/>
      <c r="O283" s="54">
        <f t="shared" si="315"/>
        <v>8400</v>
      </c>
      <c r="P283" s="54"/>
      <c r="Q283" s="54">
        <f t="shared" si="316"/>
        <v>8400</v>
      </c>
      <c r="R283" s="54"/>
      <c r="S283" s="54">
        <f t="shared" si="317"/>
        <v>8400</v>
      </c>
      <c r="T283" s="54"/>
      <c r="U283" s="54">
        <f t="shared" si="318"/>
        <v>8400</v>
      </c>
      <c r="V283" s="54"/>
      <c r="W283" s="54">
        <f t="shared" si="319"/>
        <v>8400</v>
      </c>
      <c r="X283" s="54"/>
      <c r="Y283" s="54">
        <f t="shared" si="320"/>
        <v>8400</v>
      </c>
      <c r="Z283" s="54"/>
      <c r="AA283" s="54">
        <f t="shared" si="321"/>
        <v>8400</v>
      </c>
      <c r="AB283" s="54"/>
      <c r="AC283" s="54">
        <f t="shared" si="322"/>
        <v>8400</v>
      </c>
      <c r="AD283" s="54">
        <v>-1000</v>
      </c>
      <c r="AE283" s="54">
        <f t="shared" si="323"/>
        <v>7400</v>
      </c>
      <c r="AF283" s="54"/>
      <c r="AG283" s="54">
        <f t="shared" si="324"/>
        <v>7400</v>
      </c>
      <c r="AH283" s="54">
        <v>-1100</v>
      </c>
      <c r="AI283" s="54">
        <f t="shared" si="325"/>
        <v>6300</v>
      </c>
      <c r="AJ283" s="54"/>
      <c r="AK283" s="54">
        <f t="shared" si="326"/>
        <v>6300</v>
      </c>
    </row>
    <row r="284" spans="1:37" s="20" customFormat="1" ht="21" customHeight="1">
      <c r="A284" s="41"/>
      <c r="B284" s="55"/>
      <c r="C284" s="58">
        <v>4300</v>
      </c>
      <c r="D284" s="31" t="s">
        <v>75</v>
      </c>
      <c r="E284" s="54">
        <v>44500</v>
      </c>
      <c r="F284" s="54"/>
      <c r="G284" s="54">
        <f t="shared" si="273"/>
        <v>44500</v>
      </c>
      <c r="H284" s="54"/>
      <c r="I284" s="54">
        <f t="shared" si="312"/>
        <v>44500</v>
      </c>
      <c r="J284" s="54"/>
      <c r="K284" s="54">
        <f t="shared" si="313"/>
        <v>44500</v>
      </c>
      <c r="L284" s="54"/>
      <c r="M284" s="54">
        <f t="shared" si="314"/>
        <v>44500</v>
      </c>
      <c r="N284" s="54">
        <v>-1000</v>
      </c>
      <c r="O284" s="54">
        <f t="shared" si="315"/>
        <v>43500</v>
      </c>
      <c r="P284" s="54"/>
      <c r="Q284" s="54">
        <f t="shared" si="316"/>
        <v>43500</v>
      </c>
      <c r="R284" s="54"/>
      <c r="S284" s="54">
        <f t="shared" si="317"/>
        <v>43500</v>
      </c>
      <c r="T284" s="54"/>
      <c r="U284" s="54">
        <f t="shared" si="318"/>
        <v>43500</v>
      </c>
      <c r="V284" s="54"/>
      <c r="W284" s="54">
        <f t="shared" si="319"/>
        <v>43500</v>
      </c>
      <c r="X284" s="54"/>
      <c r="Y284" s="54">
        <f t="shared" si="320"/>
        <v>43500</v>
      </c>
      <c r="Z284" s="54">
        <v>-3000</v>
      </c>
      <c r="AA284" s="54">
        <f t="shared" si="321"/>
        <v>40500</v>
      </c>
      <c r="AB284" s="54"/>
      <c r="AC284" s="54">
        <f t="shared" si="322"/>
        <v>40500</v>
      </c>
      <c r="AD284" s="54">
        <f>3691-2119</f>
        <v>1572</v>
      </c>
      <c r="AE284" s="54">
        <f t="shared" si="323"/>
        <v>42072</v>
      </c>
      <c r="AF284" s="54">
        <f>1002-652</f>
        <v>350</v>
      </c>
      <c r="AG284" s="54">
        <f t="shared" si="324"/>
        <v>42422</v>
      </c>
      <c r="AH284" s="54">
        <f>300-405</f>
        <v>-105</v>
      </c>
      <c r="AI284" s="54">
        <f t="shared" si="325"/>
        <v>42317</v>
      </c>
      <c r="AJ284" s="54"/>
      <c r="AK284" s="54">
        <f t="shared" si="326"/>
        <v>42317</v>
      </c>
    </row>
    <row r="285" spans="1:37" s="20" customFormat="1" ht="21" customHeight="1">
      <c r="A285" s="41"/>
      <c r="B285" s="55"/>
      <c r="C285" s="58">
        <v>4350</v>
      </c>
      <c r="D285" s="31" t="s">
        <v>169</v>
      </c>
      <c r="E285" s="54">
        <v>2400</v>
      </c>
      <c r="F285" s="54"/>
      <c r="G285" s="54">
        <f t="shared" si="273"/>
        <v>2400</v>
      </c>
      <c r="H285" s="54"/>
      <c r="I285" s="54">
        <f t="shared" si="312"/>
        <v>2400</v>
      </c>
      <c r="J285" s="54"/>
      <c r="K285" s="54">
        <f t="shared" si="313"/>
        <v>2400</v>
      </c>
      <c r="L285" s="54"/>
      <c r="M285" s="54">
        <f t="shared" si="314"/>
        <v>2400</v>
      </c>
      <c r="N285" s="54">
        <v>1500</v>
      </c>
      <c r="O285" s="54">
        <f t="shared" si="315"/>
        <v>3900</v>
      </c>
      <c r="P285" s="54"/>
      <c r="Q285" s="54">
        <f t="shared" si="316"/>
        <v>3900</v>
      </c>
      <c r="R285" s="54"/>
      <c r="S285" s="54">
        <f t="shared" si="317"/>
        <v>3900</v>
      </c>
      <c r="T285" s="54"/>
      <c r="U285" s="54">
        <f t="shared" si="318"/>
        <v>3900</v>
      </c>
      <c r="V285" s="54"/>
      <c r="W285" s="54">
        <f t="shared" si="319"/>
        <v>3900</v>
      </c>
      <c r="X285" s="54"/>
      <c r="Y285" s="54">
        <f t="shared" si="320"/>
        <v>3900</v>
      </c>
      <c r="Z285" s="54"/>
      <c r="AA285" s="54">
        <f t="shared" si="321"/>
        <v>3900</v>
      </c>
      <c r="AB285" s="54"/>
      <c r="AC285" s="54">
        <f t="shared" si="322"/>
        <v>3900</v>
      </c>
      <c r="AD285" s="54">
        <v>-1073</v>
      </c>
      <c r="AE285" s="54">
        <f t="shared" si="323"/>
        <v>2827</v>
      </c>
      <c r="AF285" s="54"/>
      <c r="AG285" s="54">
        <f t="shared" si="324"/>
        <v>2827</v>
      </c>
      <c r="AH285" s="54"/>
      <c r="AI285" s="54">
        <f t="shared" si="325"/>
        <v>2827</v>
      </c>
      <c r="AJ285" s="54"/>
      <c r="AK285" s="54">
        <f t="shared" si="326"/>
        <v>2827</v>
      </c>
    </row>
    <row r="286" spans="1:37" s="20" customFormat="1" ht="28.5" customHeight="1">
      <c r="A286" s="41"/>
      <c r="B286" s="55"/>
      <c r="C286" s="58">
        <v>4370</v>
      </c>
      <c r="D286" s="12" t="s">
        <v>182</v>
      </c>
      <c r="E286" s="54">
        <v>9000</v>
      </c>
      <c r="F286" s="54"/>
      <c r="G286" s="54">
        <f t="shared" si="273"/>
        <v>9000</v>
      </c>
      <c r="H286" s="54"/>
      <c r="I286" s="54">
        <f t="shared" si="312"/>
        <v>9000</v>
      </c>
      <c r="J286" s="54"/>
      <c r="K286" s="54">
        <f t="shared" si="313"/>
        <v>9000</v>
      </c>
      <c r="L286" s="54"/>
      <c r="M286" s="54">
        <f t="shared" si="314"/>
        <v>9000</v>
      </c>
      <c r="N286" s="54">
        <v>-500</v>
      </c>
      <c r="O286" s="54">
        <f t="shared" si="315"/>
        <v>8500</v>
      </c>
      <c r="P286" s="54"/>
      <c r="Q286" s="54">
        <f t="shared" si="316"/>
        <v>8500</v>
      </c>
      <c r="R286" s="54"/>
      <c r="S286" s="54">
        <f t="shared" si="317"/>
        <v>8500</v>
      </c>
      <c r="T286" s="54"/>
      <c r="U286" s="54">
        <f t="shared" si="318"/>
        <v>8500</v>
      </c>
      <c r="V286" s="54"/>
      <c r="W286" s="54">
        <f t="shared" si="319"/>
        <v>8500</v>
      </c>
      <c r="X286" s="54"/>
      <c r="Y286" s="54">
        <f t="shared" si="320"/>
        <v>8500</v>
      </c>
      <c r="Z286" s="54"/>
      <c r="AA286" s="54">
        <f t="shared" si="321"/>
        <v>8500</v>
      </c>
      <c r="AB286" s="54"/>
      <c r="AC286" s="54">
        <f t="shared" si="322"/>
        <v>8500</v>
      </c>
      <c r="AD286" s="54">
        <v>-550</v>
      </c>
      <c r="AE286" s="54">
        <f t="shared" si="323"/>
        <v>7950</v>
      </c>
      <c r="AF286" s="54"/>
      <c r="AG286" s="54">
        <f t="shared" si="324"/>
        <v>7950</v>
      </c>
      <c r="AH286" s="54"/>
      <c r="AI286" s="54">
        <f t="shared" si="325"/>
        <v>7950</v>
      </c>
      <c r="AJ286" s="54"/>
      <c r="AK286" s="54">
        <f t="shared" si="326"/>
        <v>7950</v>
      </c>
    </row>
    <row r="287" spans="1:37" s="20" customFormat="1" ht="26.25" customHeight="1">
      <c r="A287" s="41"/>
      <c r="B287" s="55"/>
      <c r="C287" s="58">
        <v>4390</v>
      </c>
      <c r="D287" s="31" t="s">
        <v>337</v>
      </c>
      <c r="E287" s="54">
        <v>800</v>
      </c>
      <c r="F287" s="54"/>
      <c r="G287" s="54">
        <f t="shared" si="273"/>
        <v>800</v>
      </c>
      <c r="H287" s="54"/>
      <c r="I287" s="54">
        <f t="shared" si="312"/>
        <v>800</v>
      </c>
      <c r="J287" s="54"/>
      <c r="K287" s="54">
        <f t="shared" si="313"/>
        <v>800</v>
      </c>
      <c r="L287" s="54"/>
      <c r="M287" s="54">
        <f t="shared" si="314"/>
        <v>800</v>
      </c>
      <c r="N287" s="54"/>
      <c r="O287" s="54">
        <f t="shared" si="315"/>
        <v>800</v>
      </c>
      <c r="P287" s="54"/>
      <c r="Q287" s="54">
        <f t="shared" si="316"/>
        <v>800</v>
      </c>
      <c r="R287" s="54"/>
      <c r="S287" s="54">
        <f t="shared" si="317"/>
        <v>800</v>
      </c>
      <c r="T287" s="54"/>
      <c r="U287" s="54">
        <f t="shared" si="318"/>
        <v>800</v>
      </c>
      <c r="V287" s="54"/>
      <c r="W287" s="54">
        <f t="shared" si="319"/>
        <v>800</v>
      </c>
      <c r="X287" s="54"/>
      <c r="Y287" s="54">
        <f t="shared" si="320"/>
        <v>800</v>
      </c>
      <c r="Z287" s="54"/>
      <c r="AA287" s="54">
        <f t="shared" si="321"/>
        <v>800</v>
      </c>
      <c r="AB287" s="54"/>
      <c r="AC287" s="54">
        <f t="shared" si="322"/>
        <v>800</v>
      </c>
      <c r="AD287" s="54">
        <v>-800</v>
      </c>
      <c r="AE287" s="54">
        <f t="shared" si="323"/>
        <v>0</v>
      </c>
      <c r="AF287" s="54"/>
      <c r="AG287" s="54">
        <f t="shared" si="324"/>
        <v>0</v>
      </c>
      <c r="AH287" s="54"/>
      <c r="AI287" s="54">
        <f t="shared" si="325"/>
        <v>0</v>
      </c>
      <c r="AJ287" s="54"/>
      <c r="AK287" s="54">
        <f t="shared" si="326"/>
        <v>0</v>
      </c>
    </row>
    <row r="288" spans="1:37" s="20" customFormat="1" ht="21" customHeight="1">
      <c r="A288" s="41"/>
      <c r="B288" s="55"/>
      <c r="C288" s="58">
        <v>4410</v>
      </c>
      <c r="D288" s="31" t="s">
        <v>85</v>
      </c>
      <c r="E288" s="54">
        <v>6000</v>
      </c>
      <c r="F288" s="54"/>
      <c r="G288" s="54">
        <f t="shared" si="273"/>
        <v>6000</v>
      </c>
      <c r="H288" s="54"/>
      <c r="I288" s="54">
        <f t="shared" si="312"/>
        <v>6000</v>
      </c>
      <c r="J288" s="54"/>
      <c r="K288" s="54">
        <f t="shared" si="313"/>
        <v>6000</v>
      </c>
      <c r="L288" s="54"/>
      <c r="M288" s="54">
        <f t="shared" si="314"/>
        <v>6000</v>
      </c>
      <c r="N288" s="54">
        <v>500</v>
      </c>
      <c r="O288" s="54">
        <f t="shared" si="315"/>
        <v>6500</v>
      </c>
      <c r="P288" s="54"/>
      <c r="Q288" s="54">
        <f t="shared" si="316"/>
        <v>6500</v>
      </c>
      <c r="R288" s="54"/>
      <c r="S288" s="54">
        <f t="shared" si="317"/>
        <v>6500</v>
      </c>
      <c r="T288" s="54"/>
      <c r="U288" s="54">
        <f t="shared" si="318"/>
        <v>6500</v>
      </c>
      <c r="V288" s="54"/>
      <c r="W288" s="54">
        <f t="shared" si="319"/>
        <v>6500</v>
      </c>
      <c r="X288" s="54"/>
      <c r="Y288" s="54">
        <f t="shared" si="320"/>
        <v>6500</v>
      </c>
      <c r="Z288" s="54"/>
      <c r="AA288" s="54">
        <f t="shared" si="321"/>
        <v>6500</v>
      </c>
      <c r="AB288" s="54"/>
      <c r="AC288" s="54">
        <f t="shared" si="322"/>
        <v>6500</v>
      </c>
      <c r="AD288" s="54">
        <v>200</v>
      </c>
      <c r="AE288" s="54">
        <f t="shared" si="323"/>
        <v>6700</v>
      </c>
      <c r="AF288" s="54"/>
      <c r="AG288" s="54">
        <f t="shared" si="324"/>
        <v>6700</v>
      </c>
      <c r="AH288" s="54">
        <v>-95</v>
      </c>
      <c r="AI288" s="54">
        <f t="shared" si="325"/>
        <v>6605</v>
      </c>
      <c r="AJ288" s="54"/>
      <c r="AK288" s="54">
        <f t="shared" si="326"/>
        <v>6605</v>
      </c>
    </row>
    <row r="289" spans="1:37" s="20" customFormat="1" ht="21" customHeight="1">
      <c r="A289" s="41"/>
      <c r="B289" s="55"/>
      <c r="C289" s="58">
        <v>4430</v>
      </c>
      <c r="D289" s="31" t="s">
        <v>87</v>
      </c>
      <c r="E289" s="54">
        <v>4000</v>
      </c>
      <c r="F289" s="54"/>
      <c r="G289" s="54">
        <f t="shared" si="273"/>
        <v>4000</v>
      </c>
      <c r="H289" s="54"/>
      <c r="I289" s="54">
        <f t="shared" si="312"/>
        <v>4000</v>
      </c>
      <c r="J289" s="54">
        <v>250</v>
      </c>
      <c r="K289" s="54">
        <f t="shared" si="313"/>
        <v>4250</v>
      </c>
      <c r="L289" s="54"/>
      <c r="M289" s="54">
        <f t="shared" si="314"/>
        <v>4250</v>
      </c>
      <c r="N289" s="54"/>
      <c r="O289" s="54">
        <f t="shared" si="315"/>
        <v>4250</v>
      </c>
      <c r="P289" s="54"/>
      <c r="Q289" s="54">
        <f t="shared" si="316"/>
        <v>4250</v>
      </c>
      <c r="R289" s="54"/>
      <c r="S289" s="54">
        <f t="shared" si="317"/>
        <v>4250</v>
      </c>
      <c r="T289" s="54"/>
      <c r="U289" s="54">
        <f t="shared" si="318"/>
        <v>4250</v>
      </c>
      <c r="V289" s="54"/>
      <c r="W289" s="54">
        <f t="shared" si="319"/>
        <v>4250</v>
      </c>
      <c r="X289" s="54"/>
      <c r="Y289" s="54">
        <f t="shared" si="320"/>
        <v>4250</v>
      </c>
      <c r="Z289" s="54"/>
      <c r="AA289" s="54">
        <f t="shared" si="321"/>
        <v>4250</v>
      </c>
      <c r="AB289" s="54"/>
      <c r="AC289" s="54">
        <f t="shared" si="322"/>
        <v>4250</v>
      </c>
      <c r="AD289" s="54">
        <f>84-2440</f>
        <v>-2356</v>
      </c>
      <c r="AE289" s="54">
        <f t="shared" si="323"/>
        <v>1894</v>
      </c>
      <c r="AF289" s="54"/>
      <c r="AG289" s="54">
        <f t="shared" si="324"/>
        <v>1894</v>
      </c>
      <c r="AH289" s="54">
        <v>-100</v>
      </c>
      <c r="AI289" s="54">
        <f t="shared" si="325"/>
        <v>1794</v>
      </c>
      <c r="AJ289" s="54"/>
      <c r="AK289" s="54">
        <f t="shared" si="326"/>
        <v>1794</v>
      </c>
    </row>
    <row r="290" spans="1:37" s="20" customFormat="1" ht="26.25" customHeight="1">
      <c r="A290" s="41"/>
      <c r="B290" s="55"/>
      <c r="C290" s="58">
        <v>4440</v>
      </c>
      <c r="D290" s="31" t="s">
        <v>83</v>
      </c>
      <c r="E290" s="54">
        <v>205309</v>
      </c>
      <c r="F290" s="54"/>
      <c r="G290" s="54">
        <f t="shared" si="273"/>
        <v>205309</v>
      </c>
      <c r="H290" s="54"/>
      <c r="I290" s="54">
        <f t="shared" si="312"/>
        <v>205309</v>
      </c>
      <c r="J290" s="54"/>
      <c r="K290" s="54">
        <f t="shared" si="313"/>
        <v>205309</v>
      </c>
      <c r="L290" s="54"/>
      <c r="M290" s="54">
        <f t="shared" si="314"/>
        <v>205309</v>
      </c>
      <c r="N290" s="54"/>
      <c r="O290" s="54">
        <f t="shared" si="315"/>
        <v>205309</v>
      </c>
      <c r="P290" s="54"/>
      <c r="Q290" s="54">
        <f t="shared" si="316"/>
        <v>205309</v>
      </c>
      <c r="R290" s="54"/>
      <c r="S290" s="54">
        <f t="shared" si="317"/>
        <v>205309</v>
      </c>
      <c r="T290" s="54"/>
      <c r="U290" s="54">
        <f t="shared" si="318"/>
        <v>205309</v>
      </c>
      <c r="V290" s="54"/>
      <c r="W290" s="54">
        <f t="shared" si="319"/>
        <v>205309</v>
      </c>
      <c r="X290" s="54"/>
      <c r="Y290" s="54">
        <f t="shared" si="320"/>
        <v>205309</v>
      </c>
      <c r="Z290" s="54"/>
      <c r="AA290" s="54">
        <f t="shared" si="321"/>
        <v>205309</v>
      </c>
      <c r="AB290" s="54"/>
      <c r="AC290" s="54">
        <f t="shared" si="322"/>
        <v>205309</v>
      </c>
      <c r="AD290" s="54"/>
      <c r="AE290" s="54">
        <f t="shared" si="323"/>
        <v>205309</v>
      </c>
      <c r="AF290" s="54"/>
      <c r="AG290" s="54">
        <f t="shared" si="324"/>
        <v>205309</v>
      </c>
      <c r="AH290" s="54">
        <v>-1038</v>
      </c>
      <c r="AI290" s="54">
        <f t="shared" si="325"/>
        <v>204271</v>
      </c>
      <c r="AJ290" s="54"/>
      <c r="AK290" s="54">
        <f t="shared" si="326"/>
        <v>204271</v>
      </c>
    </row>
    <row r="291" spans="1:37" s="20" customFormat="1" ht="26.25" customHeight="1">
      <c r="A291" s="41"/>
      <c r="B291" s="55"/>
      <c r="C291" s="58">
        <v>4570</v>
      </c>
      <c r="D291" s="31" t="s">
        <v>338</v>
      </c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>
        <v>0</v>
      </c>
      <c r="R291" s="54">
        <f>10+14</f>
        <v>24</v>
      </c>
      <c r="S291" s="54">
        <f t="shared" si="317"/>
        <v>24</v>
      </c>
      <c r="T291" s="54"/>
      <c r="U291" s="54">
        <f t="shared" si="318"/>
        <v>24</v>
      </c>
      <c r="V291" s="54"/>
      <c r="W291" s="54">
        <f t="shared" si="319"/>
        <v>24</v>
      </c>
      <c r="X291" s="54"/>
      <c r="Y291" s="54">
        <f t="shared" si="320"/>
        <v>24</v>
      </c>
      <c r="Z291" s="54"/>
      <c r="AA291" s="54">
        <f t="shared" si="321"/>
        <v>24</v>
      </c>
      <c r="AB291" s="54"/>
      <c r="AC291" s="54">
        <f t="shared" si="322"/>
        <v>24</v>
      </c>
      <c r="AD291" s="54"/>
      <c r="AE291" s="54">
        <f t="shared" si="323"/>
        <v>24</v>
      </c>
      <c r="AF291" s="54"/>
      <c r="AG291" s="54">
        <f t="shared" si="324"/>
        <v>24</v>
      </c>
      <c r="AH291" s="54"/>
      <c r="AI291" s="54">
        <f t="shared" si="325"/>
        <v>24</v>
      </c>
      <c r="AJ291" s="54"/>
      <c r="AK291" s="54">
        <f t="shared" si="326"/>
        <v>24</v>
      </c>
    </row>
    <row r="292" spans="1:37" s="20" customFormat="1" ht="26.25" customHeight="1">
      <c r="A292" s="41"/>
      <c r="B292" s="55"/>
      <c r="C292" s="58">
        <v>4580</v>
      </c>
      <c r="D292" s="31" t="s">
        <v>11</v>
      </c>
      <c r="E292" s="54"/>
      <c r="F292" s="54"/>
      <c r="G292" s="54"/>
      <c r="H292" s="54"/>
      <c r="I292" s="54"/>
      <c r="J292" s="54"/>
      <c r="K292" s="54"/>
      <c r="L292" s="54"/>
      <c r="M292" s="54">
        <v>0</v>
      </c>
      <c r="N292" s="54">
        <v>10</v>
      </c>
      <c r="O292" s="54">
        <f t="shared" si="315"/>
        <v>10</v>
      </c>
      <c r="P292" s="54"/>
      <c r="Q292" s="54">
        <f t="shared" si="316"/>
        <v>10</v>
      </c>
      <c r="R292" s="54">
        <v>-10</v>
      </c>
      <c r="S292" s="54">
        <f t="shared" si="317"/>
        <v>0</v>
      </c>
      <c r="T292" s="54"/>
      <c r="U292" s="54">
        <f t="shared" si="318"/>
        <v>0</v>
      </c>
      <c r="V292" s="54"/>
      <c r="W292" s="54">
        <f t="shared" si="319"/>
        <v>0</v>
      </c>
      <c r="X292" s="54"/>
      <c r="Y292" s="54">
        <f t="shared" si="320"/>
        <v>0</v>
      </c>
      <c r="Z292" s="54"/>
      <c r="AA292" s="54">
        <f t="shared" si="321"/>
        <v>0</v>
      </c>
      <c r="AB292" s="54"/>
      <c r="AC292" s="54">
        <f t="shared" si="322"/>
        <v>0</v>
      </c>
      <c r="AD292" s="54"/>
      <c r="AE292" s="54">
        <f t="shared" si="323"/>
        <v>0</v>
      </c>
      <c r="AF292" s="54"/>
      <c r="AG292" s="54">
        <f t="shared" si="324"/>
        <v>0</v>
      </c>
      <c r="AH292" s="54"/>
      <c r="AI292" s="54">
        <f t="shared" si="325"/>
        <v>0</v>
      </c>
      <c r="AJ292" s="54"/>
      <c r="AK292" s="54">
        <f t="shared" si="326"/>
        <v>0</v>
      </c>
    </row>
    <row r="293" spans="1:37" s="20" customFormat="1" ht="27" customHeight="1">
      <c r="A293" s="41"/>
      <c r="B293" s="55"/>
      <c r="C293" s="58">
        <v>4700</v>
      </c>
      <c r="D293" s="31" t="s">
        <v>193</v>
      </c>
      <c r="E293" s="54">
        <v>2500</v>
      </c>
      <c r="F293" s="54"/>
      <c r="G293" s="54">
        <f t="shared" si="273"/>
        <v>2500</v>
      </c>
      <c r="H293" s="54"/>
      <c r="I293" s="54">
        <f t="shared" si="312"/>
        <v>2500</v>
      </c>
      <c r="J293" s="54"/>
      <c r="K293" s="54">
        <f t="shared" si="313"/>
        <v>2500</v>
      </c>
      <c r="L293" s="54"/>
      <c r="M293" s="54">
        <f t="shared" si="314"/>
        <v>2500</v>
      </c>
      <c r="N293" s="54"/>
      <c r="O293" s="54">
        <f t="shared" si="315"/>
        <v>2500</v>
      </c>
      <c r="P293" s="54"/>
      <c r="Q293" s="54">
        <f t="shared" si="316"/>
        <v>2500</v>
      </c>
      <c r="R293" s="54"/>
      <c r="S293" s="54">
        <f t="shared" si="317"/>
        <v>2500</v>
      </c>
      <c r="T293" s="54"/>
      <c r="U293" s="54">
        <f t="shared" si="318"/>
        <v>2500</v>
      </c>
      <c r="V293" s="54"/>
      <c r="W293" s="54">
        <f t="shared" si="319"/>
        <v>2500</v>
      </c>
      <c r="X293" s="54"/>
      <c r="Y293" s="54">
        <f t="shared" si="320"/>
        <v>2500</v>
      </c>
      <c r="Z293" s="54">
        <v>-500</v>
      </c>
      <c r="AA293" s="54">
        <f t="shared" si="321"/>
        <v>2000</v>
      </c>
      <c r="AB293" s="54"/>
      <c r="AC293" s="54">
        <f t="shared" si="322"/>
        <v>2000</v>
      </c>
      <c r="AD293" s="54">
        <v>-350</v>
      </c>
      <c r="AE293" s="54">
        <f t="shared" si="323"/>
        <v>1650</v>
      </c>
      <c r="AF293" s="54"/>
      <c r="AG293" s="54">
        <f t="shared" si="324"/>
        <v>1650</v>
      </c>
      <c r="AH293" s="54">
        <v>-250</v>
      </c>
      <c r="AI293" s="54">
        <f t="shared" si="325"/>
        <v>1400</v>
      </c>
      <c r="AJ293" s="54"/>
      <c r="AK293" s="54">
        <f t="shared" si="326"/>
        <v>1400</v>
      </c>
    </row>
    <row r="294" spans="1:37" s="20" customFormat="1" ht="36">
      <c r="A294" s="41"/>
      <c r="B294" s="55"/>
      <c r="C294" s="58">
        <v>4740</v>
      </c>
      <c r="D294" s="12" t="s">
        <v>183</v>
      </c>
      <c r="E294" s="54">
        <v>4500</v>
      </c>
      <c r="F294" s="54"/>
      <c r="G294" s="54">
        <f aca="true" t="shared" si="327" ref="G294:G363">SUM(E294:F294)</f>
        <v>4500</v>
      </c>
      <c r="H294" s="54"/>
      <c r="I294" s="54">
        <f t="shared" si="312"/>
        <v>4500</v>
      </c>
      <c r="J294" s="54"/>
      <c r="K294" s="54">
        <f t="shared" si="313"/>
        <v>4500</v>
      </c>
      <c r="L294" s="54"/>
      <c r="M294" s="54">
        <f t="shared" si="314"/>
        <v>4500</v>
      </c>
      <c r="N294" s="54">
        <v>-1000</v>
      </c>
      <c r="O294" s="54">
        <f t="shared" si="315"/>
        <v>3500</v>
      </c>
      <c r="P294" s="54"/>
      <c r="Q294" s="54">
        <f t="shared" si="316"/>
        <v>3500</v>
      </c>
      <c r="R294" s="54"/>
      <c r="S294" s="54">
        <f t="shared" si="317"/>
        <v>3500</v>
      </c>
      <c r="T294" s="54"/>
      <c r="U294" s="54">
        <f t="shared" si="318"/>
        <v>3500</v>
      </c>
      <c r="V294" s="54"/>
      <c r="W294" s="54">
        <f t="shared" si="319"/>
        <v>3500</v>
      </c>
      <c r="X294" s="54"/>
      <c r="Y294" s="54">
        <f t="shared" si="320"/>
        <v>3500</v>
      </c>
      <c r="Z294" s="54">
        <v>-500</v>
      </c>
      <c r="AA294" s="54">
        <f t="shared" si="321"/>
        <v>3000</v>
      </c>
      <c r="AB294" s="54"/>
      <c r="AC294" s="54">
        <f t="shared" si="322"/>
        <v>3000</v>
      </c>
      <c r="AD294" s="54">
        <v>-700</v>
      </c>
      <c r="AE294" s="54">
        <f t="shared" si="323"/>
        <v>2300</v>
      </c>
      <c r="AF294" s="54"/>
      <c r="AG294" s="54">
        <f t="shared" si="324"/>
        <v>2300</v>
      </c>
      <c r="AH294" s="54"/>
      <c r="AI294" s="54">
        <f t="shared" si="325"/>
        <v>2300</v>
      </c>
      <c r="AJ294" s="54"/>
      <c r="AK294" s="54">
        <f t="shared" si="326"/>
        <v>2300</v>
      </c>
    </row>
    <row r="295" spans="1:37" s="20" customFormat="1" ht="24.75" customHeight="1">
      <c r="A295" s="41"/>
      <c r="B295" s="55"/>
      <c r="C295" s="58">
        <v>4750</v>
      </c>
      <c r="D295" s="12" t="s">
        <v>305</v>
      </c>
      <c r="E295" s="54">
        <v>14850</v>
      </c>
      <c r="F295" s="54"/>
      <c r="G295" s="54">
        <f t="shared" si="327"/>
        <v>14850</v>
      </c>
      <c r="H295" s="54"/>
      <c r="I295" s="54">
        <f t="shared" si="312"/>
        <v>14850</v>
      </c>
      <c r="J295" s="54"/>
      <c r="K295" s="54">
        <f t="shared" si="313"/>
        <v>14850</v>
      </c>
      <c r="L295" s="54"/>
      <c r="M295" s="54">
        <f t="shared" si="314"/>
        <v>14850</v>
      </c>
      <c r="N295" s="54">
        <v>1000</v>
      </c>
      <c r="O295" s="54">
        <f t="shared" si="315"/>
        <v>15850</v>
      </c>
      <c r="P295" s="54"/>
      <c r="Q295" s="54">
        <f t="shared" si="316"/>
        <v>15850</v>
      </c>
      <c r="R295" s="54"/>
      <c r="S295" s="54">
        <f t="shared" si="317"/>
        <v>15850</v>
      </c>
      <c r="T295" s="54"/>
      <c r="U295" s="54">
        <f t="shared" si="318"/>
        <v>15850</v>
      </c>
      <c r="V295" s="54"/>
      <c r="W295" s="54">
        <f t="shared" si="319"/>
        <v>15850</v>
      </c>
      <c r="X295" s="54"/>
      <c r="Y295" s="54">
        <f t="shared" si="320"/>
        <v>15850</v>
      </c>
      <c r="Z295" s="54">
        <v>1000</v>
      </c>
      <c r="AA295" s="54">
        <f t="shared" si="321"/>
        <v>16850</v>
      </c>
      <c r="AB295" s="54"/>
      <c r="AC295" s="54">
        <f t="shared" si="322"/>
        <v>16850</v>
      </c>
      <c r="AD295" s="54">
        <v>-500</v>
      </c>
      <c r="AE295" s="54">
        <f t="shared" si="323"/>
        <v>16350</v>
      </c>
      <c r="AF295" s="54">
        <v>750</v>
      </c>
      <c r="AG295" s="54">
        <f t="shared" si="324"/>
        <v>17100</v>
      </c>
      <c r="AH295" s="54"/>
      <c r="AI295" s="54">
        <f t="shared" si="325"/>
        <v>17100</v>
      </c>
      <c r="AJ295" s="54"/>
      <c r="AK295" s="54">
        <f t="shared" si="326"/>
        <v>17100</v>
      </c>
    </row>
    <row r="296" spans="1:41" s="20" customFormat="1" ht="24.75" customHeight="1">
      <c r="A296" s="41"/>
      <c r="B296" s="55"/>
      <c r="C296" s="58">
        <v>6050</v>
      </c>
      <c r="D296" s="12" t="s">
        <v>69</v>
      </c>
      <c r="E296" s="54">
        <f>4720000-1000000</f>
        <v>3720000</v>
      </c>
      <c r="F296" s="54">
        <f>-1200000+800000</f>
        <v>-400000</v>
      </c>
      <c r="G296" s="54">
        <f t="shared" si="327"/>
        <v>3320000</v>
      </c>
      <c r="H296" s="54"/>
      <c r="I296" s="54">
        <f t="shared" si="312"/>
        <v>3320000</v>
      </c>
      <c r="J296" s="54"/>
      <c r="K296" s="54">
        <f t="shared" si="313"/>
        <v>3320000</v>
      </c>
      <c r="L296" s="54"/>
      <c r="M296" s="54">
        <f t="shared" si="314"/>
        <v>3320000</v>
      </c>
      <c r="N296" s="54"/>
      <c r="O296" s="54">
        <f t="shared" si="315"/>
        <v>3320000</v>
      </c>
      <c r="P296" s="54"/>
      <c r="Q296" s="54">
        <f t="shared" si="316"/>
        <v>3320000</v>
      </c>
      <c r="R296" s="54"/>
      <c r="S296" s="54">
        <f t="shared" si="317"/>
        <v>3320000</v>
      </c>
      <c r="T296" s="54"/>
      <c r="U296" s="54">
        <f t="shared" si="318"/>
        <v>3320000</v>
      </c>
      <c r="V296" s="54"/>
      <c r="W296" s="54">
        <f t="shared" si="319"/>
        <v>3320000</v>
      </c>
      <c r="X296" s="54"/>
      <c r="Y296" s="54">
        <f t="shared" si="320"/>
        <v>3320000</v>
      </c>
      <c r="Z296" s="54">
        <f>-1810786+680000-680000+680000</f>
        <v>-1130786</v>
      </c>
      <c r="AA296" s="54">
        <f t="shared" si="321"/>
        <v>2189214</v>
      </c>
      <c r="AB296" s="54"/>
      <c r="AC296" s="54">
        <f t="shared" si="322"/>
        <v>2189214</v>
      </c>
      <c r="AD296" s="54">
        <f>-689214-237300</f>
        <v>-926514</v>
      </c>
      <c r="AE296" s="54">
        <f t="shared" si="323"/>
        <v>1262700</v>
      </c>
      <c r="AF296" s="54"/>
      <c r="AG296" s="54">
        <f t="shared" si="324"/>
        <v>1262700</v>
      </c>
      <c r="AH296" s="54"/>
      <c r="AI296" s="54">
        <f t="shared" si="325"/>
        <v>1262700</v>
      </c>
      <c r="AJ296" s="54"/>
      <c r="AK296" s="54">
        <f t="shared" si="326"/>
        <v>1262700</v>
      </c>
      <c r="AN296" s="67"/>
      <c r="AO296" s="67"/>
    </row>
    <row r="297" spans="1:37" s="20" customFormat="1" ht="21" customHeight="1">
      <c r="A297" s="41"/>
      <c r="B297" s="45" t="s">
        <v>344</v>
      </c>
      <c r="C297" s="34"/>
      <c r="D297" s="12" t="s">
        <v>345</v>
      </c>
      <c r="E297" s="44">
        <f aca="true" t="shared" si="328" ref="E297:W297">SUM(E298:E303)</f>
        <v>309460</v>
      </c>
      <c r="F297" s="44">
        <f t="shared" si="328"/>
        <v>0</v>
      </c>
      <c r="G297" s="44">
        <f t="shared" si="328"/>
        <v>309460</v>
      </c>
      <c r="H297" s="44">
        <f t="shared" si="328"/>
        <v>0</v>
      </c>
      <c r="I297" s="44">
        <f t="shared" si="328"/>
        <v>309460</v>
      </c>
      <c r="J297" s="44">
        <f t="shared" si="328"/>
        <v>0</v>
      </c>
      <c r="K297" s="44">
        <f t="shared" si="328"/>
        <v>309460</v>
      </c>
      <c r="L297" s="44">
        <f t="shared" si="328"/>
        <v>0</v>
      </c>
      <c r="M297" s="44">
        <f t="shared" si="328"/>
        <v>309460</v>
      </c>
      <c r="N297" s="44">
        <f t="shared" si="328"/>
        <v>0</v>
      </c>
      <c r="O297" s="44">
        <f t="shared" si="328"/>
        <v>309460</v>
      </c>
      <c r="P297" s="44">
        <f t="shared" si="328"/>
        <v>0</v>
      </c>
      <c r="Q297" s="44">
        <f t="shared" si="328"/>
        <v>309460</v>
      </c>
      <c r="R297" s="44">
        <f t="shared" si="328"/>
        <v>0</v>
      </c>
      <c r="S297" s="44">
        <f t="shared" si="328"/>
        <v>309460</v>
      </c>
      <c r="T297" s="44">
        <f t="shared" si="328"/>
        <v>0</v>
      </c>
      <c r="U297" s="44">
        <f t="shared" si="328"/>
        <v>309460</v>
      </c>
      <c r="V297" s="44">
        <f t="shared" si="328"/>
        <v>-85</v>
      </c>
      <c r="W297" s="44">
        <f t="shared" si="328"/>
        <v>309375</v>
      </c>
      <c r="X297" s="44">
        <f aca="true" t="shared" si="329" ref="X297:AC297">SUM(X298:X303)</f>
        <v>0</v>
      </c>
      <c r="Y297" s="44">
        <f t="shared" si="329"/>
        <v>309375</v>
      </c>
      <c r="Z297" s="44">
        <f t="shared" si="329"/>
        <v>0</v>
      </c>
      <c r="AA297" s="44">
        <f t="shared" si="329"/>
        <v>309375</v>
      </c>
      <c r="AB297" s="44">
        <f t="shared" si="329"/>
        <v>0</v>
      </c>
      <c r="AC297" s="44">
        <f t="shared" si="329"/>
        <v>309375</v>
      </c>
      <c r="AD297" s="44" t="s">
        <v>403</v>
      </c>
      <c r="AE297" s="44">
        <f>SUM(AE298:AE303)</f>
        <v>309375</v>
      </c>
      <c r="AF297" s="44" t="s">
        <v>403</v>
      </c>
      <c r="AG297" s="44">
        <f>SUM(AG298:AG303)</f>
        <v>309375</v>
      </c>
      <c r="AH297" s="44" t="s">
        <v>403</v>
      </c>
      <c r="AI297" s="44">
        <f>SUM(AI298:AI303)</f>
        <v>309375</v>
      </c>
      <c r="AJ297" s="44" t="s">
        <v>403</v>
      </c>
      <c r="AK297" s="44">
        <f>SUM(AK298:AK303)</f>
        <v>309375</v>
      </c>
    </row>
    <row r="298" spans="1:39" s="20" customFormat="1" ht="21" customHeight="1">
      <c r="A298" s="41"/>
      <c r="B298" s="45"/>
      <c r="C298" s="34">
        <v>4110</v>
      </c>
      <c r="D298" s="31" t="s">
        <v>81</v>
      </c>
      <c r="E298" s="44">
        <v>2592</v>
      </c>
      <c r="F298" s="44"/>
      <c r="G298" s="54">
        <f t="shared" si="327"/>
        <v>2592</v>
      </c>
      <c r="H298" s="44"/>
      <c r="I298" s="54">
        <f aca="true" t="shared" si="330" ref="I298:I303">SUM(G298:H298)</f>
        <v>2592</v>
      </c>
      <c r="J298" s="44"/>
      <c r="K298" s="54">
        <f aca="true" t="shared" si="331" ref="K298:K303">SUM(I298:J298)</f>
        <v>2592</v>
      </c>
      <c r="L298" s="44"/>
      <c r="M298" s="54">
        <f aca="true" t="shared" si="332" ref="M298:M303">SUM(K298:L298)</f>
        <v>2592</v>
      </c>
      <c r="N298" s="44"/>
      <c r="O298" s="54">
        <f aca="true" t="shared" si="333" ref="O298:O303">SUM(M298:N298)</f>
        <v>2592</v>
      </c>
      <c r="P298" s="44"/>
      <c r="Q298" s="54">
        <f aca="true" t="shared" si="334" ref="Q298:Q303">SUM(O298:P298)</f>
        <v>2592</v>
      </c>
      <c r="R298" s="44"/>
      <c r="S298" s="54">
        <f aca="true" t="shared" si="335" ref="S298:S303">SUM(Q298:R298)</f>
        <v>2592</v>
      </c>
      <c r="T298" s="44"/>
      <c r="U298" s="54">
        <f aca="true" t="shared" si="336" ref="U298:U303">SUM(S298:T298)</f>
        <v>2592</v>
      </c>
      <c r="V298" s="44"/>
      <c r="W298" s="54">
        <f aca="true" t="shared" si="337" ref="W298:W303">SUM(U298:V298)</f>
        <v>2592</v>
      </c>
      <c r="X298" s="44"/>
      <c r="Y298" s="54">
        <f aca="true" t="shared" si="338" ref="Y298:Y303">SUM(W298:X298)</f>
        <v>2592</v>
      </c>
      <c r="Z298" s="44"/>
      <c r="AA298" s="54">
        <f aca="true" t="shared" si="339" ref="AA298:AA303">SUM(Y298:Z298)</f>
        <v>2592</v>
      </c>
      <c r="AB298" s="44"/>
      <c r="AC298" s="54">
        <f aca="true" t="shared" si="340" ref="AC298:AC303">SUM(AA298:AB298)</f>
        <v>2592</v>
      </c>
      <c r="AD298" s="168">
        <v>228</v>
      </c>
      <c r="AE298" s="54">
        <f aca="true" t="shared" si="341" ref="AE298:AE303">SUM(AC298:AD298)</f>
        <v>2820</v>
      </c>
      <c r="AF298" s="168"/>
      <c r="AG298" s="54">
        <f aca="true" t="shared" si="342" ref="AG298:AG303">SUM(AE298:AF298)</f>
        <v>2820</v>
      </c>
      <c r="AH298" s="168"/>
      <c r="AI298" s="54">
        <f aca="true" t="shared" si="343" ref="AI298:AI303">SUM(AG298:AH298)</f>
        <v>2820</v>
      </c>
      <c r="AJ298" s="168"/>
      <c r="AK298" s="54">
        <f aca="true" t="shared" si="344" ref="AK298:AK303">SUM(AI298:AJ298)</f>
        <v>2820</v>
      </c>
      <c r="AL298" s="67"/>
      <c r="AM298" s="67"/>
    </row>
    <row r="299" spans="1:39" s="20" customFormat="1" ht="21" customHeight="1">
      <c r="A299" s="41"/>
      <c r="B299" s="45"/>
      <c r="C299" s="34">
        <v>4120</v>
      </c>
      <c r="D299" s="31" t="s">
        <v>82</v>
      </c>
      <c r="E299" s="44">
        <v>368</v>
      </c>
      <c r="F299" s="44"/>
      <c r="G299" s="54">
        <f t="shared" si="327"/>
        <v>368</v>
      </c>
      <c r="H299" s="44"/>
      <c r="I299" s="54">
        <f t="shared" si="330"/>
        <v>368</v>
      </c>
      <c r="J299" s="44"/>
      <c r="K299" s="54">
        <f t="shared" si="331"/>
        <v>368</v>
      </c>
      <c r="L299" s="44"/>
      <c r="M299" s="54">
        <f t="shared" si="332"/>
        <v>368</v>
      </c>
      <c r="N299" s="44"/>
      <c r="O299" s="54">
        <f t="shared" si="333"/>
        <v>368</v>
      </c>
      <c r="P299" s="44"/>
      <c r="Q299" s="54">
        <f t="shared" si="334"/>
        <v>368</v>
      </c>
      <c r="R299" s="44"/>
      <c r="S299" s="54">
        <f t="shared" si="335"/>
        <v>368</v>
      </c>
      <c r="T299" s="44"/>
      <c r="U299" s="54">
        <f t="shared" si="336"/>
        <v>368</v>
      </c>
      <c r="V299" s="44"/>
      <c r="W299" s="54">
        <f t="shared" si="337"/>
        <v>368</v>
      </c>
      <c r="X299" s="44"/>
      <c r="Y299" s="54">
        <f t="shared" si="338"/>
        <v>368</v>
      </c>
      <c r="Z299" s="44"/>
      <c r="AA299" s="54">
        <f t="shared" si="339"/>
        <v>368</v>
      </c>
      <c r="AB299" s="44"/>
      <c r="AC299" s="54">
        <f t="shared" si="340"/>
        <v>368</v>
      </c>
      <c r="AD299" s="168"/>
      <c r="AE299" s="54">
        <f t="shared" si="341"/>
        <v>368</v>
      </c>
      <c r="AF299" s="168"/>
      <c r="AG299" s="54">
        <f t="shared" si="342"/>
        <v>368</v>
      </c>
      <c r="AH299" s="168"/>
      <c r="AI299" s="54">
        <f t="shared" si="343"/>
        <v>368</v>
      </c>
      <c r="AJ299" s="168"/>
      <c r="AK299" s="54">
        <f t="shared" si="344"/>
        <v>368</v>
      </c>
      <c r="AL299" s="67"/>
      <c r="AM299" s="67"/>
    </row>
    <row r="300" spans="1:39" s="20" customFormat="1" ht="21" customHeight="1">
      <c r="A300" s="41"/>
      <c r="B300" s="45"/>
      <c r="C300" s="34">
        <v>4170</v>
      </c>
      <c r="D300" s="31" t="s">
        <v>161</v>
      </c>
      <c r="E300" s="44">
        <v>24000</v>
      </c>
      <c r="F300" s="44"/>
      <c r="G300" s="54">
        <f t="shared" si="327"/>
        <v>24000</v>
      </c>
      <c r="H300" s="44"/>
      <c r="I300" s="54">
        <f t="shared" si="330"/>
        <v>24000</v>
      </c>
      <c r="J300" s="44"/>
      <c r="K300" s="54">
        <f t="shared" si="331"/>
        <v>24000</v>
      </c>
      <c r="L300" s="44"/>
      <c r="M300" s="54">
        <f t="shared" si="332"/>
        <v>24000</v>
      </c>
      <c r="N300" s="44"/>
      <c r="O300" s="54">
        <f t="shared" si="333"/>
        <v>24000</v>
      </c>
      <c r="P300" s="44"/>
      <c r="Q300" s="54">
        <f t="shared" si="334"/>
        <v>24000</v>
      </c>
      <c r="R300" s="44"/>
      <c r="S300" s="54">
        <f t="shared" si="335"/>
        <v>24000</v>
      </c>
      <c r="T300" s="44"/>
      <c r="U300" s="54">
        <f t="shared" si="336"/>
        <v>24000</v>
      </c>
      <c r="V300" s="44"/>
      <c r="W300" s="54">
        <f t="shared" si="337"/>
        <v>24000</v>
      </c>
      <c r="X300" s="44"/>
      <c r="Y300" s="54">
        <f t="shared" si="338"/>
        <v>24000</v>
      </c>
      <c r="Z300" s="44">
        <v>3000</v>
      </c>
      <c r="AA300" s="54">
        <f t="shared" si="339"/>
        <v>27000</v>
      </c>
      <c r="AB300" s="44"/>
      <c r="AC300" s="54">
        <f t="shared" si="340"/>
        <v>27000</v>
      </c>
      <c r="AD300" s="168">
        <v>1500</v>
      </c>
      <c r="AE300" s="54">
        <f t="shared" si="341"/>
        <v>28500</v>
      </c>
      <c r="AF300" s="168"/>
      <c r="AG300" s="54">
        <f t="shared" si="342"/>
        <v>28500</v>
      </c>
      <c r="AH300" s="168"/>
      <c r="AI300" s="54">
        <f t="shared" si="343"/>
        <v>28500</v>
      </c>
      <c r="AJ300" s="168"/>
      <c r="AK300" s="54">
        <f t="shared" si="344"/>
        <v>28500</v>
      </c>
      <c r="AL300" s="67"/>
      <c r="AM300" s="67"/>
    </row>
    <row r="301" spans="1:37" s="20" customFormat="1" ht="21" customHeight="1">
      <c r="A301" s="41"/>
      <c r="B301" s="45"/>
      <c r="C301" s="34">
        <v>4210</v>
      </c>
      <c r="D301" s="12" t="s">
        <v>86</v>
      </c>
      <c r="E301" s="44">
        <v>45000</v>
      </c>
      <c r="F301" s="44"/>
      <c r="G301" s="54">
        <f t="shared" si="327"/>
        <v>45000</v>
      </c>
      <c r="H301" s="44"/>
      <c r="I301" s="54">
        <f t="shared" si="330"/>
        <v>45000</v>
      </c>
      <c r="J301" s="44"/>
      <c r="K301" s="54">
        <f t="shared" si="331"/>
        <v>45000</v>
      </c>
      <c r="L301" s="44"/>
      <c r="M301" s="54">
        <f t="shared" si="332"/>
        <v>45000</v>
      </c>
      <c r="N301" s="44"/>
      <c r="O301" s="54">
        <f t="shared" si="333"/>
        <v>45000</v>
      </c>
      <c r="P301" s="44"/>
      <c r="Q301" s="54">
        <f t="shared" si="334"/>
        <v>45000</v>
      </c>
      <c r="R301" s="44"/>
      <c r="S301" s="54">
        <f t="shared" si="335"/>
        <v>45000</v>
      </c>
      <c r="T301" s="44"/>
      <c r="U301" s="54">
        <f t="shared" si="336"/>
        <v>45000</v>
      </c>
      <c r="V301" s="44">
        <v>-85</v>
      </c>
      <c r="W301" s="54">
        <f t="shared" si="337"/>
        <v>44915</v>
      </c>
      <c r="X301" s="44"/>
      <c r="Y301" s="54">
        <f t="shared" si="338"/>
        <v>44915</v>
      </c>
      <c r="Z301" s="44"/>
      <c r="AA301" s="54">
        <f t="shared" si="339"/>
        <v>44915</v>
      </c>
      <c r="AB301" s="44"/>
      <c r="AC301" s="54">
        <f t="shared" si="340"/>
        <v>44915</v>
      </c>
      <c r="AD301" s="168"/>
      <c r="AE301" s="54">
        <f t="shared" si="341"/>
        <v>44915</v>
      </c>
      <c r="AF301" s="168"/>
      <c r="AG301" s="54">
        <f t="shared" si="342"/>
        <v>44915</v>
      </c>
      <c r="AH301" s="168"/>
      <c r="AI301" s="54">
        <f t="shared" si="343"/>
        <v>44915</v>
      </c>
      <c r="AJ301" s="168"/>
      <c r="AK301" s="54">
        <f t="shared" si="344"/>
        <v>44915</v>
      </c>
    </row>
    <row r="302" spans="1:37" s="20" customFormat="1" ht="21" customHeight="1">
      <c r="A302" s="41"/>
      <c r="B302" s="45"/>
      <c r="C302" s="34">
        <v>4300</v>
      </c>
      <c r="D302" s="12" t="s">
        <v>75</v>
      </c>
      <c r="E302" s="44">
        <f>215000+10000+8000</f>
        <v>233000</v>
      </c>
      <c r="F302" s="44"/>
      <c r="G302" s="54">
        <f t="shared" si="327"/>
        <v>233000</v>
      </c>
      <c r="H302" s="44"/>
      <c r="I302" s="54">
        <f t="shared" si="330"/>
        <v>233000</v>
      </c>
      <c r="J302" s="44"/>
      <c r="K302" s="54">
        <f t="shared" si="331"/>
        <v>233000</v>
      </c>
      <c r="L302" s="44"/>
      <c r="M302" s="54">
        <f t="shared" si="332"/>
        <v>233000</v>
      </c>
      <c r="N302" s="44"/>
      <c r="O302" s="54">
        <f t="shared" si="333"/>
        <v>233000</v>
      </c>
      <c r="P302" s="44"/>
      <c r="Q302" s="54">
        <f t="shared" si="334"/>
        <v>233000</v>
      </c>
      <c r="R302" s="44"/>
      <c r="S302" s="54">
        <f t="shared" si="335"/>
        <v>233000</v>
      </c>
      <c r="T302" s="44"/>
      <c r="U302" s="54">
        <f t="shared" si="336"/>
        <v>233000</v>
      </c>
      <c r="V302" s="44"/>
      <c r="W302" s="54">
        <f t="shared" si="337"/>
        <v>233000</v>
      </c>
      <c r="X302" s="44"/>
      <c r="Y302" s="54">
        <f t="shared" si="338"/>
        <v>233000</v>
      </c>
      <c r="Z302" s="44">
        <v>-3000</v>
      </c>
      <c r="AA302" s="54">
        <f t="shared" si="339"/>
        <v>230000</v>
      </c>
      <c r="AB302" s="44"/>
      <c r="AC302" s="54">
        <f t="shared" si="340"/>
        <v>230000</v>
      </c>
      <c r="AD302" s="44">
        <v>-8228</v>
      </c>
      <c r="AE302" s="54">
        <f t="shared" si="341"/>
        <v>221772</v>
      </c>
      <c r="AF302" s="44"/>
      <c r="AG302" s="54">
        <f t="shared" si="342"/>
        <v>221772</v>
      </c>
      <c r="AH302" s="44"/>
      <c r="AI302" s="54">
        <f t="shared" si="343"/>
        <v>221772</v>
      </c>
      <c r="AJ302" s="44">
        <v>5000</v>
      </c>
      <c r="AK302" s="54">
        <f t="shared" si="344"/>
        <v>226772</v>
      </c>
    </row>
    <row r="303" spans="1:37" s="20" customFormat="1" ht="21" customHeight="1">
      <c r="A303" s="41"/>
      <c r="B303" s="45"/>
      <c r="C303" s="34">
        <v>4430</v>
      </c>
      <c r="D303" s="31" t="s">
        <v>87</v>
      </c>
      <c r="E303" s="44">
        <v>4500</v>
      </c>
      <c r="F303" s="44"/>
      <c r="G303" s="54">
        <f t="shared" si="327"/>
        <v>4500</v>
      </c>
      <c r="H303" s="44"/>
      <c r="I303" s="54">
        <f t="shared" si="330"/>
        <v>4500</v>
      </c>
      <c r="J303" s="44"/>
      <c r="K303" s="54">
        <f t="shared" si="331"/>
        <v>4500</v>
      </c>
      <c r="L303" s="44"/>
      <c r="M303" s="54">
        <f t="shared" si="332"/>
        <v>4500</v>
      </c>
      <c r="N303" s="44"/>
      <c r="O303" s="54">
        <f t="shared" si="333"/>
        <v>4500</v>
      </c>
      <c r="P303" s="44"/>
      <c r="Q303" s="54">
        <f t="shared" si="334"/>
        <v>4500</v>
      </c>
      <c r="R303" s="44"/>
      <c r="S303" s="54">
        <f t="shared" si="335"/>
        <v>4500</v>
      </c>
      <c r="T303" s="44"/>
      <c r="U303" s="54">
        <f t="shared" si="336"/>
        <v>4500</v>
      </c>
      <c r="V303" s="44"/>
      <c r="W303" s="54">
        <f t="shared" si="337"/>
        <v>4500</v>
      </c>
      <c r="X303" s="44"/>
      <c r="Y303" s="54">
        <f t="shared" si="338"/>
        <v>4500</v>
      </c>
      <c r="Z303" s="44"/>
      <c r="AA303" s="54">
        <f t="shared" si="339"/>
        <v>4500</v>
      </c>
      <c r="AB303" s="44"/>
      <c r="AC303" s="54">
        <f t="shared" si="340"/>
        <v>4500</v>
      </c>
      <c r="AD303" s="44">
        <v>6500</v>
      </c>
      <c r="AE303" s="54">
        <f t="shared" si="341"/>
        <v>11000</v>
      </c>
      <c r="AF303" s="44"/>
      <c r="AG303" s="54">
        <f t="shared" si="342"/>
        <v>11000</v>
      </c>
      <c r="AH303" s="44"/>
      <c r="AI303" s="54">
        <f t="shared" si="343"/>
        <v>11000</v>
      </c>
      <c r="AJ303" s="44">
        <v>-5000</v>
      </c>
      <c r="AK303" s="54">
        <f t="shared" si="344"/>
        <v>6000</v>
      </c>
    </row>
    <row r="304" spans="1:37" s="20" customFormat="1" ht="21" customHeight="1">
      <c r="A304" s="41"/>
      <c r="B304" s="140">
        <v>80146</v>
      </c>
      <c r="C304" s="135"/>
      <c r="D304" s="31" t="s">
        <v>120</v>
      </c>
      <c r="E304" s="54">
        <f>SUM(E305:E306)</f>
        <v>109224</v>
      </c>
      <c r="F304" s="54">
        <f>SUM(F305:F306)</f>
        <v>0</v>
      </c>
      <c r="G304" s="54">
        <f>SUM(G305:G306)</f>
        <v>109224</v>
      </c>
      <c r="H304" s="54">
        <f>SUM(H305:H306)</f>
        <v>0</v>
      </c>
      <c r="I304" s="54">
        <f aca="true" t="shared" si="345" ref="I304:U304">SUM(I305:I308)</f>
        <v>109224</v>
      </c>
      <c r="J304" s="54">
        <f t="shared" si="345"/>
        <v>0</v>
      </c>
      <c r="K304" s="54">
        <f t="shared" si="345"/>
        <v>109224</v>
      </c>
      <c r="L304" s="54">
        <f t="shared" si="345"/>
        <v>0</v>
      </c>
      <c r="M304" s="54">
        <f t="shared" si="345"/>
        <v>109224</v>
      </c>
      <c r="N304" s="54">
        <f t="shared" si="345"/>
        <v>0</v>
      </c>
      <c r="O304" s="54">
        <f t="shared" si="345"/>
        <v>109224</v>
      </c>
      <c r="P304" s="54">
        <f t="shared" si="345"/>
        <v>0</v>
      </c>
      <c r="Q304" s="54">
        <f t="shared" si="345"/>
        <v>109224</v>
      </c>
      <c r="R304" s="54">
        <f t="shared" si="345"/>
        <v>0</v>
      </c>
      <c r="S304" s="54">
        <f t="shared" si="345"/>
        <v>109224</v>
      </c>
      <c r="T304" s="54">
        <f t="shared" si="345"/>
        <v>0</v>
      </c>
      <c r="U304" s="54">
        <f t="shared" si="345"/>
        <v>109224</v>
      </c>
      <c r="V304" s="54">
        <f aca="true" t="shared" si="346" ref="V304:AA304">SUM(V305:V308)</f>
        <v>0</v>
      </c>
      <c r="W304" s="54">
        <f t="shared" si="346"/>
        <v>109224</v>
      </c>
      <c r="X304" s="54">
        <f t="shared" si="346"/>
        <v>0</v>
      </c>
      <c r="Y304" s="54">
        <f t="shared" si="346"/>
        <v>109224</v>
      </c>
      <c r="Z304" s="54">
        <f t="shared" si="346"/>
        <v>0</v>
      </c>
      <c r="AA304" s="54">
        <f t="shared" si="346"/>
        <v>109224</v>
      </c>
      <c r="AB304" s="54">
        <f aca="true" t="shared" si="347" ref="AB304:AG304">SUM(AB305:AB308)</f>
        <v>0</v>
      </c>
      <c r="AC304" s="54">
        <f t="shared" si="347"/>
        <v>109224</v>
      </c>
      <c r="AD304" s="54">
        <f t="shared" si="347"/>
        <v>322</v>
      </c>
      <c r="AE304" s="54">
        <f t="shared" si="347"/>
        <v>109546</v>
      </c>
      <c r="AF304" s="54">
        <f t="shared" si="347"/>
        <v>0</v>
      </c>
      <c r="AG304" s="54">
        <f t="shared" si="347"/>
        <v>109546</v>
      </c>
      <c r="AH304" s="54">
        <f>SUM(AH305:AH308)</f>
        <v>0</v>
      </c>
      <c r="AI304" s="54">
        <f>SUM(AI305:AI308)</f>
        <v>109546</v>
      </c>
      <c r="AJ304" s="54">
        <f>SUM(AJ305:AJ308)</f>
        <v>0</v>
      </c>
      <c r="AK304" s="54">
        <f>SUM(AK305:AK308)</f>
        <v>109546</v>
      </c>
    </row>
    <row r="305" spans="1:43" s="20" customFormat="1" ht="24">
      <c r="A305" s="41"/>
      <c r="B305" s="140"/>
      <c r="C305" s="135">
        <v>2510</v>
      </c>
      <c r="D305" s="31" t="s">
        <v>341</v>
      </c>
      <c r="E305" s="54">
        <v>13687</v>
      </c>
      <c r="F305" s="54"/>
      <c r="G305" s="54">
        <f t="shared" si="327"/>
        <v>13687</v>
      </c>
      <c r="H305" s="54"/>
      <c r="I305" s="54">
        <f>SUM(G305:H305)</f>
        <v>13687</v>
      </c>
      <c r="J305" s="54"/>
      <c r="K305" s="54">
        <f>SUM(I305:J305)</f>
        <v>13687</v>
      </c>
      <c r="L305" s="54"/>
      <c r="M305" s="54">
        <f>SUM(K305:L305)</f>
        <v>13687</v>
      </c>
      <c r="N305" s="54"/>
      <c r="O305" s="54">
        <f>SUM(M305:N305)</f>
        <v>13687</v>
      </c>
      <c r="P305" s="54"/>
      <c r="Q305" s="54">
        <f>SUM(O305:P305)</f>
        <v>13687</v>
      </c>
      <c r="R305" s="54"/>
      <c r="S305" s="54">
        <f>SUM(Q305:R305)</f>
        <v>13687</v>
      </c>
      <c r="T305" s="54"/>
      <c r="U305" s="54">
        <f>SUM(S305:T305)</f>
        <v>13687</v>
      </c>
      <c r="V305" s="54"/>
      <c r="W305" s="54">
        <f>SUM(U305:V305)</f>
        <v>13687</v>
      </c>
      <c r="X305" s="54"/>
      <c r="Y305" s="54">
        <f>SUM(W305:X305)</f>
        <v>13687</v>
      </c>
      <c r="Z305" s="54"/>
      <c r="AA305" s="54">
        <f>SUM(Y305:Z305)</f>
        <v>13687</v>
      </c>
      <c r="AB305" s="54"/>
      <c r="AC305" s="54">
        <f>SUM(AA305:AB305)</f>
        <v>13687</v>
      </c>
      <c r="AD305" s="54"/>
      <c r="AE305" s="54">
        <f>SUM(AC305:AD305)</f>
        <v>13687</v>
      </c>
      <c r="AF305" s="54"/>
      <c r="AG305" s="54">
        <f>SUM(AE305:AF305)</f>
        <v>13687</v>
      </c>
      <c r="AH305" s="54"/>
      <c r="AI305" s="54">
        <f>SUM(AG305:AH305)</f>
        <v>13687</v>
      </c>
      <c r="AJ305" s="54"/>
      <c r="AK305" s="54">
        <f>SUM(AI305:AJ305)</f>
        <v>13687</v>
      </c>
      <c r="AP305" s="67"/>
      <c r="AQ305" s="67"/>
    </row>
    <row r="306" spans="1:37" s="20" customFormat="1" ht="21" customHeight="1">
      <c r="A306" s="41"/>
      <c r="B306" s="140"/>
      <c r="C306" s="135">
        <v>4300</v>
      </c>
      <c r="D306" s="31" t="s">
        <v>75</v>
      </c>
      <c r="E306" s="54">
        <v>95537</v>
      </c>
      <c r="F306" s="54"/>
      <c r="G306" s="54">
        <f t="shared" si="327"/>
        <v>95537</v>
      </c>
      <c r="H306" s="54"/>
      <c r="I306" s="54">
        <f>SUM(G306:H306)</f>
        <v>95537</v>
      </c>
      <c r="J306" s="54">
        <f>-42185-28357</f>
        <v>-70542</v>
      </c>
      <c r="K306" s="54">
        <f>SUM(I306:J306)</f>
        <v>24995</v>
      </c>
      <c r="L306" s="54"/>
      <c r="M306" s="54">
        <f>SUM(K306:L306)</f>
        <v>24995</v>
      </c>
      <c r="N306" s="54"/>
      <c r="O306" s="54">
        <f>SUM(M306:N306)</f>
        <v>24995</v>
      </c>
      <c r="P306" s="54"/>
      <c r="Q306" s="54">
        <f>SUM(O306:P306)</f>
        <v>24995</v>
      </c>
      <c r="R306" s="54"/>
      <c r="S306" s="54">
        <f>SUM(Q306:R306)</f>
        <v>24995</v>
      </c>
      <c r="T306" s="54"/>
      <c r="U306" s="54">
        <f>SUM(S306:T306)</f>
        <v>24995</v>
      </c>
      <c r="V306" s="54"/>
      <c r="W306" s="54">
        <f>SUM(U306:V306)</f>
        <v>24995</v>
      </c>
      <c r="X306" s="54"/>
      <c r="Y306" s="54">
        <f>SUM(W306:X306)</f>
        <v>24995</v>
      </c>
      <c r="Z306" s="54"/>
      <c r="AA306" s="54">
        <f>SUM(Y306:Z306)</f>
        <v>24995</v>
      </c>
      <c r="AB306" s="54"/>
      <c r="AC306" s="54">
        <f>SUM(AA306:AB306)</f>
        <v>24995</v>
      </c>
      <c r="AD306" s="54">
        <v>-2000</v>
      </c>
      <c r="AE306" s="54">
        <f>SUM(AC306:AD306)</f>
        <v>22995</v>
      </c>
      <c r="AF306" s="54"/>
      <c r="AG306" s="54">
        <f>SUM(AE306:AF306)</f>
        <v>22995</v>
      </c>
      <c r="AH306" s="54"/>
      <c r="AI306" s="54">
        <f>SUM(AG306:AH306)</f>
        <v>22995</v>
      </c>
      <c r="AJ306" s="54"/>
      <c r="AK306" s="54">
        <f>SUM(AI306:AJ306)</f>
        <v>22995</v>
      </c>
    </row>
    <row r="307" spans="1:37" s="20" customFormat="1" ht="21" customHeight="1">
      <c r="A307" s="41"/>
      <c r="B307" s="140"/>
      <c r="C307" s="135">
        <v>4410</v>
      </c>
      <c r="D307" s="31" t="s">
        <v>85</v>
      </c>
      <c r="E307" s="54"/>
      <c r="F307" s="54"/>
      <c r="G307" s="54"/>
      <c r="H307" s="54"/>
      <c r="I307" s="54">
        <v>0</v>
      </c>
      <c r="J307" s="54">
        <v>28357</v>
      </c>
      <c r="K307" s="54">
        <f>SUM(I307:J307)</f>
        <v>28357</v>
      </c>
      <c r="L307" s="54"/>
      <c r="M307" s="54">
        <f>SUM(K307:L307)</f>
        <v>28357</v>
      </c>
      <c r="N307" s="54"/>
      <c r="O307" s="54">
        <f>SUM(M307:N307)</f>
        <v>28357</v>
      </c>
      <c r="P307" s="54"/>
      <c r="Q307" s="54">
        <f>SUM(O307:P307)</f>
        <v>28357</v>
      </c>
      <c r="R307" s="54"/>
      <c r="S307" s="54">
        <f>SUM(Q307:R307)</f>
        <v>28357</v>
      </c>
      <c r="T307" s="54"/>
      <c r="U307" s="54">
        <f>SUM(S307:T307)</f>
        <v>28357</v>
      </c>
      <c r="V307" s="54"/>
      <c r="W307" s="54">
        <f>SUM(U307:V307)</f>
        <v>28357</v>
      </c>
      <c r="X307" s="54"/>
      <c r="Y307" s="54">
        <f>SUM(W307:X307)</f>
        <v>28357</v>
      </c>
      <c r="Z307" s="54"/>
      <c r="AA307" s="54">
        <f>SUM(Y307:Z307)</f>
        <v>28357</v>
      </c>
      <c r="AB307" s="54"/>
      <c r="AC307" s="54">
        <f>SUM(AA307:AB307)</f>
        <v>28357</v>
      </c>
      <c r="AD307" s="54">
        <v>-2788</v>
      </c>
      <c r="AE307" s="54">
        <f>SUM(AC307:AD307)</f>
        <v>25569</v>
      </c>
      <c r="AF307" s="54">
        <v>-2617</v>
      </c>
      <c r="AG307" s="54">
        <f>SUM(AE307:AF307)</f>
        <v>22952</v>
      </c>
      <c r="AH307" s="54">
        <v>438</v>
      </c>
      <c r="AI307" s="54">
        <f>SUM(AG307:AH307)</f>
        <v>23390</v>
      </c>
      <c r="AJ307" s="54"/>
      <c r="AK307" s="54">
        <f>SUM(AI307:AJ307)</f>
        <v>23390</v>
      </c>
    </row>
    <row r="308" spans="1:37" s="20" customFormat="1" ht="25.5" customHeight="1">
      <c r="A308" s="41"/>
      <c r="B308" s="140"/>
      <c r="C308" s="135">
        <v>4700</v>
      </c>
      <c r="D308" s="31" t="s">
        <v>193</v>
      </c>
      <c r="E308" s="54"/>
      <c r="F308" s="54"/>
      <c r="G308" s="54"/>
      <c r="H308" s="54"/>
      <c r="I308" s="54">
        <v>0</v>
      </c>
      <c r="J308" s="54">
        <v>42185</v>
      </c>
      <c r="K308" s="54">
        <f>SUM(I308:J308)</f>
        <v>42185</v>
      </c>
      <c r="L308" s="54"/>
      <c r="M308" s="54">
        <f>SUM(K308:L308)</f>
        <v>42185</v>
      </c>
      <c r="N308" s="54"/>
      <c r="O308" s="54">
        <f>SUM(M308:N308)</f>
        <v>42185</v>
      </c>
      <c r="P308" s="54"/>
      <c r="Q308" s="54">
        <f>SUM(O308:P308)</f>
        <v>42185</v>
      </c>
      <c r="R308" s="54"/>
      <c r="S308" s="54">
        <f>SUM(Q308:R308)</f>
        <v>42185</v>
      </c>
      <c r="T308" s="54"/>
      <c r="U308" s="54">
        <f>SUM(S308:T308)</f>
        <v>42185</v>
      </c>
      <c r="V308" s="54"/>
      <c r="W308" s="54">
        <f>SUM(U308:V308)</f>
        <v>42185</v>
      </c>
      <c r="X308" s="54"/>
      <c r="Y308" s="54">
        <f>SUM(W308:X308)</f>
        <v>42185</v>
      </c>
      <c r="Z308" s="54"/>
      <c r="AA308" s="54">
        <f>SUM(Y308:Z308)</f>
        <v>42185</v>
      </c>
      <c r="AB308" s="54"/>
      <c r="AC308" s="54">
        <f>SUM(AA308:AB308)</f>
        <v>42185</v>
      </c>
      <c r="AD308" s="54">
        <v>5110</v>
      </c>
      <c r="AE308" s="54">
        <f>SUM(AC308:AD308)</f>
        <v>47295</v>
      </c>
      <c r="AF308" s="54">
        <v>2617</v>
      </c>
      <c r="AG308" s="54">
        <f>SUM(AE308:AF308)</f>
        <v>49912</v>
      </c>
      <c r="AH308" s="54">
        <v>-438</v>
      </c>
      <c r="AI308" s="54">
        <f>SUM(AG308:AH308)</f>
        <v>49474</v>
      </c>
      <c r="AJ308" s="54"/>
      <c r="AK308" s="54">
        <f>SUM(AI308:AJ308)</f>
        <v>49474</v>
      </c>
    </row>
    <row r="309" spans="1:37" s="20" customFormat="1" ht="21" customHeight="1">
      <c r="A309" s="41"/>
      <c r="B309" s="140">
        <v>80148</v>
      </c>
      <c r="C309" s="135"/>
      <c r="D309" s="31" t="s">
        <v>191</v>
      </c>
      <c r="E309" s="54">
        <f aca="true" t="shared" si="348" ref="E309:W309">SUM(E310:E319)</f>
        <v>257225</v>
      </c>
      <c r="F309" s="54">
        <f t="shared" si="348"/>
        <v>0</v>
      </c>
      <c r="G309" s="54">
        <f t="shared" si="348"/>
        <v>257225</v>
      </c>
      <c r="H309" s="54">
        <f t="shared" si="348"/>
        <v>0</v>
      </c>
      <c r="I309" s="54">
        <f t="shared" si="348"/>
        <v>257225</v>
      </c>
      <c r="J309" s="54">
        <f t="shared" si="348"/>
        <v>3001</v>
      </c>
      <c r="K309" s="54">
        <f t="shared" si="348"/>
        <v>260226</v>
      </c>
      <c r="L309" s="54">
        <f t="shared" si="348"/>
        <v>0</v>
      </c>
      <c r="M309" s="54">
        <f t="shared" si="348"/>
        <v>260226</v>
      </c>
      <c r="N309" s="54">
        <f t="shared" si="348"/>
        <v>0</v>
      </c>
      <c r="O309" s="54">
        <f t="shared" si="348"/>
        <v>260226</v>
      </c>
      <c r="P309" s="54">
        <f t="shared" si="348"/>
        <v>0</v>
      </c>
      <c r="Q309" s="54">
        <f t="shared" si="348"/>
        <v>260226</v>
      </c>
      <c r="R309" s="54">
        <f t="shared" si="348"/>
        <v>0</v>
      </c>
      <c r="S309" s="54">
        <f t="shared" si="348"/>
        <v>260226</v>
      </c>
      <c r="T309" s="54">
        <f t="shared" si="348"/>
        <v>0</v>
      </c>
      <c r="U309" s="54">
        <f t="shared" si="348"/>
        <v>260226</v>
      </c>
      <c r="V309" s="54">
        <f t="shared" si="348"/>
        <v>0</v>
      </c>
      <c r="W309" s="54">
        <f t="shared" si="348"/>
        <v>260226</v>
      </c>
      <c r="X309" s="54">
        <f aca="true" t="shared" si="349" ref="X309:AC309">SUM(X310:X319)</f>
        <v>0</v>
      </c>
      <c r="Y309" s="54">
        <f t="shared" si="349"/>
        <v>260226</v>
      </c>
      <c r="Z309" s="54">
        <f t="shared" si="349"/>
        <v>0</v>
      </c>
      <c r="AA309" s="54">
        <f t="shared" si="349"/>
        <v>260226</v>
      </c>
      <c r="AB309" s="54">
        <f t="shared" si="349"/>
        <v>0</v>
      </c>
      <c r="AC309" s="54">
        <f t="shared" si="349"/>
        <v>260226</v>
      </c>
      <c r="AD309" s="54">
        <f aca="true" t="shared" si="350" ref="AD309:AI309">SUM(AD310:AD319)</f>
        <v>0</v>
      </c>
      <c r="AE309" s="54">
        <f t="shared" si="350"/>
        <v>260226</v>
      </c>
      <c r="AF309" s="54">
        <f t="shared" si="350"/>
        <v>642</v>
      </c>
      <c r="AG309" s="54">
        <f t="shared" si="350"/>
        <v>260868</v>
      </c>
      <c r="AH309" s="54">
        <f t="shared" si="350"/>
        <v>-2267</v>
      </c>
      <c r="AI309" s="54">
        <f t="shared" si="350"/>
        <v>258601</v>
      </c>
      <c r="AJ309" s="54">
        <f>SUM(AJ310:AJ319)</f>
        <v>0</v>
      </c>
      <c r="AK309" s="54">
        <f>SUM(AK310:AK319)</f>
        <v>258601</v>
      </c>
    </row>
    <row r="310" spans="1:37" s="20" customFormat="1" ht="23.25" customHeight="1">
      <c r="A310" s="41"/>
      <c r="B310" s="140"/>
      <c r="C310" s="58">
        <v>3020</v>
      </c>
      <c r="D310" s="31" t="s">
        <v>159</v>
      </c>
      <c r="E310" s="54">
        <v>185</v>
      </c>
      <c r="F310" s="54"/>
      <c r="G310" s="54">
        <f t="shared" si="327"/>
        <v>185</v>
      </c>
      <c r="H310" s="54"/>
      <c r="I310" s="54">
        <f aca="true" t="shared" si="351" ref="I310:I319">SUM(G310:H310)</f>
        <v>185</v>
      </c>
      <c r="J310" s="54"/>
      <c r="K310" s="54">
        <f aca="true" t="shared" si="352" ref="K310:K319">SUM(I310:J310)</f>
        <v>185</v>
      </c>
      <c r="L310" s="54"/>
      <c r="M310" s="54">
        <f aca="true" t="shared" si="353" ref="M310:M319">SUM(K310:L310)</f>
        <v>185</v>
      </c>
      <c r="N310" s="54"/>
      <c r="O310" s="54">
        <f aca="true" t="shared" si="354" ref="O310:O319">SUM(M310:N310)</f>
        <v>185</v>
      </c>
      <c r="P310" s="54"/>
      <c r="Q310" s="54">
        <f aca="true" t="shared" si="355" ref="Q310:Q319">SUM(O310:P310)</f>
        <v>185</v>
      </c>
      <c r="R310" s="54"/>
      <c r="S310" s="54">
        <f aca="true" t="shared" si="356" ref="S310:S319">SUM(Q310:R310)</f>
        <v>185</v>
      </c>
      <c r="T310" s="54"/>
      <c r="U310" s="54">
        <f aca="true" t="shared" si="357" ref="U310:U319">SUM(S310:T310)</f>
        <v>185</v>
      </c>
      <c r="V310" s="54"/>
      <c r="W310" s="54">
        <f aca="true" t="shared" si="358" ref="W310:W319">SUM(U310:V310)</f>
        <v>185</v>
      </c>
      <c r="X310" s="54"/>
      <c r="Y310" s="54">
        <f aca="true" t="shared" si="359" ref="Y310:Y319">SUM(W310:X310)</f>
        <v>185</v>
      </c>
      <c r="Z310" s="54"/>
      <c r="AA310" s="54">
        <f aca="true" t="shared" si="360" ref="AA310:AA319">SUM(Y310:Z310)</f>
        <v>185</v>
      </c>
      <c r="AB310" s="54"/>
      <c r="AC310" s="54">
        <f aca="true" t="shared" si="361" ref="AC310:AC319">SUM(AA310:AB310)</f>
        <v>185</v>
      </c>
      <c r="AD310" s="54"/>
      <c r="AE310" s="54">
        <f aca="true" t="shared" si="362" ref="AE310:AE319">SUM(AC310:AD310)</f>
        <v>185</v>
      </c>
      <c r="AF310" s="54">
        <v>-25</v>
      </c>
      <c r="AG310" s="54">
        <f aca="true" t="shared" si="363" ref="AG310:AG319">SUM(AE310:AF310)</f>
        <v>160</v>
      </c>
      <c r="AH310" s="54"/>
      <c r="AI310" s="54">
        <f aca="true" t="shared" si="364" ref="AI310:AI319">SUM(AG310:AH310)</f>
        <v>160</v>
      </c>
      <c r="AJ310" s="54"/>
      <c r="AK310" s="54">
        <f aca="true" t="shared" si="365" ref="AK310:AK319">SUM(AI310:AJ310)</f>
        <v>160</v>
      </c>
    </row>
    <row r="311" spans="1:39" s="20" customFormat="1" ht="21" customHeight="1">
      <c r="A311" s="41"/>
      <c r="B311" s="140"/>
      <c r="C311" s="58">
        <v>4010</v>
      </c>
      <c r="D311" s="31" t="s">
        <v>79</v>
      </c>
      <c r="E311" s="54">
        <v>103619</v>
      </c>
      <c r="F311" s="54"/>
      <c r="G311" s="54">
        <f t="shared" si="327"/>
        <v>103619</v>
      </c>
      <c r="H311" s="54"/>
      <c r="I311" s="54">
        <f t="shared" si="351"/>
        <v>103619</v>
      </c>
      <c r="J311" s="54">
        <v>134</v>
      </c>
      <c r="K311" s="54">
        <f t="shared" si="352"/>
        <v>103753</v>
      </c>
      <c r="L311" s="54"/>
      <c r="M311" s="54">
        <f t="shared" si="353"/>
        <v>103753</v>
      </c>
      <c r="N311" s="54"/>
      <c r="O311" s="54">
        <f t="shared" si="354"/>
        <v>103753</v>
      </c>
      <c r="P311" s="54"/>
      <c r="Q311" s="54">
        <f t="shared" si="355"/>
        <v>103753</v>
      </c>
      <c r="R311" s="54"/>
      <c r="S311" s="54">
        <f t="shared" si="356"/>
        <v>103753</v>
      </c>
      <c r="T311" s="54"/>
      <c r="U311" s="54">
        <f t="shared" si="357"/>
        <v>103753</v>
      </c>
      <c r="V311" s="54"/>
      <c r="W311" s="54">
        <f t="shared" si="358"/>
        <v>103753</v>
      </c>
      <c r="X311" s="54"/>
      <c r="Y311" s="54">
        <f t="shared" si="359"/>
        <v>103753</v>
      </c>
      <c r="Z311" s="54"/>
      <c r="AA311" s="54">
        <f t="shared" si="360"/>
        <v>103753</v>
      </c>
      <c r="AB311" s="54"/>
      <c r="AC311" s="54">
        <f t="shared" si="361"/>
        <v>103753</v>
      </c>
      <c r="AD311" s="54"/>
      <c r="AE311" s="54">
        <f t="shared" si="362"/>
        <v>103753</v>
      </c>
      <c r="AF311" s="54">
        <f>3870-27</f>
        <v>3843</v>
      </c>
      <c r="AG311" s="54">
        <f t="shared" si="363"/>
        <v>107596</v>
      </c>
      <c r="AH311" s="54">
        <v>-2128</v>
      </c>
      <c r="AI311" s="54">
        <f t="shared" si="364"/>
        <v>105468</v>
      </c>
      <c r="AJ311" s="54"/>
      <c r="AK311" s="54">
        <f t="shared" si="365"/>
        <v>105468</v>
      </c>
      <c r="AL311" s="67"/>
      <c r="AM311" s="67"/>
    </row>
    <row r="312" spans="1:39" s="20" customFormat="1" ht="21" customHeight="1">
      <c r="A312" s="41"/>
      <c r="B312" s="140"/>
      <c r="C312" s="58">
        <v>4040</v>
      </c>
      <c r="D312" s="31" t="s">
        <v>80</v>
      </c>
      <c r="E312" s="54">
        <v>7647</v>
      </c>
      <c r="F312" s="54"/>
      <c r="G312" s="54">
        <f t="shared" si="327"/>
        <v>7647</v>
      </c>
      <c r="H312" s="54"/>
      <c r="I312" s="54">
        <f t="shared" si="351"/>
        <v>7647</v>
      </c>
      <c r="J312" s="54">
        <v>-133</v>
      </c>
      <c r="K312" s="54">
        <f t="shared" si="352"/>
        <v>7514</v>
      </c>
      <c r="L312" s="54"/>
      <c r="M312" s="54">
        <f t="shared" si="353"/>
        <v>7514</v>
      </c>
      <c r="N312" s="54"/>
      <c r="O312" s="54">
        <f t="shared" si="354"/>
        <v>7514</v>
      </c>
      <c r="P312" s="54"/>
      <c r="Q312" s="54">
        <f t="shared" si="355"/>
        <v>7514</v>
      </c>
      <c r="R312" s="54"/>
      <c r="S312" s="54">
        <f t="shared" si="356"/>
        <v>7514</v>
      </c>
      <c r="T312" s="54"/>
      <c r="U312" s="54">
        <f t="shared" si="357"/>
        <v>7514</v>
      </c>
      <c r="V312" s="54"/>
      <c r="W312" s="54">
        <f t="shared" si="358"/>
        <v>7514</v>
      </c>
      <c r="X312" s="54"/>
      <c r="Y312" s="54">
        <f t="shared" si="359"/>
        <v>7514</v>
      </c>
      <c r="Z312" s="54"/>
      <c r="AA312" s="54">
        <f t="shared" si="360"/>
        <v>7514</v>
      </c>
      <c r="AB312" s="54"/>
      <c r="AC312" s="54">
        <f t="shared" si="361"/>
        <v>7514</v>
      </c>
      <c r="AD312" s="54"/>
      <c r="AE312" s="54">
        <f t="shared" si="362"/>
        <v>7514</v>
      </c>
      <c r="AF312" s="54"/>
      <c r="AG312" s="54">
        <f t="shared" si="363"/>
        <v>7514</v>
      </c>
      <c r="AH312" s="54"/>
      <c r="AI312" s="54">
        <f t="shared" si="364"/>
        <v>7514</v>
      </c>
      <c r="AJ312" s="54"/>
      <c r="AK312" s="54">
        <f t="shared" si="365"/>
        <v>7514</v>
      </c>
      <c r="AL312" s="67"/>
      <c r="AM312" s="67"/>
    </row>
    <row r="313" spans="1:39" s="20" customFormat="1" ht="21" customHeight="1">
      <c r="A313" s="41"/>
      <c r="B313" s="140"/>
      <c r="C313" s="58">
        <v>4110</v>
      </c>
      <c r="D313" s="31" t="s">
        <v>81</v>
      </c>
      <c r="E313" s="54">
        <v>17383</v>
      </c>
      <c r="F313" s="54"/>
      <c r="G313" s="54">
        <f t="shared" si="327"/>
        <v>17383</v>
      </c>
      <c r="H313" s="54"/>
      <c r="I313" s="54">
        <f t="shared" si="351"/>
        <v>17383</v>
      </c>
      <c r="J313" s="54"/>
      <c r="K313" s="54">
        <f t="shared" si="352"/>
        <v>17383</v>
      </c>
      <c r="L313" s="54"/>
      <c r="M313" s="54">
        <f t="shared" si="353"/>
        <v>17383</v>
      </c>
      <c r="N313" s="54"/>
      <c r="O313" s="54">
        <f t="shared" si="354"/>
        <v>17383</v>
      </c>
      <c r="P313" s="54"/>
      <c r="Q313" s="54">
        <f t="shared" si="355"/>
        <v>17383</v>
      </c>
      <c r="R313" s="54"/>
      <c r="S313" s="54">
        <f t="shared" si="356"/>
        <v>17383</v>
      </c>
      <c r="T313" s="54"/>
      <c r="U313" s="54">
        <f t="shared" si="357"/>
        <v>17383</v>
      </c>
      <c r="V313" s="54"/>
      <c r="W313" s="54">
        <f t="shared" si="358"/>
        <v>17383</v>
      </c>
      <c r="X313" s="54"/>
      <c r="Y313" s="54">
        <f t="shared" si="359"/>
        <v>17383</v>
      </c>
      <c r="Z313" s="54"/>
      <c r="AA313" s="54">
        <f t="shared" si="360"/>
        <v>17383</v>
      </c>
      <c r="AB313" s="54"/>
      <c r="AC313" s="54">
        <f t="shared" si="361"/>
        <v>17383</v>
      </c>
      <c r="AD313" s="54"/>
      <c r="AE313" s="54">
        <f t="shared" si="362"/>
        <v>17383</v>
      </c>
      <c r="AF313" s="54">
        <v>-568</v>
      </c>
      <c r="AG313" s="54">
        <f t="shared" si="363"/>
        <v>16815</v>
      </c>
      <c r="AH313" s="54">
        <v>-100</v>
      </c>
      <c r="AI313" s="54">
        <f t="shared" si="364"/>
        <v>16715</v>
      </c>
      <c r="AJ313" s="54"/>
      <c r="AK313" s="54">
        <f t="shared" si="365"/>
        <v>16715</v>
      </c>
      <c r="AL313" s="67"/>
      <c r="AM313" s="67"/>
    </row>
    <row r="314" spans="1:39" s="20" customFormat="1" ht="21" customHeight="1">
      <c r="A314" s="41"/>
      <c r="B314" s="140"/>
      <c r="C314" s="58">
        <v>4120</v>
      </c>
      <c r="D314" s="31" t="s">
        <v>82</v>
      </c>
      <c r="E314" s="54">
        <v>2895</v>
      </c>
      <c r="F314" s="54"/>
      <c r="G314" s="54">
        <f t="shared" si="327"/>
        <v>2895</v>
      </c>
      <c r="H314" s="54"/>
      <c r="I314" s="54">
        <f t="shared" si="351"/>
        <v>2895</v>
      </c>
      <c r="J314" s="54"/>
      <c r="K314" s="54">
        <f t="shared" si="352"/>
        <v>2895</v>
      </c>
      <c r="L314" s="54"/>
      <c r="M314" s="54">
        <f t="shared" si="353"/>
        <v>2895</v>
      </c>
      <c r="N314" s="54"/>
      <c r="O314" s="54">
        <f t="shared" si="354"/>
        <v>2895</v>
      </c>
      <c r="P314" s="54"/>
      <c r="Q314" s="54">
        <f t="shared" si="355"/>
        <v>2895</v>
      </c>
      <c r="R314" s="54"/>
      <c r="S314" s="54">
        <f t="shared" si="356"/>
        <v>2895</v>
      </c>
      <c r="T314" s="54"/>
      <c r="U314" s="54">
        <f t="shared" si="357"/>
        <v>2895</v>
      </c>
      <c r="V314" s="54"/>
      <c r="W314" s="54">
        <f t="shared" si="358"/>
        <v>2895</v>
      </c>
      <c r="X314" s="54"/>
      <c r="Y314" s="54">
        <f t="shared" si="359"/>
        <v>2895</v>
      </c>
      <c r="Z314" s="54"/>
      <c r="AA314" s="54">
        <f t="shared" si="360"/>
        <v>2895</v>
      </c>
      <c r="AB314" s="54"/>
      <c r="AC314" s="54">
        <f t="shared" si="361"/>
        <v>2895</v>
      </c>
      <c r="AD314" s="54"/>
      <c r="AE314" s="54">
        <f t="shared" si="362"/>
        <v>2895</v>
      </c>
      <c r="AF314" s="54">
        <v>-733</v>
      </c>
      <c r="AG314" s="54">
        <f t="shared" si="363"/>
        <v>2162</v>
      </c>
      <c r="AH314" s="54">
        <v>-70</v>
      </c>
      <c r="AI314" s="54">
        <f t="shared" si="364"/>
        <v>2092</v>
      </c>
      <c r="AJ314" s="54"/>
      <c r="AK314" s="54">
        <f t="shared" si="365"/>
        <v>2092</v>
      </c>
      <c r="AL314" s="67"/>
      <c r="AM314" s="67"/>
    </row>
    <row r="315" spans="1:39" s="20" customFormat="1" ht="21" customHeight="1">
      <c r="A315" s="41"/>
      <c r="B315" s="140"/>
      <c r="C315" s="58">
        <v>4170</v>
      </c>
      <c r="D315" s="31" t="s">
        <v>161</v>
      </c>
      <c r="E315" s="54">
        <v>4000</v>
      </c>
      <c r="F315" s="54"/>
      <c r="G315" s="54">
        <f t="shared" si="327"/>
        <v>4000</v>
      </c>
      <c r="H315" s="54"/>
      <c r="I315" s="54">
        <f t="shared" si="351"/>
        <v>4000</v>
      </c>
      <c r="J315" s="54"/>
      <c r="K315" s="54">
        <f t="shared" si="352"/>
        <v>4000</v>
      </c>
      <c r="L315" s="54"/>
      <c r="M315" s="54">
        <f t="shared" si="353"/>
        <v>4000</v>
      </c>
      <c r="N315" s="54"/>
      <c r="O315" s="54">
        <f t="shared" si="354"/>
        <v>4000</v>
      </c>
      <c r="P315" s="54"/>
      <c r="Q315" s="54">
        <f t="shared" si="355"/>
        <v>4000</v>
      </c>
      <c r="R315" s="54"/>
      <c r="S315" s="54">
        <f t="shared" si="356"/>
        <v>4000</v>
      </c>
      <c r="T315" s="54"/>
      <c r="U315" s="54">
        <f t="shared" si="357"/>
        <v>4000</v>
      </c>
      <c r="V315" s="54"/>
      <c r="W315" s="54">
        <f t="shared" si="358"/>
        <v>4000</v>
      </c>
      <c r="X315" s="54"/>
      <c r="Y315" s="54">
        <f t="shared" si="359"/>
        <v>4000</v>
      </c>
      <c r="Z315" s="54"/>
      <c r="AA315" s="54">
        <f t="shared" si="360"/>
        <v>4000</v>
      </c>
      <c r="AB315" s="54"/>
      <c r="AC315" s="54">
        <f t="shared" si="361"/>
        <v>4000</v>
      </c>
      <c r="AD315" s="54"/>
      <c r="AE315" s="54">
        <f t="shared" si="362"/>
        <v>4000</v>
      </c>
      <c r="AF315" s="54">
        <v>26</v>
      </c>
      <c r="AG315" s="54">
        <f t="shared" si="363"/>
        <v>4026</v>
      </c>
      <c r="AH315" s="54"/>
      <c r="AI315" s="54">
        <f t="shared" si="364"/>
        <v>4026</v>
      </c>
      <c r="AJ315" s="54"/>
      <c r="AK315" s="54">
        <f t="shared" si="365"/>
        <v>4026</v>
      </c>
      <c r="AL315" s="67"/>
      <c r="AM315" s="67"/>
    </row>
    <row r="316" spans="1:37" s="20" customFormat="1" ht="21" customHeight="1">
      <c r="A316" s="41"/>
      <c r="B316" s="140"/>
      <c r="C316" s="58">
        <v>4210</v>
      </c>
      <c r="D316" s="31" t="s">
        <v>68</v>
      </c>
      <c r="E316" s="54">
        <v>3990</v>
      </c>
      <c r="F316" s="54"/>
      <c r="G316" s="54">
        <f t="shared" si="327"/>
        <v>3990</v>
      </c>
      <c r="H316" s="54"/>
      <c r="I316" s="54">
        <f t="shared" si="351"/>
        <v>3990</v>
      </c>
      <c r="J316" s="54">
        <v>3000</v>
      </c>
      <c r="K316" s="54">
        <f t="shared" si="352"/>
        <v>6990</v>
      </c>
      <c r="L316" s="54"/>
      <c r="M316" s="54">
        <f t="shared" si="353"/>
        <v>6990</v>
      </c>
      <c r="N316" s="54"/>
      <c r="O316" s="54">
        <f t="shared" si="354"/>
        <v>6990</v>
      </c>
      <c r="P316" s="54"/>
      <c r="Q316" s="54">
        <f t="shared" si="355"/>
        <v>6990</v>
      </c>
      <c r="R316" s="54"/>
      <c r="S316" s="54">
        <f t="shared" si="356"/>
        <v>6990</v>
      </c>
      <c r="T316" s="54"/>
      <c r="U316" s="54">
        <f t="shared" si="357"/>
        <v>6990</v>
      </c>
      <c r="V316" s="54"/>
      <c r="W316" s="54">
        <f t="shared" si="358"/>
        <v>6990</v>
      </c>
      <c r="X316" s="54"/>
      <c r="Y316" s="54">
        <f t="shared" si="359"/>
        <v>6990</v>
      </c>
      <c r="Z316" s="54"/>
      <c r="AA316" s="54">
        <f t="shared" si="360"/>
        <v>6990</v>
      </c>
      <c r="AB316" s="54"/>
      <c r="AC316" s="54">
        <f t="shared" si="361"/>
        <v>6990</v>
      </c>
      <c r="AD316" s="54"/>
      <c r="AE316" s="54">
        <f t="shared" si="362"/>
        <v>6990</v>
      </c>
      <c r="AF316" s="54"/>
      <c r="AG316" s="54">
        <f t="shared" si="363"/>
        <v>6990</v>
      </c>
      <c r="AH316" s="54"/>
      <c r="AI316" s="54">
        <f t="shared" si="364"/>
        <v>6990</v>
      </c>
      <c r="AJ316" s="54"/>
      <c r="AK316" s="54">
        <f t="shared" si="365"/>
        <v>6990</v>
      </c>
    </row>
    <row r="317" spans="1:37" s="20" customFormat="1" ht="21" customHeight="1">
      <c r="A317" s="41"/>
      <c r="B317" s="140"/>
      <c r="C317" s="58">
        <v>4220</v>
      </c>
      <c r="D317" s="12" t="s">
        <v>149</v>
      </c>
      <c r="E317" s="54">
        <v>112000</v>
      </c>
      <c r="F317" s="54"/>
      <c r="G317" s="54">
        <f t="shared" si="327"/>
        <v>112000</v>
      </c>
      <c r="H317" s="54"/>
      <c r="I317" s="54">
        <f t="shared" si="351"/>
        <v>112000</v>
      </c>
      <c r="J317" s="54"/>
      <c r="K317" s="54">
        <f t="shared" si="352"/>
        <v>112000</v>
      </c>
      <c r="L317" s="54"/>
      <c r="M317" s="54">
        <f t="shared" si="353"/>
        <v>112000</v>
      </c>
      <c r="N317" s="54"/>
      <c r="O317" s="54">
        <f t="shared" si="354"/>
        <v>112000</v>
      </c>
      <c r="P317" s="54"/>
      <c r="Q317" s="54">
        <f t="shared" si="355"/>
        <v>112000</v>
      </c>
      <c r="R317" s="54"/>
      <c r="S317" s="54">
        <f t="shared" si="356"/>
        <v>112000</v>
      </c>
      <c r="T317" s="54"/>
      <c r="U317" s="54">
        <f t="shared" si="357"/>
        <v>112000</v>
      </c>
      <c r="V317" s="54"/>
      <c r="W317" s="54">
        <f t="shared" si="358"/>
        <v>112000</v>
      </c>
      <c r="X317" s="54"/>
      <c r="Y317" s="54">
        <f t="shared" si="359"/>
        <v>112000</v>
      </c>
      <c r="Z317" s="54"/>
      <c r="AA317" s="54">
        <f t="shared" si="360"/>
        <v>112000</v>
      </c>
      <c r="AB317" s="54"/>
      <c r="AC317" s="54">
        <f t="shared" si="361"/>
        <v>112000</v>
      </c>
      <c r="AD317" s="54"/>
      <c r="AE317" s="54">
        <f t="shared" si="362"/>
        <v>112000</v>
      </c>
      <c r="AF317" s="54">
        <v>-1900</v>
      </c>
      <c r="AG317" s="54">
        <f t="shared" si="363"/>
        <v>110100</v>
      </c>
      <c r="AH317" s="54"/>
      <c r="AI317" s="54">
        <f t="shared" si="364"/>
        <v>110100</v>
      </c>
      <c r="AJ317" s="54"/>
      <c r="AK317" s="54">
        <f t="shared" si="365"/>
        <v>110100</v>
      </c>
    </row>
    <row r="318" spans="1:37" s="20" customFormat="1" ht="21" customHeight="1">
      <c r="A318" s="41"/>
      <c r="B318" s="140"/>
      <c r="C318" s="58">
        <v>4280</v>
      </c>
      <c r="D318" s="31" t="s">
        <v>336</v>
      </c>
      <c r="E318" s="54">
        <v>160</v>
      </c>
      <c r="F318" s="54"/>
      <c r="G318" s="54">
        <f t="shared" si="327"/>
        <v>160</v>
      </c>
      <c r="H318" s="54"/>
      <c r="I318" s="54">
        <f t="shared" si="351"/>
        <v>160</v>
      </c>
      <c r="J318" s="54"/>
      <c r="K318" s="54">
        <f t="shared" si="352"/>
        <v>160</v>
      </c>
      <c r="L318" s="54"/>
      <c r="M318" s="54">
        <f t="shared" si="353"/>
        <v>160</v>
      </c>
      <c r="N318" s="54"/>
      <c r="O318" s="54">
        <f t="shared" si="354"/>
        <v>160</v>
      </c>
      <c r="P318" s="54"/>
      <c r="Q318" s="54">
        <f t="shared" si="355"/>
        <v>160</v>
      </c>
      <c r="R318" s="54"/>
      <c r="S318" s="54">
        <f t="shared" si="356"/>
        <v>160</v>
      </c>
      <c r="T318" s="54"/>
      <c r="U318" s="54">
        <f t="shared" si="357"/>
        <v>160</v>
      </c>
      <c r="V318" s="54"/>
      <c r="W318" s="54">
        <f t="shared" si="358"/>
        <v>160</v>
      </c>
      <c r="X318" s="54"/>
      <c r="Y318" s="54">
        <f t="shared" si="359"/>
        <v>160</v>
      </c>
      <c r="Z318" s="54"/>
      <c r="AA318" s="54">
        <f t="shared" si="360"/>
        <v>160</v>
      </c>
      <c r="AB318" s="54"/>
      <c r="AC318" s="54">
        <f t="shared" si="361"/>
        <v>160</v>
      </c>
      <c r="AD318" s="54"/>
      <c r="AE318" s="54">
        <f t="shared" si="362"/>
        <v>160</v>
      </c>
      <c r="AF318" s="54">
        <v>-1</v>
      </c>
      <c r="AG318" s="54">
        <f t="shared" si="363"/>
        <v>159</v>
      </c>
      <c r="AH318" s="54"/>
      <c r="AI318" s="54">
        <f t="shared" si="364"/>
        <v>159</v>
      </c>
      <c r="AJ318" s="54"/>
      <c r="AK318" s="54">
        <f t="shared" si="365"/>
        <v>159</v>
      </c>
    </row>
    <row r="319" spans="1:37" s="20" customFormat="1" ht="24" customHeight="1">
      <c r="A319" s="41"/>
      <c r="B319" s="140"/>
      <c r="C319" s="58">
        <v>4440</v>
      </c>
      <c r="D319" s="31" t="s">
        <v>83</v>
      </c>
      <c r="E319" s="54">
        <v>5346</v>
      </c>
      <c r="F319" s="54"/>
      <c r="G319" s="54">
        <f t="shared" si="327"/>
        <v>5346</v>
      </c>
      <c r="H319" s="54"/>
      <c r="I319" s="54">
        <f t="shared" si="351"/>
        <v>5346</v>
      </c>
      <c r="J319" s="54"/>
      <c r="K319" s="54">
        <f t="shared" si="352"/>
        <v>5346</v>
      </c>
      <c r="L319" s="54"/>
      <c r="M319" s="54">
        <f t="shared" si="353"/>
        <v>5346</v>
      </c>
      <c r="N319" s="54"/>
      <c r="O319" s="54">
        <f t="shared" si="354"/>
        <v>5346</v>
      </c>
      <c r="P319" s="54"/>
      <c r="Q319" s="54">
        <f t="shared" si="355"/>
        <v>5346</v>
      </c>
      <c r="R319" s="54"/>
      <c r="S319" s="54">
        <f t="shared" si="356"/>
        <v>5346</v>
      </c>
      <c r="T319" s="54"/>
      <c r="U319" s="54">
        <f t="shared" si="357"/>
        <v>5346</v>
      </c>
      <c r="V319" s="54"/>
      <c r="W319" s="54">
        <f t="shared" si="358"/>
        <v>5346</v>
      </c>
      <c r="X319" s="54"/>
      <c r="Y319" s="54">
        <f t="shared" si="359"/>
        <v>5346</v>
      </c>
      <c r="Z319" s="54"/>
      <c r="AA319" s="54">
        <f t="shared" si="360"/>
        <v>5346</v>
      </c>
      <c r="AB319" s="54"/>
      <c r="AC319" s="54">
        <f t="shared" si="361"/>
        <v>5346</v>
      </c>
      <c r="AD319" s="54"/>
      <c r="AE319" s="54">
        <f t="shared" si="362"/>
        <v>5346</v>
      </c>
      <c r="AF319" s="54"/>
      <c r="AG319" s="54">
        <f t="shared" si="363"/>
        <v>5346</v>
      </c>
      <c r="AH319" s="54">
        <v>31</v>
      </c>
      <c r="AI319" s="54">
        <f t="shared" si="364"/>
        <v>5377</v>
      </c>
      <c r="AJ319" s="54"/>
      <c r="AK319" s="54">
        <f t="shared" si="365"/>
        <v>5377</v>
      </c>
    </row>
    <row r="320" spans="1:37" s="20" customFormat="1" ht="21" customHeight="1">
      <c r="A320" s="41"/>
      <c r="B320" s="55">
        <v>80195</v>
      </c>
      <c r="C320" s="41"/>
      <c r="D320" s="31" t="s">
        <v>6</v>
      </c>
      <c r="E320" s="54">
        <f aca="true" t="shared" si="366" ref="E320:W320">SUM(E321:E325)</f>
        <v>231670</v>
      </c>
      <c r="F320" s="54">
        <f t="shared" si="366"/>
        <v>0</v>
      </c>
      <c r="G320" s="54">
        <f t="shared" si="366"/>
        <v>231670</v>
      </c>
      <c r="H320" s="54">
        <f t="shared" si="366"/>
        <v>0</v>
      </c>
      <c r="I320" s="54">
        <f t="shared" si="366"/>
        <v>231670</v>
      </c>
      <c r="J320" s="54">
        <f t="shared" si="366"/>
        <v>0</v>
      </c>
      <c r="K320" s="54">
        <f t="shared" si="366"/>
        <v>231670</v>
      </c>
      <c r="L320" s="54">
        <f t="shared" si="366"/>
        <v>0</v>
      </c>
      <c r="M320" s="54">
        <f t="shared" si="366"/>
        <v>231670</v>
      </c>
      <c r="N320" s="54">
        <f t="shared" si="366"/>
        <v>0</v>
      </c>
      <c r="O320" s="54">
        <f t="shared" si="366"/>
        <v>231670</v>
      </c>
      <c r="P320" s="54">
        <f t="shared" si="366"/>
        <v>0</v>
      </c>
      <c r="Q320" s="54">
        <f t="shared" si="366"/>
        <v>231670</v>
      </c>
      <c r="R320" s="54">
        <f t="shared" si="366"/>
        <v>1500</v>
      </c>
      <c r="S320" s="54">
        <f t="shared" si="366"/>
        <v>233170</v>
      </c>
      <c r="T320" s="54">
        <f t="shared" si="366"/>
        <v>0</v>
      </c>
      <c r="U320" s="54">
        <f t="shared" si="366"/>
        <v>233170</v>
      </c>
      <c r="V320" s="54">
        <f t="shared" si="366"/>
        <v>85</v>
      </c>
      <c r="W320" s="54">
        <f t="shared" si="366"/>
        <v>233255</v>
      </c>
      <c r="X320" s="54">
        <f aca="true" t="shared" si="367" ref="X320:AC320">SUM(X321:X325)</f>
        <v>0</v>
      </c>
      <c r="Y320" s="54">
        <f t="shared" si="367"/>
        <v>233255</v>
      </c>
      <c r="Z320" s="54">
        <f t="shared" si="367"/>
        <v>0</v>
      </c>
      <c r="AA320" s="54">
        <f t="shared" si="367"/>
        <v>233255</v>
      </c>
      <c r="AB320" s="54">
        <f t="shared" si="367"/>
        <v>-50986</v>
      </c>
      <c r="AC320" s="54">
        <f t="shared" si="367"/>
        <v>182269</v>
      </c>
      <c r="AD320" s="54">
        <f aca="true" t="shared" si="368" ref="AD320:AI320">SUM(AD321:AD325)</f>
        <v>528</v>
      </c>
      <c r="AE320" s="54">
        <f t="shared" si="368"/>
        <v>182797</v>
      </c>
      <c r="AF320" s="54">
        <f t="shared" si="368"/>
        <v>0</v>
      </c>
      <c r="AG320" s="54">
        <f t="shared" si="368"/>
        <v>182797</v>
      </c>
      <c r="AH320" s="54">
        <f t="shared" si="368"/>
        <v>0</v>
      </c>
      <c r="AI320" s="54">
        <f t="shared" si="368"/>
        <v>182797</v>
      </c>
      <c r="AJ320" s="54">
        <f>SUM(AJ321:AJ325)</f>
        <v>0</v>
      </c>
      <c r="AK320" s="54">
        <f>SUM(AK321:AK325)</f>
        <v>182797</v>
      </c>
    </row>
    <row r="321" spans="1:39" s="20" customFormat="1" ht="21" customHeight="1">
      <c r="A321" s="41"/>
      <c r="B321" s="55"/>
      <c r="C321" s="41">
        <v>4170</v>
      </c>
      <c r="D321" s="31" t="s">
        <v>161</v>
      </c>
      <c r="E321" s="54">
        <v>500</v>
      </c>
      <c r="F321" s="54"/>
      <c r="G321" s="54">
        <f t="shared" si="327"/>
        <v>500</v>
      </c>
      <c r="H321" s="54"/>
      <c r="I321" s="54">
        <f>SUM(G321:H321)</f>
        <v>500</v>
      </c>
      <c r="J321" s="54"/>
      <c r="K321" s="54">
        <f>SUM(I321:J321)</f>
        <v>500</v>
      </c>
      <c r="L321" s="54"/>
      <c r="M321" s="54">
        <f>SUM(K321:L321)</f>
        <v>500</v>
      </c>
      <c r="N321" s="54"/>
      <c r="O321" s="54">
        <f>SUM(M321:N321)</f>
        <v>500</v>
      </c>
      <c r="P321" s="54"/>
      <c r="Q321" s="54">
        <f>SUM(O321:P321)</f>
        <v>500</v>
      </c>
      <c r="R321" s="54"/>
      <c r="S321" s="54">
        <f>SUM(Q321:R321)</f>
        <v>500</v>
      </c>
      <c r="T321" s="54"/>
      <c r="U321" s="54">
        <f>SUM(S321:T321)</f>
        <v>500</v>
      </c>
      <c r="V321" s="54"/>
      <c r="W321" s="54">
        <f>SUM(U321:V321)</f>
        <v>500</v>
      </c>
      <c r="X321" s="54"/>
      <c r="Y321" s="54">
        <f>SUM(W321:X321)</f>
        <v>500</v>
      </c>
      <c r="Z321" s="54"/>
      <c r="AA321" s="54">
        <f>SUM(Y321:Z321)</f>
        <v>500</v>
      </c>
      <c r="AB321" s="54"/>
      <c r="AC321" s="54">
        <f>SUM(AA321:AB321)</f>
        <v>500</v>
      </c>
      <c r="AD321" s="54">
        <v>528</v>
      </c>
      <c r="AE321" s="54">
        <f>SUM(AC321:AD321)</f>
        <v>1028</v>
      </c>
      <c r="AF321" s="54"/>
      <c r="AG321" s="54">
        <f>SUM(AE321:AF321)</f>
        <v>1028</v>
      </c>
      <c r="AH321" s="54"/>
      <c r="AI321" s="54">
        <f>SUM(AG321:AH321)</f>
        <v>1028</v>
      </c>
      <c r="AJ321" s="54"/>
      <c r="AK321" s="54">
        <f>SUM(AI321:AJ321)</f>
        <v>1028</v>
      </c>
      <c r="AL321" s="67"/>
      <c r="AM321" s="67"/>
    </row>
    <row r="322" spans="1:37" s="20" customFormat="1" ht="21" customHeight="1">
      <c r="A322" s="41"/>
      <c r="B322" s="55"/>
      <c r="C322" s="41">
        <v>4210</v>
      </c>
      <c r="D322" s="31" t="s">
        <v>68</v>
      </c>
      <c r="E322" s="54">
        <v>1100</v>
      </c>
      <c r="F322" s="54"/>
      <c r="G322" s="54">
        <f t="shared" si="327"/>
        <v>1100</v>
      </c>
      <c r="H322" s="54"/>
      <c r="I322" s="54">
        <f>SUM(G322:H322)</f>
        <v>1100</v>
      </c>
      <c r="J322" s="54"/>
      <c r="K322" s="54">
        <f>SUM(I322:J322)</f>
        <v>1100</v>
      </c>
      <c r="L322" s="54"/>
      <c r="M322" s="54">
        <f>SUM(K322:L322)</f>
        <v>1100</v>
      </c>
      <c r="N322" s="54"/>
      <c r="O322" s="54">
        <f>SUM(M322:N322)</f>
        <v>1100</v>
      </c>
      <c r="P322" s="54"/>
      <c r="Q322" s="54">
        <f>SUM(O322:P322)</f>
        <v>1100</v>
      </c>
      <c r="R322" s="54"/>
      <c r="S322" s="54">
        <f>SUM(Q322:R322)</f>
        <v>1100</v>
      </c>
      <c r="T322" s="54"/>
      <c r="U322" s="54">
        <f>SUM(S322:T322)</f>
        <v>1100</v>
      </c>
      <c r="V322" s="54">
        <v>85</v>
      </c>
      <c r="W322" s="54">
        <f>SUM(U322:V322)</f>
        <v>1185</v>
      </c>
      <c r="X322" s="54"/>
      <c r="Y322" s="54">
        <f>SUM(W322:X322)</f>
        <v>1185</v>
      </c>
      <c r="Z322" s="54"/>
      <c r="AA322" s="54">
        <f>SUM(Y322:Z322)</f>
        <v>1185</v>
      </c>
      <c r="AB322" s="54"/>
      <c r="AC322" s="54">
        <f>SUM(AA322:AB322)</f>
        <v>1185</v>
      </c>
      <c r="AD322" s="54"/>
      <c r="AE322" s="54">
        <f>SUM(AC322:AD322)</f>
        <v>1185</v>
      </c>
      <c r="AF322" s="54"/>
      <c r="AG322" s="54">
        <f>SUM(AE322:AF322)</f>
        <v>1185</v>
      </c>
      <c r="AH322" s="54"/>
      <c r="AI322" s="54">
        <f>SUM(AG322:AH322)</f>
        <v>1185</v>
      </c>
      <c r="AJ322" s="54"/>
      <c r="AK322" s="54">
        <f>SUM(AI322:AJ322)</f>
        <v>1185</v>
      </c>
    </row>
    <row r="323" spans="1:37" s="20" customFormat="1" ht="21" customHeight="1">
      <c r="A323" s="41"/>
      <c r="B323" s="55"/>
      <c r="C323" s="41">
        <v>4300</v>
      </c>
      <c r="D323" s="12" t="s">
        <v>75</v>
      </c>
      <c r="E323" s="44">
        <f>50986+5000</f>
        <v>55986</v>
      </c>
      <c r="F323" s="44"/>
      <c r="G323" s="54">
        <f t="shared" si="327"/>
        <v>55986</v>
      </c>
      <c r="H323" s="44"/>
      <c r="I323" s="54">
        <f>SUM(G323:H323)</f>
        <v>55986</v>
      </c>
      <c r="J323" s="44"/>
      <c r="K323" s="54">
        <f>SUM(I323:J323)</f>
        <v>55986</v>
      </c>
      <c r="L323" s="44"/>
      <c r="M323" s="54">
        <f>SUM(K323:L323)</f>
        <v>55986</v>
      </c>
      <c r="N323" s="44"/>
      <c r="O323" s="54">
        <f>SUM(M323:N323)</f>
        <v>55986</v>
      </c>
      <c r="P323" s="44"/>
      <c r="Q323" s="54">
        <f>SUM(O323:P323)</f>
        <v>55986</v>
      </c>
      <c r="R323" s="44"/>
      <c r="S323" s="54">
        <f>SUM(Q323:R323)</f>
        <v>55986</v>
      </c>
      <c r="T323" s="44"/>
      <c r="U323" s="54">
        <f>SUM(S323:T323)</f>
        <v>55986</v>
      </c>
      <c r="V323" s="44"/>
      <c r="W323" s="54">
        <f>SUM(U323:V323)</f>
        <v>55986</v>
      </c>
      <c r="X323" s="44"/>
      <c r="Y323" s="54">
        <f>SUM(W323:X323)</f>
        <v>55986</v>
      </c>
      <c r="Z323" s="44"/>
      <c r="AA323" s="54">
        <f>SUM(Y323:Z323)</f>
        <v>55986</v>
      </c>
      <c r="AB323" s="44">
        <v>-50986</v>
      </c>
      <c r="AC323" s="54">
        <f>SUM(AA323:AB323)</f>
        <v>5000</v>
      </c>
      <c r="AD323" s="44"/>
      <c r="AE323" s="54">
        <f>SUM(AC323:AD323)</f>
        <v>5000</v>
      </c>
      <c r="AF323" s="44"/>
      <c r="AG323" s="54">
        <f>SUM(AE323:AF323)</f>
        <v>5000</v>
      </c>
      <c r="AH323" s="44"/>
      <c r="AI323" s="54">
        <f>SUM(AG323:AH323)</f>
        <v>5000</v>
      </c>
      <c r="AJ323" s="44"/>
      <c r="AK323" s="54">
        <f>SUM(AI323:AJ323)</f>
        <v>5000</v>
      </c>
    </row>
    <row r="324" spans="1:37" s="20" customFormat="1" ht="21" customHeight="1">
      <c r="A324" s="41"/>
      <c r="B324" s="55"/>
      <c r="C324" s="135">
        <v>4430</v>
      </c>
      <c r="D324" s="31" t="s">
        <v>87</v>
      </c>
      <c r="E324" s="44"/>
      <c r="F324" s="44"/>
      <c r="G324" s="54"/>
      <c r="H324" s="44"/>
      <c r="I324" s="54"/>
      <c r="J324" s="44"/>
      <c r="K324" s="54"/>
      <c r="L324" s="44"/>
      <c r="M324" s="54"/>
      <c r="N324" s="44"/>
      <c r="O324" s="54"/>
      <c r="P324" s="44"/>
      <c r="Q324" s="54">
        <v>0</v>
      </c>
      <c r="R324" s="44">
        <v>1500</v>
      </c>
      <c r="S324" s="54">
        <f>SUM(Q324:R324)</f>
        <v>1500</v>
      </c>
      <c r="T324" s="44"/>
      <c r="U324" s="54">
        <f>SUM(S324:T324)</f>
        <v>1500</v>
      </c>
      <c r="V324" s="44"/>
      <c r="W324" s="54">
        <f>SUM(U324:V324)</f>
        <v>1500</v>
      </c>
      <c r="X324" s="44"/>
      <c r="Y324" s="54">
        <f>SUM(W324:X324)</f>
        <v>1500</v>
      </c>
      <c r="Z324" s="44"/>
      <c r="AA324" s="54">
        <f>SUM(Y324:Z324)</f>
        <v>1500</v>
      </c>
      <c r="AB324" s="44"/>
      <c r="AC324" s="54">
        <f>SUM(AA324:AB324)</f>
        <v>1500</v>
      </c>
      <c r="AD324" s="44"/>
      <c r="AE324" s="54">
        <f>SUM(AC324:AD324)</f>
        <v>1500</v>
      </c>
      <c r="AF324" s="44"/>
      <c r="AG324" s="54">
        <f>SUM(AE324:AF324)</f>
        <v>1500</v>
      </c>
      <c r="AH324" s="44"/>
      <c r="AI324" s="54">
        <f>SUM(AG324:AH324)</f>
        <v>1500</v>
      </c>
      <c r="AJ324" s="44"/>
      <c r="AK324" s="54">
        <f>SUM(AI324:AJ324)</f>
        <v>1500</v>
      </c>
    </row>
    <row r="325" spans="1:37" s="20" customFormat="1" ht="21" customHeight="1">
      <c r="A325" s="41"/>
      <c r="B325" s="55"/>
      <c r="C325" s="41">
        <v>4440</v>
      </c>
      <c r="D325" s="31" t="s">
        <v>83</v>
      </c>
      <c r="E325" s="54">
        <v>174084</v>
      </c>
      <c r="F325" s="54"/>
      <c r="G325" s="54">
        <f t="shared" si="327"/>
        <v>174084</v>
      </c>
      <c r="H325" s="54"/>
      <c r="I325" s="54">
        <f>SUM(G325:H325)</f>
        <v>174084</v>
      </c>
      <c r="J325" s="54"/>
      <c r="K325" s="54">
        <f>SUM(I325:J325)</f>
        <v>174084</v>
      </c>
      <c r="L325" s="54"/>
      <c r="M325" s="54">
        <f>SUM(K325:L325)</f>
        <v>174084</v>
      </c>
      <c r="N325" s="54"/>
      <c r="O325" s="54">
        <f>SUM(M325:N325)</f>
        <v>174084</v>
      </c>
      <c r="P325" s="54"/>
      <c r="Q325" s="54">
        <f>SUM(O325:P325)</f>
        <v>174084</v>
      </c>
      <c r="R325" s="54"/>
      <c r="S325" s="54">
        <f>SUM(Q325:R325)</f>
        <v>174084</v>
      </c>
      <c r="T325" s="54"/>
      <c r="U325" s="54">
        <f>SUM(S325:T325)</f>
        <v>174084</v>
      </c>
      <c r="V325" s="54"/>
      <c r="W325" s="54">
        <f>SUM(U325:V325)</f>
        <v>174084</v>
      </c>
      <c r="X325" s="54"/>
      <c r="Y325" s="54">
        <f>SUM(W325:X325)</f>
        <v>174084</v>
      </c>
      <c r="Z325" s="54"/>
      <c r="AA325" s="54">
        <f>SUM(Y325:Z325)</f>
        <v>174084</v>
      </c>
      <c r="AB325" s="54"/>
      <c r="AC325" s="54">
        <f>SUM(AA325:AB325)</f>
        <v>174084</v>
      </c>
      <c r="AD325" s="54"/>
      <c r="AE325" s="54">
        <f>SUM(AC325:AD325)</f>
        <v>174084</v>
      </c>
      <c r="AF325" s="54"/>
      <c r="AG325" s="54">
        <f>SUM(AE325:AF325)</f>
        <v>174084</v>
      </c>
      <c r="AH325" s="54"/>
      <c r="AI325" s="54">
        <f>SUM(AG325:AH325)</f>
        <v>174084</v>
      </c>
      <c r="AJ325" s="54"/>
      <c r="AK325" s="54">
        <f>SUM(AI325:AJ325)</f>
        <v>174084</v>
      </c>
    </row>
    <row r="326" spans="1:37" s="5" customFormat="1" ht="21" customHeight="1">
      <c r="A326" s="27" t="s">
        <v>346</v>
      </c>
      <c r="B326" s="28"/>
      <c r="C326" s="29"/>
      <c r="D326" s="30" t="s">
        <v>53</v>
      </c>
      <c r="E326" s="134">
        <f aca="true" t="shared" si="369" ref="E326:W326">SUM(E329,E340,E327)</f>
        <v>102408</v>
      </c>
      <c r="F326" s="134">
        <f t="shared" si="369"/>
        <v>-75000</v>
      </c>
      <c r="G326" s="134">
        <f t="shared" si="369"/>
        <v>97408</v>
      </c>
      <c r="H326" s="134">
        <f t="shared" si="369"/>
        <v>64010</v>
      </c>
      <c r="I326" s="134">
        <f t="shared" si="369"/>
        <v>161418</v>
      </c>
      <c r="J326" s="134">
        <f t="shared" si="369"/>
        <v>0</v>
      </c>
      <c r="K326" s="134">
        <f t="shared" si="369"/>
        <v>161418</v>
      </c>
      <c r="L326" s="134">
        <f t="shared" si="369"/>
        <v>0</v>
      </c>
      <c r="M326" s="134">
        <f t="shared" si="369"/>
        <v>161418</v>
      </c>
      <c r="N326" s="134">
        <f t="shared" si="369"/>
        <v>0</v>
      </c>
      <c r="O326" s="134">
        <f t="shared" si="369"/>
        <v>161418</v>
      </c>
      <c r="P326" s="134">
        <f t="shared" si="369"/>
        <v>0</v>
      </c>
      <c r="Q326" s="134">
        <f t="shared" si="369"/>
        <v>161418</v>
      </c>
      <c r="R326" s="134">
        <f t="shared" si="369"/>
        <v>0</v>
      </c>
      <c r="S326" s="134">
        <f t="shared" si="369"/>
        <v>161418</v>
      </c>
      <c r="T326" s="134">
        <f t="shared" si="369"/>
        <v>0</v>
      </c>
      <c r="U326" s="134">
        <f t="shared" si="369"/>
        <v>161418</v>
      </c>
      <c r="V326" s="134">
        <f t="shared" si="369"/>
        <v>0</v>
      </c>
      <c r="W326" s="134">
        <f t="shared" si="369"/>
        <v>161418</v>
      </c>
      <c r="X326" s="134">
        <f aca="true" t="shared" si="370" ref="X326:AC326">SUM(X329,X340,X327)</f>
        <v>0</v>
      </c>
      <c r="Y326" s="134">
        <f t="shared" si="370"/>
        <v>161418</v>
      </c>
      <c r="Z326" s="134">
        <f t="shared" si="370"/>
        <v>30736</v>
      </c>
      <c r="AA326" s="134">
        <f t="shared" si="370"/>
        <v>192154</v>
      </c>
      <c r="AB326" s="134">
        <f t="shared" si="370"/>
        <v>0</v>
      </c>
      <c r="AC326" s="134">
        <f t="shared" si="370"/>
        <v>192154</v>
      </c>
      <c r="AD326" s="134">
        <f aca="true" t="shared" si="371" ref="AD326:AI326">SUM(AD329,AD340,AD327)</f>
        <v>0</v>
      </c>
      <c r="AE326" s="134">
        <f t="shared" si="371"/>
        <v>192154</v>
      </c>
      <c r="AF326" s="134">
        <f t="shared" si="371"/>
        <v>26736</v>
      </c>
      <c r="AG326" s="134">
        <f t="shared" si="371"/>
        <v>218890</v>
      </c>
      <c r="AH326" s="134">
        <f t="shared" si="371"/>
        <v>0</v>
      </c>
      <c r="AI326" s="134">
        <f t="shared" si="371"/>
        <v>218890</v>
      </c>
      <c r="AJ326" s="134">
        <f>SUM(AJ329,AJ340,AJ327)</f>
        <v>0</v>
      </c>
      <c r="AK326" s="134">
        <f>SUM(AK329,AK340,AK327)</f>
        <v>218890</v>
      </c>
    </row>
    <row r="327" spans="1:37" s="5" customFormat="1" ht="21" customHeight="1">
      <c r="A327" s="27"/>
      <c r="B327" s="140">
        <v>85153</v>
      </c>
      <c r="C327" s="58"/>
      <c r="D327" s="31" t="s">
        <v>177</v>
      </c>
      <c r="E327" s="54">
        <f aca="true" t="shared" si="372" ref="E327:AK327">SUM(E328:E328)</f>
        <v>6360</v>
      </c>
      <c r="F327" s="54">
        <f t="shared" si="372"/>
        <v>0</v>
      </c>
      <c r="G327" s="54">
        <f t="shared" si="372"/>
        <v>6360</v>
      </c>
      <c r="H327" s="54">
        <f t="shared" si="372"/>
        <v>0</v>
      </c>
      <c r="I327" s="54">
        <f t="shared" si="372"/>
        <v>6360</v>
      </c>
      <c r="J327" s="54">
        <f t="shared" si="372"/>
        <v>0</v>
      </c>
      <c r="K327" s="54">
        <f t="shared" si="372"/>
        <v>6360</v>
      </c>
      <c r="L327" s="54">
        <f t="shared" si="372"/>
        <v>0</v>
      </c>
      <c r="M327" s="54">
        <f t="shared" si="372"/>
        <v>6360</v>
      </c>
      <c r="N327" s="54">
        <f t="shared" si="372"/>
        <v>0</v>
      </c>
      <c r="O327" s="54">
        <f t="shared" si="372"/>
        <v>6360</v>
      </c>
      <c r="P327" s="54">
        <f t="shared" si="372"/>
        <v>0</v>
      </c>
      <c r="Q327" s="54">
        <f t="shared" si="372"/>
        <v>6360</v>
      </c>
      <c r="R327" s="54">
        <f t="shared" si="372"/>
        <v>0</v>
      </c>
      <c r="S327" s="54">
        <f t="shared" si="372"/>
        <v>6360</v>
      </c>
      <c r="T327" s="54">
        <f t="shared" si="372"/>
        <v>0</v>
      </c>
      <c r="U327" s="54">
        <f t="shared" si="372"/>
        <v>6360</v>
      </c>
      <c r="V327" s="54">
        <f t="shared" si="372"/>
        <v>0</v>
      </c>
      <c r="W327" s="54">
        <f t="shared" si="372"/>
        <v>6360</v>
      </c>
      <c r="X327" s="54">
        <f t="shared" si="372"/>
        <v>0</v>
      </c>
      <c r="Y327" s="54">
        <f t="shared" si="372"/>
        <v>6360</v>
      </c>
      <c r="Z327" s="54">
        <f t="shared" si="372"/>
        <v>0</v>
      </c>
      <c r="AA327" s="54">
        <f t="shared" si="372"/>
        <v>6360</v>
      </c>
      <c r="AB327" s="54">
        <f t="shared" si="372"/>
        <v>0</v>
      </c>
      <c r="AC327" s="54">
        <f t="shared" si="372"/>
        <v>6360</v>
      </c>
      <c r="AD327" s="54">
        <f t="shared" si="372"/>
        <v>0</v>
      </c>
      <c r="AE327" s="54">
        <f t="shared" si="372"/>
        <v>6360</v>
      </c>
      <c r="AF327" s="54">
        <f t="shared" si="372"/>
        <v>0</v>
      </c>
      <c r="AG327" s="54">
        <f t="shared" si="372"/>
        <v>6360</v>
      </c>
      <c r="AH327" s="54">
        <f t="shared" si="372"/>
        <v>0</v>
      </c>
      <c r="AI327" s="54">
        <f t="shared" si="372"/>
        <v>6360</v>
      </c>
      <c r="AJ327" s="54">
        <f t="shared" si="372"/>
        <v>0</v>
      </c>
      <c r="AK327" s="54">
        <f t="shared" si="372"/>
        <v>6360</v>
      </c>
    </row>
    <row r="328" spans="1:37" s="5" customFormat="1" ht="21" customHeight="1">
      <c r="A328" s="27"/>
      <c r="B328" s="140"/>
      <c r="C328" s="58">
        <v>4300</v>
      </c>
      <c r="D328" s="31" t="s">
        <v>75</v>
      </c>
      <c r="E328" s="54">
        <v>6360</v>
      </c>
      <c r="F328" s="54"/>
      <c r="G328" s="54">
        <f t="shared" si="327"/>
        <v>6360</v>
      </c>
      <c r="H328" s="54"/>
      <c r="I328" s="54">
        <f>SUM(G328:H328)</f>
        <v>6360</v>
      </c>
      <c r="J328" s="54"/>
      <c r="K328" s="54">
        <f>SUM(I328:J328)</f>
        <v>6360</v>
      </c>
      <c r="L328" s="54"/>
      <c r="M328" s="54">
        <f>SUM(K328:L328)</f>
        <v>6360</v>
      </c>
      <c r="N328" s="54"/>
      <c r="O328" s="54">
        <f>SUM(M328:N328)</f>
        <v>6360</v>
      </c>
      <c r="P328" s="54"/>
      <c r="Q328" s="54">
        <f>SUM(O328:P328)</f>
        <v>6360</v>
      </c>
      <c r="R328" s="54"/>
      <c r="S328" s="54">
        <f>SUM(Q328:R328)</f>
        <v>6360</v>
      </c>
      <c r="T328" s="54"/>
      <c r="U328" s="54">
        <f>SUM(S328:T328)</f>
        <v>6360</v>
      </c>
      <c r="V328" s="54"/>
      <c r="W328" s="54">
        <f>SUM(U328:V328)</f>
        <v>6360</v>
      </c>
      <c r="X328" s="54"/>
      <c r="Y328" s="54">
        <f>SUM(W328:X328)</f>
        <v>6360</v>
      </c>
      <c r="Z328" s="54"/>
      <c r="AA328" s="54">
        <f>SUM(Y328:Z328)</f>
        <v>6360</v>
      </c>
      <c r="AB328" s="54"/>
      <c r="AC328" s="54">
        <f>SUM(AA328:AB328)</f>
        <v>6360</v>
      </c>
      <c r="AD328" s="54"/>
      <c r="AE328" s="54">
        <f>SUM(AC328:AD328)</f>
        <v>6360</v>
      </c>
      <c r="AF328" s="54"/>
      <c r="AG328" s="54">
        <f>SUM(AE328:AF328)</f>
        <v>6360</v>
      </c>
      <c r="AH328" s="54"/>
      <c r="AI328" s="54">
        <f>SUM(AG328:AH328)</f>
        <v>6360</v>
      </c>
      <c r="AJ328" s="54"/>
      <c r="AK328" s="54">
        <f>SUM(AI328:AJ328)</f>
        <v>6360</v>
      </c>
    </row>
    <row r="329" spans="1:37" s="20" customFormat="1" ht="21" customHeight="1">
      <c r="A329" s="41"/>
      <c r="B329" s="55" t="s">
        <v>98</v>
      </c>
      <c r="C329" s="58"/>
      <c r="D329" s="31" t="s">
        <v>54</v>
      </c>
      <c r="E329" s="54">
        <f>SUM(E332:E339)</f>
        <v>86048</v>
      </c>
      <c r="F329" s="54">
        <f>SUM(F332:F339)</f>
        <v>-75000</v>
      </c>
      <c r="G329" s="54">
        <f aca="true" t="shared" si="373" ref="G329:M329">SUM(G331:G339)</f>
        <v>81048</v>
      </c>
      <c r="H329" s="54">
        <f t="shared" si="373"/>
        <v>64010</v>
      </c>
      <c r="I329" s="54">
        <f t="shared" si="373"/>
        <v>145058</v>
      </c>
      <c r="J329" s="54">
        <f t="shared" si="373"/>
        <v>0</v>
      </c>
      <c r="K329" s="54">
        <f t="shared" si="373"/>
        <v>145058</v>
      </c>
      <c r="L329" s="54">
        <f t="shared" si="373"/>
        <v>0</v>
      </c>
      <c r="M329" s="54">
        <f t="shared" si="373"/>
        <v>145058</v>
      </c>
      <c r="N329" s="54">
        <f>SUM(N331:N339)</f>
        <v>0</v>
      </c>
      <c r="O329" s="54">
        <f>SUM(O331:O339)</f>
        <v>145058</v>
      </c>
      <c r="P329" s="54">
        <f>SUM(P331:P339)</f>
        <v>0</v>
      </c>
      <c r="Q329" s="54">
        <f aca="true" t="shared" si="374" ref="Q329:W329">SUM(Q330:Q339)</f>
        <v>145058</v>
      </c>
      <c r="R329" s="54">
        <f t="shared" si="374"/>
        <v>0</v>
      </c>
      <c r="S329" s="54">
        <f t="shared" si="374"/>
        <v>145058</v>
      </c>
      <c r="T329" s="54">
        <f t="shared" si="374"/>
        <v>0</v>
      </c>
      <c r="U329" s="54">
        <f t="shared" si="374"/>
        <v>145058</v>
      </c>
      <c r="V329" s="54">
        <f t="shared" si="374"/>
        <v>0</v>
      </c>
      <c r="W329" s="54">
        <f t="shared" si="374"/>
        <v>145058</v>
      </c>
      <c r="X329" s="54">
        <f aca="true" t="shared" si="375" ref="X329:AC329">SUM(X330:X339)</f>
        <v>0</v>
      </c>
      <c r="Y329" s="54">
        <f t="shared" si="375"/>
        <v>145058</v>
      </c>
      <c r="Z329" s="54">
        <f t="shared" si="375"/>
        <v>30736</v>
      </c>
      <c r="AA329" s="54">
        <f t="shared" si="375"/>
        <v>175794</v>
      </c>
      <c r="AB329" s="54">
        <f t="shared" si="375"/>
        <v>0</v>
      </c>
      <c r="AC329" s="54">
        <f t="shared" si="375"/>
        <v>175794</v>
      </c>
      <c r="AD329" s="54">
        <f aca="true" t="shared" si="376" ref="AD329:AI329">SUM(AD330:AD339)</f>
        <v>0</v>
      </c>
      <c r="AE329" s="54">
        <f t="shared" si="376"/>
        <v>175794</v>
      </c>
      <c r="AF329" s="54">
        <f t="shared" si="376"/>
        <v>26736</v>
      </c>
      <c r="AG329" s="54">
        <f t="shared" si="376"/>
        <v>202530</v>
      </c>
      <c r="AH329" s="54">
        <f t="shared" si="376"/>
        <v>0</v>
      </c>
      <c r="AI329" s="54">
        <f t="shared" si="376"/>
        <v>202530</v>
      </c>
      <c r="AJ329" s="54">
        <f>SUM(AJ330:AJ339)</f>
        <v>0</v>
      </c>
      <c r="AK329" s="54">
        <f>SUM(AK330:AK339)</f>
        <v>202530</v>
      </c>
    </row>
    <row r="330" spans="1:43" s="20" customFormat="1" ht="48">
      <c r="A330" s="41"/>
      <c r="B330" s="55"/>
      <c r="C330" s="58">
        <v>2710</v>
      </c>
      <c r="D330" s="12" t="s">
        <v>242</v>
      </c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>
        <v>0</v>
      </c>
      <c r="R330" s="54">
        <v>13425</v>
      </c>
      <c r="S330" s="54">
        <f aca="true" t="shared" si="377" ref="S330:S339">SUM(Q330:R330)</f>
        <v>13425</v>
      </c>
      <c r="T330" s="54"/>
      <c r="U330" s="54">
        <f aca="true" t="shared" si="378" ref="U330:U339">SUM(S330:T330)</f>
        <v>13425</v>
      </c>
      <c r="V330" s="54"/>
      <c r="W330" s="54">
        <f aca="true" t="shared" si="379" ref="W330:W339">SUM(U330:V330)</f>
        <v>13425</v>
      </c>
      <c r="X330" s="54"/>
      <c r="Y330" s="54">
        <f aca="true" t="shared" si="380" ref="Y330:Y339">SUM(W330:X330)</f>
        <v>13425</v>
      </c>
      <c r="Z330" s="54"/>
      <c r="AA330" s="54">
        <f aca="true" t="shared" si="381" ref="AA330:AA339">SUM(Y330:Z330)</f>
        <v>13425</v>
      </c>
      <c r="AB330" s="54"/>
      <c r="AC330" s="54">
        <f aca="true" t="shared" si="382" ref="AC330:AC339">SUM(AA330:AB330)</f>
        <v>13425</v>
      </c>
      <c r="AD330" s="54"/>
      <c r="AE330" s="54">
        <f aca="true" t="shared" si="383" ref="AE330:AE339">SUM(AC330:AD330)</f>
        <v>13425</v>
      </c>
      <c r="AF330" s="54"/>
      <c r="AG330" s="54">
        <f aca="true" t="shared" si="384" ref="AG330:AG339">SUM(AE330:AF330)</f>
        <v>13425</v>
      </c>
      <c r="AH330" s="54"/>
      <c r="AI330" s="54">
        <f aca="true" t="shared" si="385" ref="AI330:AI339">SUM(AG330:AH330)</f>
        <v>13425</v>
      </c>
      <c r="AJ330" s="54"/>
      <c r="AK330" s="54">
        <f aca="true" t="shared" si="386" ref="AK330:AK339">SUM(AI330:AJ330)</f>
        <v>13425</v>
      </c>
      <c r="AP330" s="67"/>
      <c r="AQ330" s="67"/>
    </row>
    <row r="331" spans="1:43" s="20" customFormat="1" ht="34.5" customHeight="1">
      <c r="A331" s="41"/>
      <c r="B331" s="55"/>
      <c r="C331" s="58">
        <v>2820</v>
      </c>
      <c r="D331" s="31" t="s">
        <v>198</v>
      </c>
      <c r="E331" s="54" t="s">
        <v>198</v>
      </c>
      <c r="F331" s="54"/>
      <c r="G331" s="54">
        <v>0</v>
      </c>
      <c r="H331" s="54">
        <v>8130</v>
      </c>
      <c r="I331" s="54">
        <f aca="true" t="shared" si="387" ref="I331:I339">SUM(G331:H331)</f>
        <v>8130</v>
      </c>
      <c r="J331" s="54"/>
      <c r="K331" s="54">
        <f aca="true" t="shared" si="388" ref="K331:K339">SUM(I331:J331)</f>
        <v>8130</v>
      </c>
      <c r="L331" s="54"/>
      <c r="M331" s="54">
        <f aca="true" t="shared" si="389" ref="M331:M339">SUM(K331:L331)</f>
        <v>8130</v>
      </c>
      <c r="N331" s="54"/>
      <c r="O331" s="54">
        <f aca="true" t="shared" si="390" ref="O331:O339">SUM(M331:N331)</f>
        <v>8130</v>
      </c>
      <c r="P331" s="54"/>
      <c r="Q331" s="54">
        <f aca="true" t="shared" si="391" ref="Q331:Q339">SUM(O331:P331)</f>
        <v>8130</v>
      </c>
      <c r="R331" s="54"/>
      <c r="S331" s="54">
        <f t="shared" si="377"/>
        <v>8130</v>
      </c>
      <c r="T331" s="54"/>
      <c r="U331" s="54">
        <f t="shared" si="378"/>
        <v>8130</v>
      </c>
      <c r="V331" s="54"/>
      <c r="W331" s="54">
        <f t="shared" si="379"/>
        <v>8130</v>
      </c>
      <c r="X331" s="54"/>
      <c r="Y331" s="54">
        <f t="shared" si="380"/>
        <v>8130</v>
      </c>
      <c r="Z331" s="54"/>
      <c r="AA331" s="54">
        <f t="shared" si="381"/>
        <v>8130</v>
      </c>
      <c r="AB331" s="54"/>
      <c r="AC331" s="54">
        <f t="shared" si="382"/>
        <v>8130</v>
      </c>
      <c r="AD331" s="54"/>
      <c r="AE331" s="54">
        <f t="shared" si="383"/>
        <v>8130</v>
      </c>
      <c r="AF331" s="54"/>
      <c r="AG331" s="54">
        <f t="shared" si="384"/>
        <v>8130</v>
      </c>
      <c r="AH331" s="54"/>
      <c r="AI331" s="54">
        <f t="shared" si="385"/>
        <v>8130</v>
      </c>
      <c r="AJ331" s="54"/>
      <c r="AK331" s="54">
        <f t="shared" si="386"/>
        <v>8130</v>
      </c>
      <c r="AP331" s="67"/>
      <c r="AQ331" s="67"/>
    </row>
    <row r="332" spans="1:43" s="20" customFormat="1" ht="58.5" customHeight="1">
      <c r="A332" s="41"/>
      <c r="B332" s="140"/>
      <c r="C332" s="58">
        <v>2830</v>
      </c>
      <c r="D332" s="31" t="s">
        <v>214</v>
      </c>
      <c r="E332" s="54" t="s">
        <v>214</v>
      </c>
      <c r="F332" s="54">
        <v>-70000</v>
      </c>
      <c r="G332" s="54">
        <v>0</v>
      </c>
      <c r="H332" s="54">
        <f>50060+5820</f>
        <v>55880</v>
      </c>
      <c r="I332" s="54">
        <f t="shared" si="387"/>
        <v>55880</v>
      </c>
      <c r="J332" s="54"/>
      <c r="K332" s="54">
        <f t="shared" si="388"/>
        <v>55880</v>
      </c>
      <c r="L332" s="54"/>
      <c r="M332" s="54">
        <f t="shared" si="389"/>
        <v>55880</v>
      </c>
      <c r="N332" s="54"/>
      <c r="O332" s="54">
        <f t="shared" si="390"/>
        <v>55880</v>
      </c>
      <c r="P332" s="54"/>
      <c r="Q332" s="54">
        <f t="shared" si="391"/>
        <v>55880</v>
      </c>
      <c r="R332" s="54"/>
      <c r="S332" s="54">
        <f t="shared" si="377"/>
        <v>55880</v>
      </c>
      <c r="T332" s="54"/>
      <c r="U332" s="54">
        <f t="shared" si="378"/>
        <v>55880</v>
      </c>
      <c r="V332" s="54"/>
      <c r="W332" s="54">
        <f t="shared" si="379"/>
        <v>55880</v>
      </c>
      <c r="X332" s="54"/>
      <c r="Y332" s="54">
        <f t="shared" si="380"/>
        <v>55880</v>
      </c>
      <c r="Z332" s="54"/>
      <c r="AA332" s="54">
        <f t="shared" si="381"/>
        <v>55880</v>
      </c>
      <c r="AB332" s="54"/>
      <c r="AC332" s="54">
        <f t="shared" si="382"/>
        <v>55880</v>
      </c>
      <c r="AD332" s="54"/>
      <c r="AE332" s="54">
        <f t="shared" si="383"/>
        <v>55880</v>
      </c>
      <c r="AF332" s="54"/>
      <c r="AG332" s="54">
        <f t="shared" si="384"/>
        <v>55880</v>
      </c>
      <c r="AH332" s="54"/>
      <c r="AI332" s="54">
        <f t="shared" si="385"/>
        <v>55880</v>
      </c>
      <c r="AJ332" s="54"/>
      <c r="AK332" s="54">
        <f t="shared" si="386"/>
        <v>55880</v>
      </c>
      <c r="AP332" s="67"/>
      <c r="AQ332" s="67"/>
    </row>
    <row r="333" spans="1:39" s="20" customFormat="1" ht="21" customHeight="1">
      <c r="A333" s="41"/>
      <c r="B333" s="140"/>
      <c r="C333" s="58">
        <v>4110</v>
      </c>
      <c r="D333" s="12" t="s">
        <v>81</v>
      </c>
      <c r="E333" s="54">
        <v>1758</v>
      </c>
      <c r="F333" s="54"/>
      <c r="G333" s="54">
        <f t="shared" si="327"/>
        <v>1758</v>
      </c>
      <c r="H333" s="54"/>
      <c r="I333" s="54">
        <f t="shared" si="387"/>
        <v>1758</v>
      </c>
      <c r="J333" s="54"/>
      <c r="K333" s="54">
        <f t="shared" si="388"/>
        <v>1758</v>
      </c>
      <c r="L333" s="54"/>
      <c r="M333" s="54">
        <f t="shared" si="389"/>
        <v>1758</v>
      </c>
      <c r="N333" s="54"/>
      <c r="O333" s="54">
        <f t="shared" si="390"/>
        <v>1758</v>
      </c>
      <c r="P333" s="54"/>
      <c r="Q333" s="54">
        <f t="shared" si="391"/>
        <v>1758</v>
      </c>
      <c r="R333" s="54"/>
      <c r="S333" s="54">
        <f t="shared" si="377"/>
        <v>1758</v>
      </c>
      <c r="T333" s="54"/>
      <c r="U333" s="54">
        <f t="shared" si="378"/>
        <v>1758</v>
      </c>
      <c r="V333" s="54"/>
      <c r="W333" s="54">
        <f t="shared" si="379"/>
        <v>1758</v>
      </c>
      <c r="X333" s="54"/>
      <c r="Y333" s="54">
        <f t="shared" si="380"/>
        <v>1758</v>
      </c>
      <c r="Z333" s="54">
        <v>100</v>
      </c>
      <c r="AA333" s="54">
        <f t="shared" si="381"/>
        <v>1858</v>
      </c>
      <c r="AB333" s="54"/>
      <c r="AC333" s="54">
        <f t="shared" si="382"/>
        <v>1858</v>
      </c>
      <c r="AD333" s="54"/>
      <c r="AE333" s="54">
        <f t="shared" si="383"/>
        <v>1858</v>
      </c>
      <c r="AF333" s="54">
        <v>200</v>
      </c>
      <c r="AG333" s="54">
        <f t="shared" si="384"/>
        <v>2058</v>
      </c>
      <c r="AH333" s="54"/>
      <c r="AI333" s="54">
        <f t="shared" si="385"/>
        <v>2058</v>
      </c>
      <c r="AJ333" s="54"/>
      <c r="AK333" s="54">
        <f t="shared" si="386"/>
        <v>2058</v>
      </c>
      <c r="AL333" s="67"/>
      <c r="AM333" s="67"/>
    </row>
    <row r="334" spans="1:39" s="20" customFormat="1" ht="21" customHeight="1">
      <c r="A334" s="41"/>
      <c r="B334" s="140"/>
      <c r="C334" s="58">
        <v>4170</v>
      </c>
      <c r="D334" s="31" t="s">
        <v>161</v>
      </c>
      <c r="E334" s="54">
        <v>37800</v>
      </c>
      <c r="F334" s="54"/>
      <c r="G334" s="54">
        <f t="shared" si="327"/>
        <v>37800</v>
      </c>
      <c r="H334" s="54"/>
      <c r="I334" s="54">
        <f t="shared" si="387"/>
        <v>37800</v>
      </c>
      <c r="J334" s="54"/>
      <c r="K334" s="54">
        <f t="shared" si="388"/>
        <v>37800</v>
      </c>
      <c r="L334" s="54"/>
      <c r="M334" s="54">
        <f t="shared" si="389"/>
        <v>37800</v>
      </c>
      <c r="N334" s="54"/>
      <c r="O334" s="54">
        <f t="shared" si="390"/>
        <v>37800</v>
      </c>
      <c r="P334" s="54"/>
      <c r="Q334" s="54">
        <f t="shared" si="391"/>
        <v>37800</v>
      </c>
      <c r="R334" s="54">
        <v>-1000</v>
      </c>
      <c r="S334" s="54">
        <f t="shared" si="377"/>
        <v>36800</v>
      </c>
      <c r="T334" s="54"/>
      <c r="U334" s="54">
        <f t="shared" si="378"/>
        <v>36800</v>
      </c>
      <c r="V334" s="54"/>
      <c r="W334" s="54">
        <f t="shared" si="379"/>
        <v>36800</v>
      </c>
      <c r="X334" s="54"/>
      <c r="Y334" s="54">
        <f t="shared" si="380"/>
        <v>36800</v>
      </c>
      <c r="Z334" s="54">
        <f>300+8700+2000</f>
        <v>11000</v>
      </c>
      <c r="AA334" s="54">
        <f t="shared" si="381"/>
        <v>47800</v>
      </c>
      <c r="AB334" s="54"/>
      <c r="AC334" s="54">
        <f t="shared" si="382"/>
        <v>47800</v>
      </c>
      <c r="AD334" s="54"/>
      <c r="AE334" s="54">
        <f t="shared" si="383"/>
        <v>47800</v>
      </c>
      <c r="AF334" s="54">
        <v>2000</v>
      </c>
      <c r="AG334" s="54">
        <f t="shared" si="384"/>
        <v>49800</v>
      </c>
      <c r="AH334" s="54"/>
      <c r="AI334" s="54">
        <f t="shared" si="385"/>
        <v>49800</v>
      </c>
      <c r="AJ334" s="54"/>
      <c r="AK334" s="54">
        <f t="shared" si="386"/>
        <v>49800</v>
      </c>
      <c r="AL334" s="67"/>
      <c r="AM334" s="67"/>
    </row>
    <row r="335" spans="1:37" s="20" customFormat="1" ht="21" customHeight="1">
      <c r="A335" s="41"/>
      <c r="B335" s="140"/>
      <c r="C335" s="58">
        <v>4210</v>
      </c>
      <c r="D335" s="12" t="s">
        <v>86</v>
      </c>
      <c r="E335" s="54">
        <v>8000</v>
      </c>
      <c r="F335" s="54"/>
      <c r="G335" s="54">
        <f t="shared" si="327"/>
        <v>8000</v>
      </c>
      <c r="H335" s="54"/>
      <c r="I335" s="54">
        <f t="shared" si="387"/>
        <v>8000</v>
      </c>
      <c r="J335" s="54"/>
      <c r="K335" s="54">
        <f t="shared" si="388"/>
        <v>8000</v>
      </c>
      <c r="L335" s="54"/>
      <c r="M335" s="54">
        <f t="shared" si="389"/>
        <v>8000</v>
      </c>
      <c r="N335" s="54"/>
      <c r="O335" s="54">
        <f t="shared" si="390"/>
        <v>8000</v>
      </c>
      <c r="P335" s="54"/>
      <c r="Q335" s="54">
        <f t="shared" si="391"/>
        <v>8000</v>
      </c>
      <c r="R335" s="54">
        <v>-900</v>
      </c>
      <c r="S335" s="54">
        <f t="shared" si="377"/>
        <v>7100</v>
      </c>
      <c r="T335" s="54"/>
      <c r="U335" s="54">
        <f t="shared" si="378"/>
        <v>7100</v>
      </c>
      <c r="V335" s="54"/>
      <c r="W335" s="54">
        <f t="shared" si="379"/>
        <v>7100</v>
      </c>
      <c r="X335" s="54"/>
      <c r="Y335" s="54">
        <f t="shared" si="380"/>
        <v>7100</v>
      </c>
      <c r="Z335" s="54">
        <v>430</v>
      </c>
      <c r="AA335" s="54">
        <f t="shared" si="381"/>
        <v>7530</v>
      </c>
      <c r="AB335" s="54"/>
      <c r="AC335" s="54">
        <f t="shared" si="382"/>
        <v>7530</v>
      </c>
      <c r="AD335" s="54"/>
      <c r="AE335" s="54">
        <f t="shared" si="383"/>
        <v>7530</v>
      </c>
      <c r="AF335" s="54">
        <v>10000</v>
      </c>
      <c r="AG335" s="54">
        <f t="shared" si="384"/>
        <v>17530</v>
      </c>
      <c r="AH335" s="54"/>
      <c r="AI335" s="54">
        <f t="shared" si="385"/>
        <v>17530</v>
      </c>
      <c r="AJ335" s="54"/>
      <c r="AK335" s="54">
        <f t="shared" si="386"/>
        <v>17530</v>
      </c>
    </row>
    <row r="336" spans="1:37" s="20" customFormat="1" ht="21" customHeight="1">
      <c r="A336" s="41"/>
      <c r="B336" s="140"/>
      <c r="C336" s="58">
        <v>4220</v>
      </c>
      <c r="D336" s="12" t="s">
        <v>149</v>
      </c>
      <c r="E336" s="54">
        <v>10000</v>
      </c>
      <c r="F336" s="54"/>
      <c r="G336" s="54">
        <f t="shared" si="327"/>
        <v>10000</v>
      </c>
      <c r="H336" s="54"/>
      <c r="I336" s="54">
        <f t="shared" si="387"/>
        <v>10000</v>
      </c>
      <c r="J336" s="54"/>
      <c r="K336" s="54">
        <f t="shared" si="388"/>
        <v>10000</v>
      </c>
      <c r="L336" s="54"/>
      <c r="M336" s="54">
        <f t="shared" si="389"/>
        <v>10000</v>
      </c>
      <c r="N336" s="54"/>
      <c r="O336" s="54">
        <f t="shared" si="390"/>
        <v>10000</v>
      </c>
      <c r="P336" s="54"/>
      <c r="Q336" s="54">
        <f t="shared" si="391"/>
        <v>10000</v>
      </c>
      <c r="R336" s="54">
        <v>-3825</v>
      </c>
      <c r="S336" s="54">
        <f t="shared" si="377"/>
        <v>6175</v>
      </c>
      <c r="T336" s="54"/>
      <c r="U336" s="54">
        <f t="shared" si="378"/>
        <v>6175</v>
      </c>
      <c r="V336" s="54"/>
      <c r="W336" s="54">
        <f t="shared" si="379"/>
        <v>6175</v>
      </c>
      <c r="X336" s="54"/>
      <c r="Y336" s="54">
        <f t="shared" si="380"/>
        <v>6175</v>
      </c>
      <c r="Z336" s="54">
        <v>480</v>
      </c>
      <c r="AA336" s="54">
        <f t="shared" si="381"/>
        <v>6655</v>
      </c>
      <c r="AB336" s="54"/>
      <c r="AC336" s="54">
        <f t="shared" si="382"/>
        <v>6655</v>
      </c>
      <c r="AD336" s="54"/>
      <c r="AE336" s="54">
        <f t="shared" si="383"/>
        <v>6655</v>
      </c>
      <c r="AF336" s="54">
        <f>3790+3210</f>
        <v>7000</v>
      </c>
      <c r="AG336" s="54">
        <f t="shared" si="384"/>
        <v>13655</v>
      </c>
      <c r="AH336" s="54"/>
      <c r="AI336" s="54">
        <f t="shared" si="385"/>
        <v>13655</v>
      </c>
      <c r="AJ336" s="54"/>
      <c r="AK336" s="54">
        <f t="shared" si="386"/>
        <v>13655</v>
      </c>
    </row>
    <row r="337" spans="1:37" s="20" customFormat="1" ht="21" customHeight="1">
      <c r="A337" s="41"/>
      <c r="B337" s="140"/>
      <c r="C337" s="58">
        <v>4300</v>
      </c>
      <c r="D337" s="31" t="s">
        <v>75</v>
      </c>
      <c r="E337" s="54">
        <f>25240+850</f>
        <v>26090</v>
      </c>
      <c r="F337" s="54">
        <v>-5000</v>
      </c>
      <c r="G337" s="54">
        <f t="shared" si="327"/>
        <v>21090</v>
      </c>
      <c r="H337" s="54"/>
      <c r="I337" s="54">
        <f t="shared" si="387"/>
        <v>21090</v>
      </c>
      <c r="J337" s="54"/>
      <c r="K337" s="54">
        <f t="shared" si="388"/>
        <v>21090</v>
      </c>
      <c r="L337" s="54"/>
      <c r="M337" s="54">
        <f t="shared" si="389"/>
        <v>21090</v>
      </c>
      <c r="N337" s="54"/>
      <c r="O337" s="54">
        <f t="shared" si="390"/>
        <v>21090</v>
      </c>
      <c r="P337" s="54"/>
      <c r="Q337" s="54">
        <f t="shared" si="391"/>
        <v>21090</v>
      </c>
      <c r="R337" s="54">
        <v>-7700</v>
      </c>
      <c r="S337" s="54">
        <f t="shared" si="377"/>
        <v>13390</v>
      </c>
      <c r="T337" s="54"/>
      <c r="U337" s="54">
        <f t="shared" si="378"/>
        <v>13390</v>
      </c>
      <c r="V337" s="54"/>
      <c r="W337" s="54">
        <f t="shared" si="379"/>
        <v>13390</v>
      </c>
      <c r="X337" s="54"/>
      <c r="Y337" s="54">
        <f t="shared" si="380"/>
        <v>13390</v>
      </c>
      <c r="Z337" s="54">
        <f>20726-2000</f>
        <v>18726</v>
      </c>
      <c r="AA337" s="54">
        <f t="shared" si="381"/>
        <v>32116</v>
      </c>
      <c r="AB337" s="54"/>
      <c r="AC337" s="54">
        <f t="shared" si="382"/>
        <v>32116</v>
      </c>
      <c r="AD337" s="54"/>
      <c r="AE337" s="54">
        <f t="shared" si="383"/>
        <v>32116</v>
      </c>
      <c r="AF337" s="54">
        <v>7504</v>
      </c>
      <c r="AG337" s="54">
        <f t="shared" si="384"/>
        <v>39620</v>
      </c>
      <c r="AH337" s="54"/>
      <c r="AI337" s="54">
        <f t="shared" si="385"/>
        <v>39620</v>
      </c>
      <c r="AJ337" s="54"/>
      <c r="AK337" s="54">
        <f t="shared" si="386"/>
        <v>39620</v>
      </c>
    </row>
    <row r="338" spans="1:37" s="20" customFormat="1" ht="21" customHeight="1">
      <c r="A338" s="41"/>
      <c r="B338" s="140"/>
      <c r="C338" s="58">
        <v>4350</v>
      </c>
      <c r="D338" s="31" t="s">
        <v>169</v>
      </c>
      <c r="E338" s="54">
        <v>1200</v>
      </c>
      <c r="F338" s="54"/>
      <c r="G338" s="54">
        <f t="shared" si="327"/>
        <v>1200</v>
      </c>
      <c r="H338" s="54"/>
      <c r="I338" s="54">
        <f t="shared" si="387"/>
        <v>1200</v>
      </c>
      <c r="J338" s="54"/>
      <c r="K338" s="54">
        <f t="shared" si="388"/>
        <v>1200</v>
      </c>
      <c r="L338" s="54"/>
      <c r="M338" s="54">
        <f t="shared" si="389"/>
        <v>1200</v>
      </c>
      <c r="N338" s="54"/>
      <c r="O338" s="54">
        <f t="shared" si="390"/>
        <v>1200</v>
      </c>
      <c r="P338" s="54"/>
      <c r="Q338" s="54">
        <f t="shared" si="391"/>
        <v>1200</v>
      </c>
      <c r="R338" s="54"/>
      <c r="S338" s="54">
        <f t="shared" si="377"/>
        <v>1200</v>
      </c>
      <c r="T338" s="54"/>
      <c r="U338" s="54">
        <f t="shared" si="378"/>
        <v>1200</v>
      </c>
      <c r="V338" s="54"/>
      <c r="W338" s="54">
        <f t="shared" si="379"/>
        <v>1200</v>
      </c>
      <c r="X338" s="54"/>
      <c r="Y338" s="54">
        <f t="shared" si="380"/>
        <v>1200</v>
      </c>
      <c r="Z338" s="54"/>
      <c r="AA338" s="54">
        <f t="shared" si="381"/>
        <v>1200</v>
      </c>
      <c r="AB338" s="54"/>
      <c r="AC338" s="54">
        <f t="shared" si="382"/>
        <v>1200</v>
      </c>
      <c r="AD338" s="54"/>
      <c r="AE338" s="54">
        <f t="shared" si="383"/>
        <v>1200</v>
      </c>
      <c r="AF338" s="54">
        <v>32</v>
      </c>
      <c r="AG338" s="54">
        <f t="shared" si="384"/>
        <v>1232</v>
      </c>
      <c r="AH338" s="54"/>
      <c r="AI338" s="54">
        <f t="shared" si="385"/>
        <v>1232</v>
      </c>
      <c r="AJ338" s="54"/>
      <c r="AK338" s="54">
        <f t="shared" si="386"/>
        <v>1232</v>
      </c>
    </row>
    <row r="339" spans="1:37" s="20" customFormat="1" ht="21" customHeight="1">
      <c r="A339" s="41"/>
      <c r="B339" s="140"/>
      <c r="C339" s="58">
        <v>4410</v>
      </c>
      <c r="D339" s="31" t="s">
        <v>85</v>
      </c>
      <c r="E339" s="54">
        <v>1200</v>
      </c>
      <c r="F339" s="54"/>
      <c r="G339" s="54">
        <f t="shared" si="327"/>
        <v>1200</v>
      </c>
      <c r="H339" s="54"/>
      <c r="I339" s="54">
        <f t="shared" si="387"/>
        <v>1200</v>
      </c>
      <c r="J339" s="54"/>
      <c r="K339" s="54">
        <f t="shared" si="388"/>
        <v>1200</v>
      </c>
      <c r="L339" s="54"/>
      <c r="M339" s="54">
        <f t="shared" si="389"/>
        <v>1200</v>
      </c>
      <c r="N339" s="54"/>
      <c r="O339" s="54">
        <f t="shared" si="390"/>
        <v>1200</v>
      </c>
      <c r="P339" s="54"/>
      <c r="Q339" s="54">
        <f t="shared" si="391"/>
        <v>1200</v>
      </c>
      <c r="R339" s="54"/>
      <c r="S339" s="54">
        <f t="shared" si="377"/>
        <v>1200</v>
      </c>
      <c r="T339" s="54"/>
      <c r="U339" s="54">
        <f t="shared" si="378"/>
        <v>1200</v>
      </c>
      <c r="V339" s="54"/>
      <c r="W339" s="54">
        <f t="shared" si="379"/>
        <v>1200</v>
      </c>
      <c r="X339" s="54"/>
      <c r="Y339" s="54">
        <f t="shared" si="380"/>
        <v>1200</v>
      </c>
      <c r="Z339" s="54"/>
      <c r="AA339" s="54">
        <f t="shared" si="381"/>
        <v>1200</v>
      </c>
      <c r="AB339" s="54"/>
      <c r="AC339" s="54">
        <f t="shared" si="382"/>
        <v>1200</v>
      </c>
      <c r="AD339" s="54"/>
      <c r="AE339" s="54">
        <f t="shared" si="383"/>
        <v>1200</v>
      </c>
      <c r="AF339" s="54"/>
      <c r="AG339" s="54">
        <f t="shared" si="384"/>
        <v>1200</v>
      </c>
      <c r="AH339" s="54"/>
      <c r="AI339" s="54">
        <f t="shared" si="385"/>
        <v>1200</v>
      </c>
      <c r="AJ339" s="54"/>
      <c r="AK339" s="54">
        <f t="shared" si="386"/>
        <v>1200</v>
      </c>
    </row>
    <row r="340" spans="1:37" s="20" customFormat="1" ht="21" customHeight="1">
      <c r="A340" s="41"/>
      <c r="B340" s="140">
        <v>85195</v>
      </c>
      <c r="C340" s="58"/>
      <c r="D340" s="31" t="s">
        <v>6</v>
      </c>
      <c r="E340" s="54">
        <f aca="true" t="shared" si="392" ref="E340:AK340">SUM(E341)</f>
        <v>10000</v>
      </c>
      <c r="F340" s="54">
        <f t="shared" si="392"/>
        <v>0</v>
      </c>
      <c r="G340" s="54">
        <f t="shared" si="392"/>
        <v>10000</v>
      </c>
      <c r="H340" s="54">
        <f t="shared" si="392"/>
        <v>0</v>
      </c>
      <c r="I340" s="54">
        <f t="shared" si="392"/>
        <v>10000</v>
      </c>
      <c r="J340" s="54">
        <f t="shared" si="392"/>
        <v>0</v>
      </c>
      <c r="K340" s="54">
        <f t="shared" si="392"/>
        <v>10000</v>
      </c>
      <c r="L340" s="54">
        <f t="shared" si="392"/>
        <v>0</v>
      </c>
      <c r="M340" s="54">
        <f t="shared" si="392"/>
        <v>10000</v>
      </c>
      <c r="N340" s="54">
        <f t="shared" si="392"/>
        <v>0</v>
      </c>
      <c r="O340" s="54">
        <f t="shared" si="392"/>
        <v>10000</v>
      </c>
      <c r="P340" s="54">
        <f t="shared" si="392"/>
        <v>0</v>
      </c>
      <c r="Q340" s="54">
        <f t="shared" si="392"/>
        <v>10000</v>
      </c>
      <c r="R340" s="54">
        <f t="shared" si="392"/>
        <v>0</v>
      </c>
      <c r="S340" s="54">
        <f t="shared" si="392"/>
        <v>10000</v>
      </c>
      <c r="T340" s="54">
        <f t="shared" si="392"/>
        <v>0</v>
      </c>
      <c r="U340" s="54">
        <f t="shared" si="392"/>
        <v>10000</v>
      </c>
      <c r="V340" s="54">
        <f t="shared" si="392"/>
        <v>0</v>
      </c>
      <c r="W340" s="54">
        <f t="shared" si="392"/>
        <v>10000</v>
      </c>
      <c r="X340" s="54">
        <f t="shared" si="392"/>
        <v>0</v>
      </c>
      <c r="Y340" s="54">
        <f t="shared" si="392"/>
        <v>10000</v>
      </c>
      <c r="Z340" s="54">
        <f t="shared" si="392"/>
        <v>0</v>
      </c>
      <c r="AA340" s="54">
        <f t="shared" si="392"/>
        <v>10000</v>
      </c>
      <c r="AB340" s="54">
        <f t="shared" si="392"/>
        <v>0</v>
      </c>
      <c r="AC340" s="54">
        <f t="shared" si="392"/>
        <v>10000</v>
      </c>
      <c r="AD340" s="54">
        <f t="shared" si="392"/>
        <v>0</v>
      </c>
      <c r="AE340" s="54">
        <f t="shared" si="392"/>
        <v>10000</v>
      </c>
      <c r="AF340" s="54">
        <f t="shared" si="392"/>
        <v>0</v>
      </c>
      <c r="AG340" s="54">
        <f t="shared" si="392"/>
        <v>10000</v>
      </c>
      <c r="AH340" s="54">
        <f t="shared" si="392"/>
        <v>0</v>
      </c>
      <c r="AI340" s="54">
        <f t="shared" si="392"/>
        <v>10000</v>
      </c>
      <c r="AJ340" s="54">
        <f t="shared" si="392"/>
        <v>0</v>
      </c>
      <c r="AK340" s="54">
        <f t="shared" si="392"/>
        <v>10000</v>
      </c>
    </row>
    <row r="341" spans="1:37" s="20" customFormat="1" ht="21" customHeight="1">
      <c r="A341" s="41"/>
      <c r="B341" s="140"/>
      <c r="C341" s="58">
        <v>4430</v>
      </c>
      <c r="D341" s="31" t="s">
        <v>87</v>
      </c>
      <c r="E341" s="54">
        <v>10000</v>
      </c>
      <c r="F341" s="54"/>
      <c r="G341" s="54">
        <f t="shared" si="327"/>
        <v>10000</v>
      </c>
      <c r="H341" s="54"/>
      <c r="I341" s="54">
        <f>SUM(G341:H341)</f>
        <v>10000</v>
      </c>
      <c r="J341" s="54"/>
      <c r="K341" s="54">
        <f>SUM(I341:J341)</f>
        <v>10000</v>
      </c>
      <c r="L341" s="54"/>
      <c r="M341" s="54">
        <f>SUM(K341:L341)</f>
        <v>10000</v>
      </c>
      <c r="N341" s="54"/>
      <c r="O341" s="54">
        <f>SUM(M341:N341)</f>
        <v>10000</v>
      </c>
      <c r="P341" s="54"/>
      <c r="Q341" s="54">
        <f>SUM(O341:P341)</f>
        <v>10000</v>
      </c>
      <c r="R341" s="54"/>
      <c r="S341" s="54">
        <f>SUM(Q341:R341)</f>
        <v>10000</v>
      </c>
      <c r="T341" s="54"/>
      <c r="U341" s="54">
        <f>SUM(S341:T341)</f>
        <v>10000</v>
      </c>
      <c r="V341" s="54"/>
      <c r="W341" s="54">
        <f>SUM(U341:V341)</f>
        <v>10000</v>
      </c>
      <c r="X341" s="54"/>
      <c r="Y341" s="54">
        <f>SUM(W341:X341)</f>
        <v>10000</v>
      </c>
      <c r="Z341" s="54"/>
      <c r="AA341" s="54">
        <f>SUM(Y341:Z341)</f>
        <v>10000</v>
      </c>
      <c r="AB341" s="54"/>
      <c r="AC341" s="54">
        <f>SUM(AA341:AB341)</f>
        <v>10000</v>
      </c>
      <c r="AD341" s="54"/>
      <c r="AE341" s="54">
        <f>SUM(AC341:AD341)</f>
        <v>10000</v>
      </c>
      <c r="AF341" s="54"/>
      <c r="AG341" s="54">
        <f>SUM(AE341:AF341)</f>
        <v>10000</v>
      </c>
      <c r="AH341" s="54"/>
      <c r="AI341" s="54">
        <f>SUM(AG341:AH341)</f>
        <v>10000</v>
      </c>
      <c r="AJ341" s="54"/>
      <c r="AK341" s="54">
        <f>SUM(AI341:AJ341)</f>
        <v>10000</v>
      </c>
    </row>
    <row r="342" spans="1:37" s="5" customFormat="1" ht="24.75" customHeight="1">
      <c r="A342" s="102">
        <v>852</v>
      </c>
      <c r="B342" s="28"/>
      <c r="C342" s="29"/>
      <c r="D342" s="30" t="s">
        <v>157</v>
      </c>
      <c r="E342" s="134">
        <f aca="true" t="shared" si="393" ref="E342:W342">SUM(E343,E367,E369,E372,E374,E398,E400,)</f>
        <v>11465246</v>
      </c>
      <c r="F342" s="134">
        <f t="shared" si="393"/>
        <v>0</v>
      </c>
      <c r="G342" s="134">
        <f t="shared" si="393"/>
        <v>11465246</v>
      </c>
      <c r="H342" s="134">
        <f t="shared" si="393"/>
        <v>0</v>
      </c>
      <c r="I342" s="134">
        <f t="shared" si="393"/>
        <v>11465246</v>
      </c>
      <c r="J342" s="134">
        <f t="shared" si="393"/>
        <v>312600</v>
      </c>
      <c r="K342" s="134">
        <f t="shared" si="393"/>
        <v>11777846</v>
      </c>
      <c r="L342" s="134">
        <f t="shared" si="393"/>
        <v>36050</v>
      </c>
      <c r="M342" s="134">
        <f t="shared" si="393"/>
        <v>11813896</v>
      </c>
      <c r="N342" s="134">
        <f t="shared" si="393"/>
        <v>75000</v>
      </c>
      <c r="O342" s="134">
        <f t="shared" si="393"/>
        <v>11888896</v>
      </c>
      <c r="P342" s="134">
        <f t="shared" si="393"/>
        <v>0</v>
      </c>
      <c r="Q342" s="134">
        <f t="shared" si="393"/>
        <v>11888896</v>
      </c>
      <c r="R342" s="134">
        <f t="shared" si="393"/>
        <v>0</v>
      </c>
      <c r="S342" s="134">
        <f t="shared" si="393"/>
        <v>11888896</v>
      </c>
      <c r="T342" s="134">
        <f t="shared" si="393"/>
        <v>0</v>
      </c>
      <c r="U342" s="134">
        <f t="shared" si="393"/>
        <v>11888896</v>
      </c>
      <c r="V342" s="134">
        <f t="shared" si="393"/>
        <v>12750</v>
      </c>
      <c r="W342" s="134">
        <f t="shared" si="393"/>
        <v>11901646</v>
      </c>
      <c r="X342" s="134">
        <f aca="true" t="shared" si="394" ref="X342:AC342">SUM(X343,X367,X369,X372,X374,X398,X400,)</f>
        <v>196618</v>
      </c>
      <c r="Y342" s="134">
        <f t="shared" si="394"/>
        <v>12098264</v>
      </c>
      <c r="Z342" s="134">
        <f t="shared" si="394"/>
        <v>179014</v>
      </c>
      <c r="AA342" s="134">
        <f t="shared" si="394"/>
        <v>12277278</v>
      </c>
      <c r="AB342" s="134">
        <f t="shared" si="394"/>
        <v>-780180</v>
      </c>
      <c r="AC342" s="134">
        <f t="shared" si="394"/>
        <v>11497098</v>
      </c>
      <c r="AD342" s="134">
        <f aca="true" t="shared" si="395" ref="AD342:AI342">SUM(AD343,AD367,AD369,AD372,AD374,AD398,AD400,)</f>
        <v>46150</v>
      </c>
      <c r="AE342" s="134">
        <f t="shared" si="395"/>
        <v>11543248</v>
      </c>
      <c r="AF342" s="134">
        <f t="shared" si="395"/>
        <v>0</v>
      </c>
      <c r="AG342" s="134">
        <f t="shared" si="395"/>
        <v>11543248</v>
      </c>
      <c r="AH342" s="134">
        <f t="shared" si="395"/>
        <v>288824</v>
      </c>
      <c r="AI342" s="134">
        <f t="shared" si="395"/>
        <v>11832072</v>
      </c>
      <c r="AJ342" s="134">
        <f>SUM(AJ343,AJ367,AJ369,AJ372,AJ374,AJ398,AJ400,)</f>
        <v>0</v>
      </c>
      <c r="AK342" s="134">
        <f>SUM(AK343,AK367,AK369,AK372,AK374,AK398,AK400,)</f>
        <v>11832072</v>
      </c>
    </row>
    <row r="343" spans="1:37" s="20" customFormat="1" ht="48">
      <c r="A343" s="61"/>
      <c r="B343" s="34">
        <v>85212</v>
      </c>
      <c r="C343" s="52"/>
      <c r="D343" s="50" t="s">
        <v>347</v>
      </c>
      <c r="E343" s="44">
        <f aca="true" t="shared" si="396" ref="E343:W343">SUM(E344:E366)</f>
        <v>6568634</v>
      </c>
      <c r="F343" s="44">
        <f t="shared" si="396"/>
        <v>0</v>
      </c>
      <c r="G343" s="44">
        <f t="shared" si="396"/>
        <v>6568634</v>
      </c>
      <c r="H343" s="44">
        <f t="shared" si="396"/>
        <v>0</v>
      </c>
      <c r="I343" s="44">
        <f t="shared" si="396"/>
        <v>6568634</v>
      </c>
      <c r="J343" s="44">
        <f t="shared" si="396"/>
        <v>334300</v>
      </c>
      <c r="K343" s="44">
        <f t="shared" si="396"/>
        <v>6902934</v>
      </c>
      <c r="L343" s="44">
        <f t="shared" si="396"/>
        <v>0</v>
      </c>
      <c r="M343" s="44">
        <f t="shared" si="396"/>
        <v>6902934</v>
      </c>
      <c r="N343" s="44">
        <f t="shared" si="396"/>
        <v>0</v>
      </c>
      <c r="O343" s="44">
        <f t="shared" si="396"/>
        <v>6902934</v>
      </c>
      <c r="P343" s="44">
        <f t="shared" si="396"/>
        <v>0</v>
      </c>
      <c r="Q343" s="44">
        <f t="shared" si="396"/>
        <v>6902934</v>
      </c>
      <c r="R343" s="44">
        <f t="shared" si="396"/>
        <v>0</v>
      </c>
      <c r="S343" s="44">
        <f t="shared" si="396"/>
        <v>6902934</v>
      </c>
      <c r="T343" s="44">
        <f t="shared" si="396"/>
        <v>0</v>
      </c>
      <c r="U343" s="44">
        <f t="shared" si="396"/>
        <v>6902934</v>
      </c>
      <c r="V343" s="44">
        <f t="shared" si="396"/>
        <v>0</v>
      </c>
      <c r="W343" s="44">
        <f t="shared" si="396"/>
        <v>6902934</v>
      </c>
      <c r="X343" s="44">
        <f aca="true" t="shared" si="397" ref="X343:AC343">SUM(X344:X366)</f>
        <v>0</v>
      </c>
      <c r="Y343" s="44">
        <f t="shared" si="397"/>
        <v>6902934</v>
      </c>
      <c r="Z343" s="44">
        <f t="shared" si="397"/>
        <v>0</v>
      </c>
      <c r="AA343" s="44">
        <f t="shared" si="397"/>
        <v>6902934</v>
      </c>
      <c r="AB343" s="44">
        <f t="shared" si="397"/>
        <v>-740400</v>
      </c>
      <c r="AC343" s="44">
        <f t="shared" si="397"/>
        <v>6162534</v>
      </c>
      <c r="AD343" s="44">
        <f aca="true" t="shared" si="398" ref="AD343:AI343">SUM(AD344:AD366)</f>
        <v>-291000</v>
      </c>
      <c r="AE343" s="44">
        <f t="shared" si="398"/>
        <v>5871534</v>
      </c>
      <c r="AF343" s="44">
        <f t="shared" si="398"/>
        <v>0</v>
      </c>
      <c r="AG343" s="44">
        <f t="shared" si="398"/>
        <v>5871534</v>
      </c>
      <c r="AH343" s="44">
        <f t="shared" si="398"/>
        <v>288824</v>
      </c>
      <c r="AI343" s="44">
        <f t="shared" si="398"/>
        <v>6160358</v>
      </c>
      <c r="AJ343" s="44">
        <f>SUM(AJ344:AJ366)</f>
        <v>0</v>
      </c>
      <c r="AK343" s="44">
        <f>SUM(AK344:AK366)</f>
        <v>6160358</v>
      </c>
    </row>
    <row r="344" spans="1:37" s="20" customFormat="1" ht="21" customHeight="1">
      <c r="A344" s="61"/>
      <c r="B344" s="34"/>
      <c r="C344" s="52">
        <v>3020</v>
      </c>
      <c r="D344" s="31" t="s">
        <v>159</v>
      </c>
      <c r="E344" s="44">
        <v>1760</v>
      </c>
      <c r="F344" s="44"/>
      <c r="G344" s="54">
        <f t="shared" si="327"/>
        <v>1760</v>
      </c>
      <c r="H344" s="44"/>
      <c r="I344" s="54">
        <f aca="true" t="shared" si="399" ref="I344:I366">SUM(G344:H344)</f>
        <v>1760</v>
      </c>
      <c r="J344" s="44"/>
      <c r="K344" s="54">
        <f aca="true" t="shared" si="400" ref="K344:K366">SUM(I344:J344)</f>
        <v>1760</v>
      </c>
      <c r="L344" s="44"/>
      <c r="M344" s="54">
        <f aca="true" t="shared" si="401" ref="M344:M366">SUM(K344:L344)</f>
        <v>1760</v>
      </c>
      <c r="N344" s="44"/>
      <c r="O344" s="54">
        <f aca="true" t="shared" si="402" ref="O344:O366">SUM(M344:N344)</f>
        <v>1760</v>
      </c>
      <c r="P344" s="44"/>
      <c r="Q344" s="54">
        <f aca="true" t="shared" si="403" ref="Q344:Q366">SUM(O344:P344)</f>
        <v>1760</v>
      </c>
      <c r="R344" s="44"/>
      <c r="S344" s="54">
        <f aca="true" t="shared" si="404" ref="S344:S366">SUM(Q344:R344)</f>
        <v>1760</v>
      </c>
      <c r="T344" s="44"/>
      <c r="U344" s="54">
        <f aca="true" t="shared" si="405" ref="U344:U366">SUM(S344:T344)</f>
        <v>1760</v>
      </c>
      <c r="V344" s="44"/>
      <c r="W344" s="54">
        <f aca="true" t="shared" si="406" ref="W344:W366">SUM(U344:V344)</f>
        <v>1760</v>
      </c>
      <c r="X344" s="44"/>
      <c r="Y344" s="54">
        <f aca="true" t="shared" si="407" ref="Y344:Y366">SUM(W344:X344)</f>
        <v>1760</v>
      </c>
      <c r="Z344" s="44"/>
      <c r="AA344" s="54">
        <f aca="true" t="shared" si="408" ref="AA344:AA366">SUM(Y344:Z344)</f>
        <v>1760</v>
      </c>
      <c r="AB344" s="44"/>
      <c r="AC344" s="54">
        <f aca="true" t="shared" si="409" ref="AC344:AC366">SUM(AA344:AB344)</f>
        <v>1760</v>
      </c>
      <c r="AD344" s="44"/>
      <c r="AE344" s="54">
        <f aca="true" t="shared" si="410" ref="AE344:AE366">SUM(AC344:AD344)</f>
        <v>1760</v>
      </c>
      <c r="AF344" s="44"/>
      <c r="AG344" s="54">
        <f aca="true" t="shared" si="411" ref="AG344:AG366">SUM(AE344:AF344)</f>
        <v>1760</v>
      </c>
      <c r="AH344" s="44"/>
      <c r="AI344" s="54">
        <f aca="true" t="shared" si="412" ref="AI344:AI366">SUM(AG344:AH344)</f>
        <v>1760</v>
      </c>
      <c r="AJ344" s="44"/>
      <c r="AK344" s="54">
        <f aca="true" t="shared" si="413" ref="AK344:AK366">SUM(AI344:AJ344)</f>
        <v>1760</v>
      </c>
    </row>
    <row r="345" spans="1:37" s="20" customFormat="1" ht="21" customHeight="1">
      <c r="A345" s="61"/>
      <c r="B345" s="34"/>
      <c r="C345" s="52">
        <v>3110</v>
      </c>
      <c r="D345" s="50" t="s">
        <v>97</v>
      </c>
      <c r="E345" s="44">
        <f>6284727-51000</f>
        <v>6233727</v>
      </c>
      <c r="F345" s="44"/>
      <c r="G345" s="54">
        <f t="shared" si="327"/>
        <v>6233727</v>
      </c>
      <c r="H345" s="44"/>
      <c r="I345" s="54">
        <f t="shared" si="399"/>
        <v>6233727</v>
      </c>
      <c r="J345" s="44">
        <v>324271</v>
      </c>
      <c r="K345" s="54">
        <f t="shared" si="400"/>
        <v>6557998</v>
      </c>
      <c r="L345" s="44"/>
      <c r="M345" s="54">
        <f t="shared" si="401"/>
        <v>6557998</v>
      </c>
      <c r="N345" s="44"/>
      <c r="O345" s="54">
        <f t="shared" si="402"/>
        <v>6557998</v>
      </c>
      <c r="P345" s="44"/>
      <c r="Q345" s="54">
        <f t="shared" si="403"/>
        <v>6557998</v>
      </c>
      <c r="R345" s="44"/>
      <c r="S345" s="54">
        <f t="shared" si="404"/>
        <v>6557998</v>
      </c>
      <c r="T345" s="44"/>
      <c r="U345" s="54">
        <f t="shared" si="405"/>
        <v>6557998</v>
      </c>
      <c r="V345" s="44"/>
      <c r="W345" s="54">
        <f t="shared" si="406"/>
        <v>6557998</v>
      </c>
      <c r="X345" s="44"/>
      <c r="Y345" s="54">
        <f t="shared" si="407"/>
        <v>6557998</v>
      </c>
      <c r="Z345" s="44"/>
      <c r="AA345" s="54">
        <f t="shared" si="408"/>
        <v>6557998</v>
      </c>
      <c r="AB345" s="44">
        <f>-763299+22899</f>
        <v>-740400</v>
      </c>
      <c r="AC345" s="54">
        <f t="shared" si="409"/>
        <v>5817598</v>
      </c>
      <c r="AD345" s="168">
        <f>-300000+9000</f>
        <v>-291000</v>
      </c>
      <c r="AE345" s="54">
        <f t="shared" si="410"/>
        <v>5526598</v>
      </c>
      <c r="AF345" s="168"/>
      <c r="AG345" s="54">
        <f t="shared" si="411"/>
        <v>5526598</v>
      </c>
      <c r="AH345" s="168">
        <v>280159</v>
      </c>
      <c r="AI345" s="54">
        <f t="shared" si="412"/>
        <v>5806757</v>
      </c>
      <c r="AJ345" s="44">
        <v>3341</v>
      </c>
      <c r="AK345" s="54">
        <f t="shared" si="413"/>
        <v>5810098</v>
      </c>
    </row>
    <row r="346" spans="1:39" s="20" customFormat="1" ht="21" customHeight="1">
      <c r="A346" s="61"/>
      <c r="B346" s="34"/>
      <c r="C346" s="34">
        <v>4010</v>
      </c>
      <c r="D346" s="12" t="s">
        <v>79</v>
      </c>
      <c r="E346" s="44">
        <f>153581+24502</f>
        <v>178083</v>
      </c>
      <c r="F346" s="44"/>
      <c r="G346" s="54">
        <f t="shared" si="327"/>
        <v>178083</v>
      </c>
      <c r="H346" s="44"/>
      <c r="I346" s="54">
        <f t="shared" si="399"/>
        <v>178083</v>
      </c>
      <c r="J346" s="44">
        <v>1080</v>
      </c>
      <c r="K346" s="54">
        <f t="shared" si="400"/>
        <v>179163</v>
      </c>
      <c r="L346" s="44"/>
      <c r="M346" s="54">
        <f t="shared" si="401"/>
        <v>179163</v>
      </c>
      <c r="N346" s="44"/>
      <c r="O346" s="54">
        <f t="shared" si="402"/>
        <v>179163</v>
      </c>
      <c r="P346" s="44"/>
      <c r="Q346" s="54">
        <f t="shared" si="403"/>
        <v>179163</v>
      </c>
      <c r="R346" s="44"/>
      <c r="S346" s="54">
        <f t="shared" si="404"/>
        <v>179163</v>
      </c>
      <c r="T346" s="44"/>
      <c r="U346" s="54">
        <f t="shared" si="405"/>
        <v>179163</v>
      </c>
      <c r="V346" s="44"/>
      <c r="W346" s="54">
        <f t="shared" si="406"/>
        <v>179163</v>
      </c>
      <c r="X346" s="44"/>
      <c r="Y346" s="54">
        <f t="shared" si="407"/>
        <v>179163</v>
      </c>
      <c r="Z346" s="44"/>
      <c r="AA346" s="54">
        <f t="shared" si="408"/>
        <v>179163</v>
      </c>
      <c r="AB346" s="44">
        <f>-22899+22899</f>
        <v>0</v>
      </c>
      <c r="AC346" s="54">
        <f t="shared" si="409"/>
        <v>179163</v>
      </c>
      <c r="AD346" s="44">
        <f>3500-3500</f>
        <v>0</v>
      </c>
      <c r="AE346" s="54">
        <f t="shared" si="410"/>
        <v>179163</v>
      </c>
      <c r="AF346" s="44">
        <f>3500-3500</f>
        <v>0</v>
      </c>
      <c r="AG346" s="54">
        <f t="shared" si="411"/>
        <v>179163</v>
      </c>
      <c r="AH346" s="44">
        <v>8665</v>
      </c>
      <c r="AI346" s="54">
        <f t="shared" si="412"/>
        <v>187828</v>
      </c>
      <c r="AJ346" s="44"/>
      <c r="AK346" s="54">
        <f t="shared" si="413"/>
        <v>187828</v>
      </c>
      <c r="AL346" s="67"/>
      <c r="AM346" s="67"/>
    </row>
    <row r="347" spans="1:39" s="20" customFormat="1" ht="21" customHeight="1">
      <c r="A347" s="61"/>
      <c r="B347" s="34"/>
      <c r="C347" s="34">
        <v>4040</v>
      </c>
      <c r="D347" s="12" t="s">
        <v>80</v>
      </c>
      <c r="E347" s="44">
        <v>12000</v>
      </c>
      <c r="F347" s="44"/>
      <c r="G347" s="54">
        <f t="shared" si="327"/>
        <v>12000</v>
      </c>
      <c r="H347" s="44"/>
      <c r="I347" s="54">
        <f t="shared" si="399"/>
        <v>12000</v>
      </c>
      <c r="J347" s="44">
        <v>-1406</v>
      </c>
      <c r="K347" s="54">
        <f t="shared" si="400"/>
        <v>10594</v>
      </c>
      <c r="L347" s="44"/>
      <c r="M347" s="54">
        <f t="shared" si="401"/>
        <v>10594</v>
      </c>
      <c r="N347" s="44"/>
      <c r="O347" s="54">
        <f t="shared" si="402"/>
        <v>10594</v>
      </c>
      <c r="P347" s="44"/>
      <c r="Q347" s="54">
        <f t="shared" si="403"/>
        <v>10594</v>
      </c>
      <c r="R347" s="44"/>
      <c r="S347" s="54">
        <f t="shared" si="404"/>
        <v>10594</v>
      </c>
      <c r="T347" s="44"/>
      <c r="U347" s="54">
        <f t="shared" si="405"/>
        <v>10594</v>
      </c>
      <c r="V347" s="44"/>
      <c r="W347" s="54">
        <f t="shared" si="406"/>
        <v>10594</v>
      </c>
      <c r="X347" s="44"/>
      <c r="Y347" s="54">
        <f t="shared" si="407"/>
        <v>10594</v>
      </c>
      <c r="Z347" s="44"/>
      <c r="AA347" s="54">
        <f t="shared" si="408"/>
        <v>10594</v>
      </c>
      <c r="AB347" s="44"/>
      <c r="AC347" s="54">
        <f t="shared" si="409"/>
        <v>10594</v>
      </c>
      <c r="AD347" s="44"/>
      <c r="AE347" s="54">
        <f t="shared" si="410"/>
        <v>10594</v>
      </c>
      <c r="AF347" s="44"/>
      <c r="AG347" s="54">
        <f t="shared" si="411"/>
        <v>10594</v>
      </c>
      <c r="AH347" s="44"/>
      <c r="AI347" s="54">
        <f t="shared" si="412"/>
        <v>10594</v>
      </c>
      <c r="AJ347" s="44"/>
      <c r="AK347" s="54">
        <f t="shared" si="413"/>
        <v>10594</v>
      </c>
      <c r="AL347" s="67"/>
      <c r="AM347" s="67"/>
    </row>
    <row r="348" spans="1:39" s="20" customFormat="1" ht="21" customHeight="1">
      <c r="A348" s="61"/>
      <c r="B348" s="34"/>
      <c r="C348" s="34">
        <v>4110</v>
      </c>
      <c r="D348" s="12" t="s">
        <v>81</v>
      </c>
      <c r="E348" s="44">
        <f>20612+7904+51000</f>
        <v>79516</v>
      </c>
      <c r="F348" s="44"/>
      <c r="G348" s="54">
        <f t="shared" si="327"/>
        <v>79516</v>
      </c>
      <c r="H348" s="44"/>
      <c r="I348" s="54">
        <f t="shared" si="399"/>
        <v>79516</v>
      </c>
      <c r="J348" s="44"/>
      <c r="K348" s="54">
        <f t="shared" si="400"/>
        <v>79516</v>
      </c>
      <c r="L348" s="44"/>
      <c r="M348" s="54">
        <f t="shared" si="401"/>
        <v>79516</v>
      </c>
      <c r="N348" s="44"/>
      <c r="O348" s="54">
        <f t="shared" si="402"/>
        <v>79516</v>
      </c>
      <c r="P348" s="44"/>
      <c r="Q348" s="54">
        <f t="shared" si="403"/>
        <v>79516</v>
      </c>
      <c r="R348" s="44"/>
      <c r="S348" s="54">
        <f t="shared" si="404"/>
        <v>79516</v>
      </c>
      <c r="T348" s="44"/>
      <c r="U348" s="54">
        <f t="shared" si="405"/>
        <v>79516</v>
      </c>
      <c r="V348" s="44"/>
      <c r="W348" s="54">
        <f t="shared" si="406"/>
        <v>79516</v>
      </c>
      <c r="X348" s="44"/>
      <c r="Y348" s="54">
        <f t="shared" si="407"/>
        <v>79516</v>
      </c>
      <c r="Z348" s="44"/>
      <c r="AA348" s="54">
        <f t="shared" si="408"/>
        <v>79516</v>
      </c>
      <c r="AB348" s="44"/>
      <c r="AC348" s="54">
        <f t="shared" si="409"/>
        <v>79516</v>
      </c>
      <c r="AD348" s="44">
        <f>2500-2500</f>
        <v>0</v>
      </c>
      <c r="AE348" s="54">
        <f t="shared" si="410"/>
        <v>79516</v>
      </c>
      <c r="AF348" s="44">
        <f>2500-2500</f>
        <v>0</v>
      </c>
      <c r="AG348" s="54">
        <f t="shared" si="411"/>
        <v>79516</v>
      </c>
      <c r="AH348" s="44"/>
      <c r="AI348" s="54">
        <f t="shared" si="412"/>
        <v>79516</v>
      </c>
      <c r="AJ348" s="44"/>
      <c r="AK348" s="54">
        <f t="shared" si="413"/>
        <v>79516</v>
      </c>
      <c r="AL348" s="67"/>
      <c r="AM348" s="67"/>
    </row>
    <row r="349" spans="1:39" s="20" customFormat="1" ht="21" customHeight="1">
      <c r="A349" s="61"/>
      <c r="B349" s="34"/>
      <c r="C349" s="34">
        <v>4120</v>
      </c>
      <c r="D349" s="12" t="s">
        <v>82</v>
      </c>
      <c r="E349" s="44">
        <f>3305+1268</f>
        <v>4573</v>
      </c>
      <c r="F349" s="44"/>
      <c r="G349" s="54">
        <f t="shared" si="327"/>
        <v>4573</v>
      </c>
      <c r="H349" s="44"/>
      <c r="I349" s="54">
        <f t="shared" si="399"/>
        <v>4573</v>
      </c>
      <c r="J349" s="44"/>
      <c r="K349" s="54">
        <f t="shared" si="400"/>
        <v>4573</v>
      </c>
      <c r="L349" s="44"/>
      <c r="M349" s="54">
        <f t="shared" si="401"/>
        <v>4573</v>
      </c>
      <c r="N349" s="44"/>
      <c r="O349" s="54">
        <f t="shared" si="402"/>
        <v>4573</v>
      </c>
      <c r="P349" s="44"/>
      <c r="Q349" s="54">
        <f t="shared" si="403"/>
        <v>4573</v>
      </c>
      <c r="R349" s="44"/>
      <c r="S349" s="54">
        <f t="shared" si="404"/>
        <v>4573</v>
      </c>
      <c r="T349" s="44"/>
      <c r="U349" s="54">
        <f t="shared" si="405"/>
        <v>4573</v>
      </c>
      <c r="V349" s="44"/>
      <c r="W349" s="54">
        <f t="shared" si="406"/>
        <v>4573</v>
      </c>
      <c r="X349" s="44"/>
      <c r="Y349" s="54">
        <f t="shared" si="407"/>
        <v>4573</v>
      </c>
      <c r="Z349" s="44"/>
      <c r="AA349" s="54">
        <f t="shared" si="408"/>
        <v>4573</v>
      </c>
      <c r="AB349" s="44"/>
      <c r="AC349" s="54">
        <f t="shared" si="409"/>
        <v>4573</v>
      </c>
      <c r="AD349" s="44">
        <f>500-500</f>
        <v>0</v>
      </c>
      <c r="AE349" s="54">
        <f t="shared" si="410"/>
        <v>4573</v>
      </c>
      <c r="AF349" s="44">
        <f>500-500</f>
        <v>0</v>
      </c>
      <c r="AG349" s="54">
        <f t="shared" si="411"/>
        <v>4573</v>
      </c>
      <c r="AH349" s="44"/>
      <c r="AI349" s="54">
        <f t="shared" si="412"/>
        <v>4573</v>
      </c>
      <c r="AJ349" s="44"/>
      <c r="AK349" s="54">
        <f t="shared" si="413"/>
        <v>4573</v>
      </c>
      <c r="AL349" s="67"/>
      <c r="AM349" s="67"/>
    </row>
    <row r="350" spans="1:39" s="20" customFormat="1" ht="21" customHeight="1">
      <c r="A350" s="61"/>
      <c r="B350" s="51"/>
      <c r="C350" s="34">
        <v>4170</v>
      </c>
      <c r="D350" s="31" t="s">
        <v>161</v>
      </c>
      <c r="E350" s="44">
        <v>3000</v>
      </c>
      <c r="F350" s="44"/>
      <c r="G350" s="54">
        <f t="shared" si="327"/>
        <v>3000</v>
      </c>
      <c r="H350" s="44"/>
      <c r="I350" s="54">
        <f t="shared" si="399"/>
        <v>3000</v>
      </c>
      <c r="J350" s="44"/>
      <c r="K350" s="54">
        <f t="shared" si="400"/>
        <v>3000</v>
      </c>
      <c r="L350" s="44"/>
      <c r="M350" s="54">
        <f t="shared" si="401"/>
        <v>3000</v>
      </c>
      <c r="N350" s="44"/>
      <c r="O350" s="54">
        <f t="shared" si="402"/>
        <v>3000</v>
      </c>
      <c r="P350" s="44"/>
      <c r="Q350" s="54">
        <f t="shared" si="403"/>
        <v>3000</v>
      </c>
      <c r="R350" s="44"/>
      <c r="S350" s="54">
        <f t="shared" si="404"/>
        <v>3000</v>
      </c>
      <c r="T350" s="44"/>
      <c r="U350" s="54">
        <f t="shared" si="405"/>
        <v>3000</v>
      </c>
      <c r="V350" s="44"/>
      <c r="W350" s="54">
        <f t="shared" si="406"/>
        <v>3000</v>
      </c>
      <c r="X350" s="44"/>
      <c r="Y350" s="54">
        <f t="shared" si="407"/>
        <v>3000</v>
      </c>
      <c r="Z350" s="44"/>
      <c r="AA350" s="54">
        <f t="shared" si="408"/>
        <v>3000</v>
      </c>
      <c r="AB350" s="44"/>
      <c r="AC350" s="54">
        <f t="shared" si="409"/>
        <v>3000</v>
      </c>
      <c r="AD350" s="44"/>
      <c r="AE350" s="54">
        <f t="shared" si="410"/>
        <v>3000</v>
      </c>
      <c r="AF350" s="44"/>
      <c r="AG350" s="54">
        <f t="shared" si="411"/>
        <v>3000</v>
      </c>
      <c r="AH350" s="44"/>
      <c r="AI350" s="54">
        <f t="shared" si="412"/>
        <v>3000</v>
      </c>
      <c r="AJ350" s="44"/>
      <c r="AK350" s="54">
        <f t="shared" si="413"/>
        <v>3000</v>
      </c>
      <c r="AL350" s="67"/>
      <c r="AM350" s="67"/>
    </row>
    <row r="351" spans="1:37" s="20" customFormat="1" ht="21" customHeight="1">
      <c r="A351" s="61"/>
      <c r="B351" s="51"/>
      <c r="C351" s="34">
        <v>4210</v>
      </c>
      <c r="D351" s="12" t="s">
        <v>86</v>
      </c>
      <c r="E351" s="44">
        <v>6980</v>
      </c>
      <c r="F351" s="44"/>
      <c r="G351" s="54">
        <f t="shared" si="327"/>
        <v>6980</v>
      </c>
      <c r="H351" s="44"/>
      <c r="I351" s="54">
        <f t="shared" si="399"/>
        <v>6980</v>
      </c>
      <c r="J351" s="44">
        <v>5029</v>
      </c>
      <c r="K351" s="54">
        <f t="shared" si="400"/>
        <v>12009</v>
      </c>
      <c r="L351" s="44">
        <v>-4200</v>
      </c>
      <c r="M351" s="54">
        <f t="shared" si="401"/>
        <v>7809</v>
      </c>
      <c r="N351" s="44"/>
      <c r="O351" s="54">
        <f t="shared" si="402"/>
        <v>7809</v>
      </c>
      <c r="P351" s="44"/>
      <c r="Q351" s="54">
        <f t="shared" si="403"/>
        <v>7809</v>
      </c>
      <c r="R351" s="44"/>
      <c r="S351" s="54">
        <f t="shared" si="404"/>
        <v>7809</v>
      </c>
      <c r="T351" s="44"/>
      <c r="U351" s="54">
        <f t="shared" si="405"/>
        <v>7809</v>
      </c>
      <c r="V351" s="44"/>
      <c r="W351" s="54">
        <f t="shared" si="406"/>
        <v>7809</v>
      </c>
      <c r="X351" s="44"/>
      <c r="Y351" s="54">
        <f t="shared" si="407"/>
        <v>7809</v>
      </c>
      <c r="Z351" s="44"/>
      <c r="AA351" s="54">
        <f t="shared" si="408"/>
        <v>7809</v>
      </c>
      <c r="AB351" s="44"/>
      <c r="AC351" s="54">
        <f t="shared" si="409"/>
        <v>7809</v>
      </c>
      <c r="AD351" s="44">
        <f>2500-2500</f>
        <v>0</v>
      </c>
      <c r="AE351" s="54">
        <f t="shared" si="410"/>
        <v>7809</v>
      </c>
      <c r="AF351" s="44">
        <f>2500-2500</f>
        <v>0</v>
      </c>
      <c r="AG351" s="54">
        <f t="shared" si="411"/>
        <v>7809</v>
      </c>
      <c r="AH351" s="44">
        <v>187</v>
      </c>
      <c r="AI351" s="54">
        <f t="shared" si="412"/>
        <v>7996</v>
      </c>
      <c r="AJ351" s="44">
        <v>-1341</v>
      </c>
      <c r="AK351" s="54">
        <f t="shared" si="413"/>
        <v>6655</v>
      </c>
    </row>
    <row r="352" spans="1:37" s="20" customFormat="1" ht="21" customHeight="1">
      <c r="A352" s="61"/>
      <c r="B352" s="51"/>
      <c r="C352" s="34">
        <v>4260</v>
      </c>
      <c r="D352" s="31" t="s">
        <v>88</v>
      </c>
      <c r="E352" s="44">
        <v>8400</v>
      </c>
      <c r="F352" s="44"/>
      <c r="G352" s="54">
        <f t="shared" si="327"/>
        <v>8400</v>
      </c>
      <c r="H352" s="44"/>
      <c r="I352" s="54">
        <f t="shared" si="399"/>
        <v>8400</v>
      </c>
      <c r="J352" s="44"/>
      <c r="K352" s="54">
        <f t="shared" si="400"/>
        <v>8400</v>
      </c>
      <c r="L352" s="44"/>
      <c r="M352" s="54">
        <f t="shared" si="401"/>
        <v>8400</v>
      </c>
      <c r="N352" s="44"/>
      <c r="O352" s="54">
        <f t="shared" si="402"/>
        <v>8400</v>
      </c>
      <c r="P352" s="44"/>
      <c r="Q352" s="54">
        <f t="shared" si="403"/>
        <v>8400</v>
      </c>
      <c r="R352" s="44"/>
      <c r="S352" s="54">
        <f t="shared" si="404"/>
        <v>8400</v>
      </c>
      <c r="T352" s="44"/>
      <c r="U352" s="54">
        <f t="shared" si="405"/>
        <v>8400</v>
      </c>
      <c r="V352" s="44"/>
      <c r="W352" s="54">
        <f t="shared" si="406"/>
        <v>8400</v>
      </c>
      <c r="X352" s="44">
        <v>2500</v>
      </c>
      <c r="Y352" s="54">
        <f t="shared" si="407"/>
        <v>10900</v>
      </c>
      <c r="Z352" s="44"/>
      <c r="AA352" s="54">
        <f t="shared" si="408"/>
        <v>10900</v>
      </c>
      <c r="AB352" s="44"/>
      <c r="AC352" s="54">
        <f t="shared" si="409"/>
        <v>10900</v>
      </c>
      <c r="AD352" s="44">
        <v>5000</v>
      </c>
      <c r="AE352" s="54">
        <f t="shared" si="410"/>
        <v>15900</v>
      </c>
      <c r="AF352" s="44"/>
      <c r="AG352" s="54">
        <f t="shared" si="411"/>
        <v>15900</v>
      </c>
      <c r="AH352" s="44"/>
      <c r="AI352" s="54">
        <f t="shared" si="412"/>
        <v>15900</v>
      </c>
      <c r="AJ352" s="44"/>
      <c r="AK352" s="54">
        <f t="shared" si="413"/>
        <v>15900</v>
      </c>
    </row>
    <row r="353" spans="1:37" s="20" customFormat="1" ht="21" customHeight="1">
      <c r="A353" s="61"/>
      <c r="B353" s="51"/>
      <c r="C353" s="34">
        <v>4270</v>
      </c>
      <c r="D353" s="31" t="s">
        <v>74</v>
      </c>
      <c r="E353" s="44">
        <v>2000</v>
      </c>
      <c r="F353" s="44"/>
      <c r="G353" s="54">
        <f t="shared" si="327"/>
        <v>2000</v>
      </c>
      <c r="H353" s="44"/>
      <c r="I353" s="54">
        <f t="shared" si="399"/>
        <v>2000</v>
      </c>
      <c r="J353" s="44"/>
      <c r="K353" s="54">
        <f t="shared" si="400"/>
        <v>2000</v>
      </c>
      <c r="L353" s="44"/>
      <c r="M353" s="54">
        <f t="shared" si="401"/>
        <v>2000</v>
      </c>
      <c r="N353" s="44"/>
      <c r="O353" s="54">
        <f t="shared" si="402"/>
        <v>2000</v>
      </c>
      <c r="P353" s="44"/>
      <c r="Q353" s="54">
        <f t="shared" si="403"/>
        <v>2000</v>
      </c>
      <c r="R353" s="44"/>
      <c r="S353" s="54">
        <f t="shared" si="404"/>
        <v>2000</v>
      </c>
      <c r="T353" s="44"/>
      <c r="U353" s="54">
        <f t="shared" si="405"/>
        <v>2000</v>
      </c>
      <c r="V353" s="44"/>
      <c r="W353" s="54">
        <f t="shared" si="406"/>
        <v>2000</v>
      </c>
      <c r="X353" s="44">
        <v>-1000</v>
      </c>
      <c r="Y353" s="54">
        <f t="shared" si="407"/>
        <v>1000</v>
      </c>
      <c r="Z353" s="44"/>
      <c r="AA353" s="54">
        <f t="shared" si="408"/>
        <v>1000</v>
      </c>
      <c r="AB353" s="44"/>
      <c r="AC353" s="54">
        <f t="shared" si="409"/>
        <v>1000</v>
      </c>
      <c r="AD353" s="44"/>
      <c r="AE353" s="54">
        <f t="shared" si="410"/>
        <v>1000</v>
      </c>
      <c r="AF353" s="44"/>
      <c r="AG353" s="54">
        <f t="shared" si="411"/>
        <v>1000</v>
      </c>
      <c r="AH353" s="44"/>
      <c r="AI353" s="54">
        <f t="shared" si="412"/>
        <v>1000</v>
      </c>
      <c r="AJ353" s="44"/>
      <c r="AK353" s="54">
        <f t="shared" si="413"/>
        <v>1000</v>
      </c>
    </row>
    <row r="354" spans="1:37" s="20" customFormat="1" ht="21" customHeight="1">
      <c r="A354" s="61"/>
      <c r="B354" s="51"/>
      <c r="C354" s="34">
        <v>4280</v>
      </c>
      <c r="D354" s="31" t="s">
        <v>336</v>
      </c>
      <c r="E354" s="44">
        <v>960</v>
      </c>
      <c r="F354" s="44"/>
      <c r="G354" s="54">
        <f t="shared" si="327"/>
        <v>960</v>
      </c>
      <c r="H354" s="44"/>
      <c r="I354" s="54">
        <f t="shared" si="399"/>
        <v>960</v>
      </c>
      <c r="J354" s="44"/>
      <c r="K354" s="54">
        <f t="shared" si="400"/>
        <v>960</v>
      </c>
      <c r="L354" s="44"/>
      <c r="M354" s="54">
        <f t="shared" si="401"/>
        <v>960</v>
      </c>
      <c r="N354" s="44"/>
      <c r="O354" s="54">
        <f t="shared" si="402"/>
        <v>960</v>
      </c>
      <c r="P354" s="44"/>
      <c r="Q354" s="54">
        <f t="shared" si="403"/>
        <v>960</v>
      </c>
      <c r="R354" s="44"/>
      <c r="S354" s="54">
        <f t="shared" si="404"/>
        <v>960</v>
      </c>
      <c r="T354" s="44"/>
      <c r="U354" s="54">
        <f t="shared" si="405"/>
        <v>960</v>
      </c>
      <c r="V354" s="44"/>
      <c r="W354" s="54">
        <f t="shared" si="406"/>
        <v>960</v>
      </c>
      <c r="X354" s="44"/>
      <c r="Y354" s="54">
        <f t="shared" si="407"/>
        <v>960</v>
      </c>
      <c r="Z354" s="44"/>
      <c r="AA354" s="54">
        <f t="shared" si="408"/>
        <v>960</v>
      </c>
      <c r="AB354" s="44"/>
      <c r="AC354" s="54">
        <f t="shared" si="409"/>
        <v>960</v>
      </c>
      <c r="AD354" s="44"/>
      <c r="AE354" s="54">
        <f t="shared" si="410"/>
        <v>960</v>
      </c>
      <c r="AF354" s="44"/>
      <c r="AG354" s="54">
        <f t="shared" si="411"/>
        <v>960</v>
      </c>
      <c r="AH354" s="44"/>
      <c r="AI354" s="54">
        <f t="shared" si="412"/>
        <v>960</v>
      </c>
      <c r="AJ354" s="44"/>
      <c r="AK354" s="54">
        <f t="shared" si="413"/>
        <v>960</v>
      </c>
    </row>
    <row r="355" spans="1:37" s="20" customFormat="1" ht="21" customHeight="1">
      <c r="A355" s="61"/>
      <c r="B355" s="51"/>
      <c r="C355" s="34">
        <v>4300</v>
      </c>
      <c r="D355" s="12" t="s">
        <v>75</v>
      </c>
      <c r="E355" s="44">
        <v>6700</v>
      </c>
      <c r="F355" s="44"/>
      <c r="G355" s="54">
        <f t="shared" si="327"/>
        <v>6700</v>
      </c>
      <c r="H355" s="44"/>
      <c r="I355" s="54">
        <f t="shared" si="399"/>
        <v>6700</v>
      </c>
      <c r="J355" s="44"/>
      <c r="K355" s="54">
        <f t="shared" si="400"/>
        <v>6700</v>
      </c>
      <c r="L355" s="44">
        <v>-2500</v>
      </c>
      <c r="M355" s="54">
        <f t="shared" si="401"/>
        <v>4200</v>
      </c>
      <c r="N355" s="44"/>
      <c r="O355" s="54">
        <f t="shared" si="402"/>
        <v>4200</v>
      </c>
      <c r="P355" s="44"/>
      <c r="Q355" s="54">
        <f t="shared" si="403"/>
        <v>4200</v>
      </c>
      <c r="R355" s="44"/>
      <c r="S355" s="54">
        <f t="shared" si="404"/>
        <v>4200</v>
      </c>
      <c r="T355" s="44"/>
      <c r="U355" s="54">
        <f t="shared" si="405"/>
        <v>4200</v>
      </c>
      <c r="V355" s="44"/>
      <c r="W355" s="54">
        <f t="shared" si="406"/>
        <v>4200</v>
      </c>
      <c r="X355" s="44"/>
      <c r="Y355" s="54">
        <f t="shared" si="407"/>
        <v>4200</v>
      </c>
      <c r="Z355" s="44"/>
      <c r="AA355" s="54">
        <f t="shared" si="408"/>
        <v>4200</v>
      </c>
      <c r="AB355" s="44"/>
      <c r="AC355" s="54">
        <f t="shared" si="409"/>
        <v>4200</v>
      </c>
      <c r="AD355" s="44">
        <v>1000</v>
      </c>
      <c r="AE355" s="54">
        <f t="shared" si="410"/>
        <v>5200</v>
      </c>
      <c r="AF355" s="44"/>
      <c r="AG355" s="54">
        <f t="shared" si="411"/>
        <v>5200</v>
      </c>
      <c r="AH355" s="44"/>
      <c r="AI355" s="54">
        <f t="shared" si="412"/>
        <v>5200</v>
      </c>
      <c r="AJ355" s="44"/>
      <c r="AK355" s="54">
        <f t="shared" si="413"/>
        <v>5200</v>
      </c>
    </row>
    <row r="356" spans="1:37" s="20" customFormat="1" ht="21" customHeight="1">
      <c r="A356" s="61"/>
      <c r="B356" s="51"/>
      <c r="C356" s="34">
        <v>4350</v>
      </c>
      <c r="D356" s="31" t="s">
        <v>169</v>
      </c>
      <c r="E356" s="44">
        <v>3000</v>
      </c>
      <c r="F356" s="44"/>
      <c r="G356" s="54">
        <f t="shared" si="327"/>
        <v>3000</v>
      </c>
      <c r="H356" s="44"/>
      <c r="I356" s="54">
        <f t="shared" si="399"/>
        <v>3000</v>
      </c>
      <c r="J356" s="44"/>
      <c r="K356" s="54">
        <f t="shared" si="400"/>
        <v>3000</v>
      </c>
      <c r="L356" s="44"/>
      <c r="M356" s="54">
        <f t="shared" si="401"/>
        <v>3000</v>
      </c>
      <c r="N356" s="44"/>
      <c r="O356" s="54">
        <f t="shared" si="402"/>
        <v>3000</v>
      </c>
      <c r="P356" s="44"/>
      <c r="Q356" s="54">
        <f t="shared" si="403"/>
        <v>3000</v>
      </c>
      <c r="R356" s="44"/>
      <c r="S356" s="54">
        <f t="shared" si="404"/>
        <v>3000</v>
      </c>
      <c r="T356" s="44"/>
      <c r="U356" s="54">
        <f t="shared" si="405"/>
        <v>3000</v>
      </c>
      <c r="V356" s="44"/>
      <c r="W356" s="54">
        <v>1200</v>
      </c>
      <c r="X356" s="44"/>
      <c r="Y356" s="54">
        <f t="shared" si="407"/>
        <v>1200</v>
      </c>
      <c r="Z356" s="44"/>
      <c r="AA356" s="54">
        <f t="shared" si="408"/>
        <v>1200</v>
      </c>
      <c r="AB356" s="44"/>
      <c r="AC356" s="54">
        <f t="shared" si="409"/>
        <v>1200</v>
      </c>
      <c r="AD356" s="44"/>
      <c r="AE356" s="54">
        <f t="shared" si="410"/>
        <v>1200</v>
      </c>
      <c r="AF356" s="44"/>
      <c r="AG356" s="54">
        <f t="shared" si="411"/>
        <v>1200</v>
      </c>
      <c r="AH356" s="44"/>
      <c r="AI356" s="54">
        <f t="shared" si="412"/>
        <v>1200</v>
      </c>
      <c r="AJ356" s="44">
        <v>1</v>
      </c>
      <c r="AK356" s="54">
        <f t="shared" si="413"/>
        <v>1201</v>
      </c>
    </row>
    <row r="357" spans="1:37" s="20" customFormat="1" ht="24">
      <c r="A357" s="61"/>
      <c r="B357" s="51"/>
      <c r="C357" s="34">
        <v>4360</v>
      </c>
      <c r="D357" s="31" t="s">
        <v>317</v>
      </c>
      <c r="E357" s="44">
        <v>960</v>
      </c>
      <c r="F357" s="44"/>
      <c r="G357" s="54">
        <f t="shared" si="327"/>
        <v>960</v>
      </c>
      <c r="H357" s="44"/>
      <c r="I357" s="54">
        <f t="shared" si="399"/>
        <v>960</v>
      </c>
      <c r="J357" s="44"/>
      <c r="K357" s="54">
        <f t="shared" si="400"/>
        <v>960</v>
      </c>
      <c r="L357" s="44"/>
      <c r="M357" s="54">
        <f t="shared" si="401"/>
        <v>960</v>
      </c>
      <c r="N357" s="44"/>
      <c r="O357" s="54">
        <f t="shared" si="402"/>
        <v>960</v>
      </c>
      <c r="P357" s="44"/>
      <c r="Q357" s="54">
        <f t="shared" si="403"/>
        <v>960</v>
      </c>
      <c r="R357" s="44"/>
      <c r="S357" s="54">
        <f t="shared" si="404"/>
        <v>960</v>
      </c>
      <c r="T357" s="44"/>
      <c r="U357" s="54">
        <f t="shared" si="405"/>
        <v>960</v>
      </c>
      <c r="V357" s="44"/>
      <c r="W357" s="54">
        <f t="shared" si="406"/>
        <v>960</v>
      </c>
      <c r="X357" s="44"/>
      <c r="Y357" s="54">
        <f t="shared" si="407"/>
        <v>960</v>
      </c>
      <c r="Z357" s="44"/>
      <c r="AA357" s="54">
        <f t="shared" si="408"/>
        <v>960</v>
      </c>
      <c r="AB357" s="44"/>
      <c r="AC357" s="54">
        <f t="shared" si="409"/>
        <v>960</v>
      </c>
      <c r="AD357" s="44"/>
      <c r="AE357" s="54">
        <f t="shared" si="410"/>
        <v>960</v>
      </c>
      <c r="AF357" s="44"/>
      <c r="AG357" s="54">
        <f t="shared" si="411"/>
        <v>960</v>
      </c>
      <c r="AH357" s="44"/>
      <c r="AI357" s="54">
        <f t="shared" si="412"/>
        <v>960</v>
      </c>
      <c r="AJ357" s="44"/>
      <c r="AK357" s="54">
        <f t="shared" si="413"/>
        <v>960</v>
      </c>
    </row>
    <row r="358" spans="1:37" s="20" customFormat="1" ht="24">
      <c r="A358" s="61"/>
      <c r="B358" s="51"/>
      <c r="C358" s="34">
        <v>4370</v>
      </c>
      <c r="D358" s="31" t="s">
        <v>182</v>
      </c>
      <c r="E358" s="44">
        <v>2000</v>
      </c>
      <c r="F358" s="44"/>
      <c r="G358" s="54">
        <f t="shared" si="327"/>
        <v>2000</v>
      </c>
      <c r="H358" s="44"/>
      <c r="I358" s="54">
        <f t="shared" si="399"/>
        <v>2000</v>
      </c>
      <c r="J358" s="44"/>
      <c r="K358" s="54">
        <f t="shared" si="400"/>
        <v>2000</v>
      </c>
      <c r="L358" s="44"/>
      <c r="M358" s="54">
        <f t="shared" si="401"/>
        <v>2000</v>
      </c>
      <c r="N358" s="44"/>
      <c r="O358" s="54">
        <f t="shared" si="402"/>
        <v>2000</v>
      </c>
      <c r="P358" s="44"/>
      <c r="Q358" s="54">
        <f t="shared" si="403"/>
        <v>2000</v>
      </c>
      <c r="R358" s="44"/>
      <c r="S358" s="54">
        <f t="shared" si="404"/>
        <v>2000</v>
      </c>
      <c r="T358" s="44"/>
      <c r="U358" s="54">
        <f t="shared" si="405"/>
        <v>2000</v>
      </c>
      <c r="V358" s="44"/>
      <c r="W358" s="54">
        <v>4500</v>
      </c>
      <c r="X358" s="44"/>
      <c r="Y358" s="54">
        <f t="shared" si="407"/>
        <v>4500</v>
      </c>
      <c r="Z358" s="44"/>
      <c r="AA358" s="54">
        <f t="shared" si="408"/>
        <v>4500</v>
      </c>
      <c r="AB358" s="44"/>
      <c r="AC358" s="54">
        <f t="shared" si="409"/>
        <v>4500</v>
      </c>
      <c r="AD358" s="44"/>
      <c r="AE358" s="54">
        <f t="shared" si="410"/>
        <v>4500</v>
      </c>
      <c r="AF358" s="44"/>
      <c r="AG358" s="54">
        <f t="shared" si="411"/>
        <v>4500</v>
      </c>
      <c r="AH358" s="44"/>
      <c r="AI358" s="54">
        <f t="shared" si="412"/>
        <v>4500</v>
      </c>
      <c r="AJ358" s="44">
        <v>-1</v>
      </c>
      <c r="AK358" s="54">
        <f t="shared" si="413"/>
        <v>4499</v>
      </c>
    </row>
    <row r="359" spans="1:37" s="20" customFormat="1" ht="21" customHeight="1">
      <c r="A359" s="61"/>
      <c r="B359" s="51"/>
      <c r="C359" s="34">
        <v>4410</v>
      </c>
      <c r="D359" s="31" t="s">
        <v>85</v>
      </c>
      <c r="E359" s="44">
        <v>4000</v>
      </c>
      <c r="F359" s="44"/>
      <c r="G359" s="54">
        <f t="shared" si="327"/>
        <v>4000</v>
      </c>
      <c r="H359" s="44"/>
      <c r="I359" s="54">
        <f t="shared" si="399"/>
        <v>4000</v>
      </c>
      <c r="J359" s="44">
        <v>2000</v>
      </c>
      <c r="K359" s="54">
        <f t="shared" si="400"/>
        <v>6000</v>
      </c>
      <c r="L359" s="44"/>
      <c r="M359" s="54">
        <f t="shared" si="401"/>
        <v>6000</v>
      </c>
      <c r="N359" s="44"/>
      <c r="O359" s="54">
        <f t="shared" si="402"/>
        <v>6000</v>
      </c>
      <c r="P359" s="44"/>
      <c r="Q359" s="54">
        <f t="shared" si="403"/>
        <v>6000</v>
      </c>
      <c r="R359" s="44"/>
      <c r="S359" s="54">
        <f t="shared" si="404"/>
        <v>6000</v>
      </c>
      <c r="T359" s="44"/>
      <c r="U359" s="54">
        <f t="shared" si="405"/>
        <v>6000</v>
      </c>
      <c r="V359" s="44"/>
      <c r="W359" s="54">
        <v>5300</v>
      </c>
      <c r="X359" s="44"/>
      <c r="Y359" s="54">
        <f t="shared" si="407"/>
        <v>5300</v>
      </c>
      <c r="Z359" s="44"/>
      <c r="AA359" s="54">
        <f t="shared" si="408"/>
        <v>5300</v>
      </c>
      <c r="AB359" s="44"/>
      <c r="AC359" s="54">
        <f t="shared" si="409"/>
        <v>5300</v>
      </c>
      <c r="AD359" s="44">
        <v>-2000</v>
      </c>
      <c r="AE359" s="54">
        <f t="shared" si="410"/>
        <v>3300</v>
      </c>
      <c r="AF359" s="44"/>
      <c r="AG359" s="54">
        <f t="shared" si="411"/>
        <v>3300</v>
      </c>
      <c r="AH359" s="44"/>
      <c r="AI359" s="54">
        <f t="shared" si="412"/>
        <v>3300</v>
      </c>
      <c r="AJ359" s="44"/>
      <c r="AK359" s="54">
        <f t="shared" si="413"/>
        <v>3300</v>
      </c>
    </row>
    <row r="360" spans="1:37" s="20" customFormat="1" ht="21" customHeight="1">
      <c r="A360" s="61"/>
      <c r="B360" s="51"/>
      <c r="C360" s="34">
        <v>4430</v>
      </c>
      <c r="D360" s="31" t="s">
        <v>87</v>
      </c>
      <c r="E360" s="44">
        <v>7800</v>
      </c>
      <c r="F360" s="44"/>
      <c r="G360" s="54">
        <f t="shared" si="327"/>
        <v>7800</v>
      </c>
      <c r="H360" s="44"/>
      <c r="I360" s="54">
        <f t="shared" si="399"/>
        <v>7800</v>
      </c>
      <c r="J360" s="44">
        <v>1000</v>
      </c>
      <c r="K360" s="54">
        <f t="shared" si="400"/>
        <v>8800</v>
      </c>
      <c r="L360" s="44"/>
      <c r="M360" s="54">
        <f t="shared" si="401"/>
        <v>8800</v>
      </c>
      <c r="N360" s="44"/>
      <c r="O360" s="54">
        <f t="shared" si="402"/>
        <v>8800</v>
      </c>
      <c r="P360" s="44"/>
      <c r="Q360" s="54">
        <f t="shared" si="403"/>
        <v>8800</v>
      </c>
      <c r="R360" s="44"/>
      <c r="S360" s="54">
        <f t="shared" si="404"/>
        <v>8800</v>
      </c>
      <c r="T360" s="44"/>
      <c r="U360" s="54">
        <f t="shared" si="405"/>
        <v>8800</v>
      </c>
      <c r="V360" s="44"/>
      <c r="W360" s="54">
        <f t="shared" si="406"/>
        <v>8800</v>
      </c>
      <c r="X360" s="44">
        <v>-1500</v>
      </c>
      <c r="Y360" s="54">
        <f t="shared" si="407"/>
        <v>7300</v>
      </c>
      <c r="Z360" s="44"/>
      <c r="AA360" s="54">
        <f t="shared" si="408"/>
        <v>7300</v>
      </c>
      <c r="AB360" s="44"/>
      <c r="AC360" s="54">
        <f t="shared" si="409"/>
        <v>7300</v>
      </c>
      <c r="AD360" s="44"/>
      <c r="AE360" s="54">
        <f t="shared" si="410"/>
        <v>7300</v>
      </c>
      <c r="AF360" s="44"/>
      <c r="AG360" s="54">
        <f t="shared" si="411"/>
        <v>7300</v>
      </c>
      <c r="AH360" s="44">
        <v>-14</v>
      </c>
      <c r="AI360" s="54">
        <f t="shared" si="412"/>
        <v>7286</v>
      </c>
      <c r="AJ360" s="44"/>
      <c r="AK360" s="54">
        <f t="shared" si="413"/>
        <v>7286</v>
      </c>
    </row>
    <row r="361" spans="1:37" s="20" customFormat="1" ht="24">
      <c r="A361" s="61"/>
      <c r="B361" s="51"/>
      <c r="C361" s="34">
        <v>4440</v>
      </c>
      <c r="D361" s="12" t="s">
        <v>83</v>
      </c>
      <c r="E361" s="44">
        <v>4875</v>
      </c>
      <c r="F361" s="44"/>
      <c r="G361" s="54">
        <f t="shared" si="327"/>
        <v>4875</v>
      </c>
      <c r="H361" s="44"/>
      <c r="I361" s="54">
        <f t="shared" si="399"/>
        <v>4875</v>
      </c>
      <c r="J361" s="44">
        <v>126</v>
      </c>
      <c r="K361" s="54">
        <f t="shared" si="400"/>
        <v>5001</v>
      </c>
      <c r="L361" s="44"/>
      <c r="M361" s="54">
        <f t="shared" si="401"/>
        <v>5001</v>
      </c>
      <c r="N361" s="44"/>
      <c r="O361" s="54">
        <f t="shared" si="402"/>
        <v>5001</v>
      </c>
      <c r="P361" s="44"/>
      <c r="Q361" s="54">
        <f t="shared" si="403"/>
        <v>5001</v>
      </c>
      <c r="R361" s="44"/>
      <c r="S361" s="54">
        <f t="shared" si="404"/>
        <v>5001</v>
      </c>
      <c r="T361" s="44"/>
      <c r="U361" s="54">
        <f t="shared" si="405"/>
        <v>5001</v>
      </c>
      <c r="V361" s="44"/>
      <c r="W361" s="54">
        <f t="shared" si="406"/>
        <v>5001</v>
      </c>
      <c r="X361" s="44"/>
      <c r="Y361" s="54">
        <f t="shared" si="407"/>
        <v>5001</v>
      </c>
      <c r="Z361" s="44"/>
      <c r="AA361" s="54">
        <f t="shared" si="408"/>
        <v>5001</v>
      </c>
      <c r="AB361" s="44"/>
      <c r="AC361" s="54">
        <f t="shared" si="409"/>
        <v>5001</v>
      </c>
      <c r="AD361" s="44"/>
      <c r="AE361" s="54">
        <f t="shared" si="410"/>
        <v>5001</v>
      </c>
      <c r="AF361" s="44"/>
      <c r="AG361" s="54">
        <f t="shared" si="411"/>
        <v>5001</v>
      </c>
      <c r="AH361" s="44"/>
      <c r="AI361" s="54">
        <f t="shared" si="412"/>
        <v>5001</v>
      </c>
      <c r="AJ361" s="44"/>
      <c r="AK361" s="54">
        <f t="shared" si="413"/>
        <v>5001</v>
      </c>
    </row>
    <row r="362" spans="1:37" s="20" customFormat="1" ht="21" customHeight="1">
      <c r="A362" s="61"/>
      <c r="B362" s="51"/>
      <c r="C362" s="34">
        <v>4580</v>
      </c>
      <c r="D362" s="12" t="s">
        <v>11</v>
      </c>
      <c r="E362" s="44"/>
      <c r="F362" s="44"/>
      <c r="G362" s="54"/>
      <c r="H362" s="44"/>
      <c r="I362" s="54">
        <v>0</v>
      </c>
      <c r="J362" s="44">
        <v>200</v>
      </c>
      <c r="K362" s="54">
        <f t="shared" si="400"/>
        <v>200</v>
      </c>
      <c r="L362" s="44"/>
      <c r="M362" s="54">
        <f t="shared" si="401"/>
        <v>200</v>
      </c>
      <c r="N362" s="44"/>
      <c r="O362" s="54">
        <f t="shared" si="402"/>
        <v>200</v>
      </c>
      <c r="P362" s="44"/>
      <c r="Q362" s="54">
        <f t="shared" si="403"/>
        <v>200</v>
      </c>
      <c r="R362" s="44"/>
      <c r="S362" s="54">
        <f t="shared" si="404"/>
        <v>200</v>
      </c>
      <c r="T362" s="44"/>
      <c r="U362" s="54">
        <f t="shared" si="405"/>
        <v>200</v>
      </c>
      <c r="V362" s="44"/>
      <c r="W362" s="54">
        <f t="shared" si="406"/>
        <v>200</v>
      </c>
      <c r="X362" s="44"/>
      <c r="Y362" s="54">
        <f t="shared" si="407"/>
        <v>200</v>
      </c>
      <c r="Z362" s="44"/>
      <c r="AA362" s="54">
        <f t="shared" si="408"/>
        <v>200</v>
      </c>
      <c r="AB362" s="44"/>
      <c r="AC362" s="54">
        <f t="shared" si="409"/>
        <v>200</v>
      </c>
      <c r="AD362" s="44"/>
      <c r="AE362" s="54">
        <f t="shared" si="410"/>
        <v>200</v>
      </c>
      <c r="AF362" s="44"/>
      <c r="AG362" s="54">
        <f t="shared" si="411"/>
        <v>200</v>
      </c>
      <c r="AH362" s="44">
        <v>-173</v>
      </c>
      <c r="AI362" s="54">
        <f t="shared" si="412"/>
        <v>27</v>
      </c>
      <c r="AJ362" s="44"/>
      <c r="AK362" s="54">
        <f t="shared" si="413"/>
        <v>27</v>
      </c>
    </row>
    <row r="363" spans="1:37" s="20" customFormat="1" ht="24">
      <c r="A363" s="61"/>
      <c r="B363" s="51"/>
      <c r="C363" s="34">
        <v>4610</v>
      </c>
      <c r="D363" s="31" t="s">
        <v>151</v>
      </c>
      <c r="E363" s="44">
        <v>1000</v>
      </c>
      <c r="F363" s="44"/>
      <c r="G363" s="54">
        <f t="shared" si="327"/>
        <v>1000</v>
      </c>
      <c r="H363" s="44"/>
      <c r="I363" s="54">
        <f t="shared" si="399"/>
        <v>1000</v>
      </c>
      <c r="J363" s="44"/>
      <c r="K363" s="54">
        <f t="shared" si="400"/>
        <v>1000</v>
      </c>
      <c r="L363" s="44"/>
      <c r="M363" s="54">
        <f t="shared" si="401"/>
        <v>1000</v>
      </c>
      <c r="N363" s="44"/>
      <c r="O363" s="54">
        <f t="shared" si="402"/>
        <v>1000</v>
      </c>
      <c r="P363" s="44"/>
      <c r="Q363" s="54">
        <f t="shared" si="403"/>
        <v>1000</v>
      </c>
      <c r="R363" s="44"/>
      <c r="S363" s="54">
        <f t="shared" si="404"/>
        <v>1000</v>
      </c>
      <c r="T363" s="44"/>
      <c r="U363" s="54">
        <f t="shared" si="405"/>
        <v>1000</v>
      </c>
      <c r="V363" s="44"/>
      <c r="W363" s="54">
        <f t="shared" si="406"/>
        <v>1000</v>
      </c>
      <c r="X363" s="44"/>
      <c r="Y363" s="54">
        <f t="shared" si="407"/>
        <v>1000</v>
      </c>
      <c r="Z363" s="44"/>
      <c r="AA363" s="54">
        <f t="shared" si="408"/>
        <v>1000</v>
      </c>
      <c r="AB363" s="44"/>
      <c r="AC363" s="54">
        <f t="shared" si="409"/>
        <v>1000</v>
      </c>
      <c r="AD363" s="44"/>
      <c r="AE363" s="54">
        <f t="shared" si="410"/>
        <v>1000</v>
      </c>
      <c r="AF363" s="44"/>
      <c r="AG363" s="54">
        <f t="shared" si="411"/>
        <v>1000</v>
      </c>
      <c r="AH363" s="44"/>
      <c r="AI363" s="54">
        <f t="shared" si="412"/>
        <v>1000</v>
      </c>
      <c r="AJ363" s="44"/>
      <c r="AK363" s="54">
        <f t="shared" si="413"/>
        <v>1000</v>
      </c>
    </row>
    <row r="364" spans="1:37" s="20" customFormat="1" ht="24">
      <c r="A364" s="61"/>
      <c r="B364" s="51"/>
      <c r="C364" s="34">
        <v>4700</v>
      </c>
      <c r="D364" s="31" t="s">
        <v>193</v>
      </c>
      <c r="E364" s="44">
        <v>3300</v>
      </c>
      <c r="F364" s="44"/>
      <c r="G364" s="54">
        <f aca="true" t="shared" si="414" ref="G364:G442">SUM(E364:F364)</f>
        <v>3300</v>
      </c>
      <c r="H364" s="44"/>
      <c r="I364" s="54">
        <f t="shared" si="399"/>
        <v>3300</v>
      </c>
      <c r="J364" s="44"/>
      <c r="K364" s="54">
        <f t="shared" si="400"/>
        <v>3300</v>
      </c>
      <c r="L364" s="44"/>
      <c r="M364" s="54">
        <f t="shared" si="401"/>
        <v>3300</v>
      </c>
      <c r="N364" s="44"/>
      <c r="O364" s="54">
        <f t="shared" si="402"/>
        <v>3300</v>
      </c>
      <c r="P364" s="44"/>
      <c r="Q364" s="54">
        <f t="shared" si="403"/>
        <v>3300</v>
      </c>
      <c r="R364" s="44"/>
      <c r="S364" s="54">
        <f t="shared" si="404"/>
        <v>3300</v>
      </c>
      <c r="T364" s="44"/>
      <c r="U364" s="54">
        <f t="shared" si="405"/>
        <v>3300</v>
      </c>
      <c r="V364" s="44"/>
      <c r="W364" s="54">
        <f t="shared" si="406"/>
        <v>3300</v>
      </c>
      <c r="X364" s="44"/>
      <c r="Y364" s="54">
        <f t="shared" si="407"/>
        <v>3300</v>
      </c>
      <c r="Z364" s="44"/>
      <c r="AA364" s="54">
        <f t="shared" si="408"/>
        <v>3300</v>
      </c>
      <c r="AB364" s="44"/>
      <c r="AC364" s="54">
        <f t="shared" si="409"/>
        <v>3300</v>
      </c>
      <c r="AD364" s="44"/>
      <c r="AE364" s="54">
        <f t="shared" si="410"/>
        <v>3300</v>
      </c>
      <c r="AF364" s="44"/>
      <c r="AG364" s="54">
        <f t="shared" si="411"/>
        <v>3300</v>
      </c>
      <c r="AH364" s="44"/>
      <c r="AI364" s="54">
        <f t="shared" si="412"/>
        <v>3300</v>
      </c>
      <c r="AJ364" s="44"/>
      <c r="AK364" s="54">
        <f t="shared" si="413"/>
        <v>3300</v>
      </c>
    </row>
    <row r="365" spans="1:37" s="20" customFormat="1" ht="36">
      <c r="A365" s="61"/>
      <c r="B365" s="51"/>
      <c r="C365" s="34">
        <v>4740</v>
      </c>
      <c r="D365" s="31" t="s">
        <v>183</v>
      </c>
      <c r="E365" s="44">
        <v>2000</v>
      </c>
      <c r="F365" s="44"/>
      <c r="G365" s="54">
        <f t="shared" si="414"/>
        <v>2000</v>
      </c>
      <c r="H365" s="44"/>
      <c r="I365" s="54">
        <f t="shared" si="399"/>
        <v>2000</v>
      </c>
      <c r="J365" s="44">
        <v>1000</v>
      </c>
      <c r="K365" s="54">
        <f t="shared" si="400"/>
        <v>3000</v>
      </c>
      <c r="L365" s="44"/>
      <c r="M365" s="54">
        <f t="shared" si="401"/>
        <v>3000</v>
      </c>
      <c r="N365" s="44"/>
      <c r="O365" s="54">
        <f t="shared" si="402"/>
        <v>3000</v>
      </c>
      <c r="P365" s="44"/>
      <c r="Q365" s="54">
        <f t="shared" si="403"/>
        <v>3000</v>
      </c>
      <c r="R365" s="44"/>
      <c r="S365" s="54">
        <f t="shared" si="404"/>
        <v>3000</v>
      </c>
      <c r="T365" s="44"/>
      <c r="U365" s="54">
        <f t="shared" si="405"/>
        <v>3000</v>
      </c>
      <c r="V365" s="44"/>
      <c r="W365" s="54">
        <f t="shared" si="406"/>
        <v>3000</v>
      </c>
      <c r="X365" s="44"/>
      <c r="Y365" s="54">
        <f t="shared" si="407"/>
        <v>3000</v>
      </c>
      <c r="Z365" s="44"/>
      <c r="AA365" s="54">
        <f t="shared" si="408"/>
        <v>3000</v>
      </c>
      <c r="AB365" s="44"/>
      <c r="AC365" s="54">
        <f t="shared" si="409"/>
        <v>3000</v>
      </c>
      <c r="AD365" s="44"/>
      <c r="AE365" s="54">
        <f t="shared" si="410"/>
        <v>3000</v>
      </c>
      <c r="AF365" s="44"/>
      <c r="AG365" s="54">
        <f t="shared" si="411"/>
        <v>3000</v>
      </c>
      <c r="AH365" s="44"/>
      <c r="AI365" s="54">
        <f t="shared" si="412"/>
        <v>3000</v>
      </c>
      <c r="AJ365" s="44">
        <v>-1000</v>
      </c>
      <c r="AK365" s="54">
        <f t="shared" si="413"/>
        <v>2000</v>
      </c>
    </row>
    <row r="366" spans="1:37" s="20" customFormat="1" ht="24">
      <c r="A366" s="61"/>
      <c r="B366" s="51"/>
      <c r="C366" s="34">
        <v>4750</v>
      </c>
      <c r="D366" s="31" t="s">
        <v>197</v>
      </c>
      <c r="E366" s="44">
        <v>2000</v>
      </c>
      <c r="F366" s="44"/>
      <c r="G366" s="54">
        <f t="shared" si="414"/>
        <v>2000</v>
      </c>
      <c r="H366" s="44"/>
      <c r="I366" s="54">
        <f t="shared" si="399"/>
        <v>2000</v>
      </c>
      <c r="J366" s="44">
        <v>1000</v>
      </c>
      <c r="K366" s="54">
        <f t="shared" si="400"/>
        <v>3000</v>
      </c>
      <c r="L366" s="44">
        <v>6700</v>
      </c>
      <c r="M366" s="54">
        <f t="shared" si="401"/>
        <v>9700</v>
      </c>
      <c r="N366" s="44"/>
      <c r="O366" s="54">
        <f t="shared" si="402"/>
        <v>9700</v>
      </c>
      <c r="P366" s="44"/>
      <c r="Q366" s="54">
        <f t="shared" si="403"/>
        <v>9700</v>
      </c>
      <c r="R366" s="44"/>
      <c r="S366" s="54">
        <f t="shared" si="404"/>
        <v>9700</v>
      </c>
      <c r="T366" s="44"/>
      <c r="U366" s="54">
        <f t="shared" si="405"/>
        <v>9700</v>
      </c>
      <c r="V366" s="44"/>
      <c r="W366" s="54">
        <f t="shared" si="406"/>
        <v>9700</v>
      </c>
      <c r="X366" s="44"/>
      <c r="Y366" s="54">
        <f t="shared" si="407"/>
        <v>9700</v>
      </c>
      <c r="Z366" s="44"/>
      <c r="AA366" s="54">
        <f t="shared" si="408"/>
        <v>9700</v>
      </c>
      <c r="AB366" s="44"/>
      <c r="AC366" s="54">
        <f t="shared" si="409"/>
        <v>9700</v>
      </c>
      <c r="AD366" s="44">
        <v>-4000</v>
      </c>
      <c r="AE366" s="54">
        <f t="shared" si="410"/>
        <v>5700</v>
      </c>
      <c r="AF366" s="44"/>
      <c r="AG366" s="54">
        <f t="shared" si="411"/>
        <v>5700</v>
      </c>
      <c r="AH366" s="44"/>
      <c r="AI366" s="54">
        <f t="shared" si="412"/>
        <v>5700</v>
      </c>
      <c r="AJ366" s="44">
        <v>-1000</v>
      </c>
      <c r="AK366" s="54">
        <f t="shared" si="413"/>
        <v>4700</v>
      </c>
    </row>
    <row r="367" spans="1:37" s="20" customFormat="1" ht="72">
      <c r="A367" s="41"/>
      <c r="B367" s="140">
        <v>85213</v>
      </c>
      <c r="C367" s="58"/>
      <c r="D367" s="50" t="s">
        <v>204</v>
      </c>
      <c r="E367" s="54">
        <f aca="true" t="shared" si="415" ref="E367:AK367">SUM(E368)</f>
        <v>59100</v>
      </c>
      <c r="F367" s="54">
        <f t="shared" si="415"/>
        <v>0</v>
      </c>
      <c r="G367" s="54">
        <f t="shared" si="415"/>
        <v>59100</v>
      </c>
      <c r="H367" s="54">
        <f t="shared" si="415"/>
        <v>0</v>
      </c>
      <c r="I367" s="54">
        <f t="shared" si="415"/>
        <v>59100</v>
      </c>
      <c r="J367" s="54">
        <f t="shared" si="415"/>
        <v>-4100</v>
      </c>
      <c r="K367" s="54">
        <f t="shared" si="415"/>
        <v>55000</v>
      </c>
      <c r="L367" s="54">
        <f t="shared" si="415"/>
        <v>0</v>
      </c>
      <c r="M367" s="54">
        <f t="shared" si="415"/>
        <v>55000</v>
      </c>
      <c r="N367" s="54">
        <f t="shared" si="415"/>
        <v>0</v>
      </c>
      <c r="O367" s="54">
        <f t="shared" si="415"/>
        <v>55000</v>
      </c>
      <c r="P367" s="54">
        <f t="shared" si="415"/>
        <v>0</v>
      </c>
      <c r="Q367" s="54">
        <f t="shared" si="415"/>
        <v>55000</v>
      </c>
      <c r="R367" s="54">
        <f t="shared" si="415"/>
        <v>0</v>
      </c>
      <c r="S367" s="54">
        <f t="shared" si="415"/>
        <v>55000</v>
      </c>
      <c r="T367" s="54">
        <f t="shared" si="415"/>
        <v>0</v>
      </c>
      <c r="U367" s="54">
        <f t="shared" si="415"/>
        <v>55000</v>
      </c>
      <c r="V367" s="54">
        <f t="shared" si="415"/>
        <v>0</v>
      </c>
      <c r="W367" s="54">
        <f t="shared" si="415"/>
        <v>55000</v>
      </c>
      <c r="X367" s="54">
        <f t="shared" si="415"/>
        <v>0</v>
      </c>
      <c r="Y367" s="54">
        <f t="shared" si="415"/>
        <v>55000</v>
      </c>
      <c r="Z367" s="54">
        <f t="shared" si="415"/>
        <v>0</v>
      </c>
      <c r="AA367" s="54">
        <f t="shared" si="415"/>
        <v>55000</v>
      </c>
      <c r="AB367" s="54">
        <f t="shared" si="415"/>
        <v>-3945</v>
      </c>
      <c r="AC367" s="54">
        <f t="shared" si="415"/>
        <v>51055</v>
      </c>
      <c r="AD367" s="54">
        <f t="shared" si="415"/>
        <v>-1550</v>
      </c>
      <c r="AE367" s="54">
        <f t="shared" si="415"/>
        <v>49505</v>
      </c>
      <c r="AF367" s="54">
        <f t="shared" si="415"/>
        <v>0</v>
      </c>
      <c r="AG367" s="54">
        <f t="shared" si="415"/>
        <v>49505</v>
      </c>
      <c r="AH367" s="54">
        <f t="shared" si="415"/>
        <v>0</v>
      </c>
      <c r="AI367" s="54">
        <f t="shared" si="415"/>
        <v>49505</v>
      </c>
      <c r="AJ367" s="54">
        <f t="shared" si="415"/>
        <v>0</v>
      </c>
      <c r="AK367" s="54">
        <f t="shared" si="415"/>
        <v>49505</v>
      </c>
    </row>
    <row r="368" spans="1:37" s="20" customFormat="1" ht="21" customHeight="1">
      <c r="A368" s="41"/>
      <c r="B368" s="140"/>
      <c r="C368" s="58">
        <v>4130</v>
      </c>
      <c r="D368" s="31" t="s">
        <v>99</v>
      </c>
      <c r="E368" s="44">
        <v>59100</v>
      </c>
      <c r="F368" s="44"/>
      <c r="G368" s="54">
        <f t="shared" si="414"/>
        <v>59100</v>
      </c>
      <c r="H368" s="44"/>
      <c r="I368" s="54">
        <f>SUM(G368:H368)</f>
        <v>59100</v>
      </c>
      <c r="J368" s="44">
        <v>-4100</v>
      </c>
      <c r="K368" s="54">
        <f>SUM(I368:J368)</f>
        <v>55000</v>
      </c>
      <c r="L368" s="44"/>
      <c r="M368" s="54">
        <f>SUM(K368:L368)</f>
        <v>55000</v>
      </c>
      <c r="N368" s="44"/>
      <c r="O368" s="54">
        <f>SUM(M368:N368)</f>
        <v>55000</v>
      </c>
      <c r="P368" s="44"/>
      <c r="Q368" s="54">
        <f>SUM(O368:P368)</f>
        <v>55000</v>
      </c>
      <c r="R368" s="44"/>
      <c r="S368" s="54">
        <f>SUM(Q368:R368)</f>
        <v>55000</v>
      </c>
      <c r="T368" s="44"/>
      <c r="U368" s="54">
        <f>SUM(S368:T368)</f>
        <v>55000</v>
      </c>
      <c r="V368" s="44"/>
      <c r="W368" s="54">
        <f>SUM(U368:V368)</f>
        <v>55000</v>
      </c>
      <c r="X368" s="44"/>
      <c r="Y368" s="54">
        <f>SUM(W368:X368)</f>
        <v>55000</v>
      </c>
      <c r="Z368" s="44"/>
      <c r="AA368" s="54">
        <f>SUM(Y368:Z368)</f>
        <v>55000</v>
      </c>
      <c r="AB368" s="44">
        <v>-3945</v>
      </c>
      <c r="AC368" s="54">
        <f>SUM(AA368:AB368)</f>
        <v>51055</v>
      </c>
      <c r="AD368" s="44">
        <v>-1550</v>
      </c>
      <c r="AE368" s="54">
        <f>SUM(AC368:AD368)</f>
        <v>49505</v>
      </c>
      <c r="AF368" s="44"/>
      <c r="AG368" s="54">
        <f>SUM(AE368:AF368)</f>
        <v>49505</v>
      </c>
      <c r="AH368" s="44"/>
      <c r="AI368" s="54">
        <f>SUM(AG368:AH368)</f>
        <v>49505</v>
      </c>
      <c r="AJ368" s="44"/>
      <c r="AK368" s="54">
        <f>SUM(AI368:AJ368)</f>
        <v>49505</v>
      </c>
    </row>
    <row r="369" spans="1:37" s="20" customFormat="1" ht="24">
      <c r="A369" s="41"/>
      <c r="B369" s="55">
        <v>85214</v>
      </c>
      <c r="C369" s="58"/>
      <c r="D369" s="31" t="s">
        <v>168</v>
      </c>
      <c r="E369" s="54">
        <f aca="true" t="shared" si="416" ref="E369:W369">SUM(E370:E371)</f>
        <v>1686100</v>
      </c>
      <c r="F369" s="54">
        <f t="shared" si="416"/>
        <v>0</v>
      </c>
      <c r="G369" s="54">
        <f t="shared" si="416"/>
        <v>1686100</v>
      </c>
      <c r="H369" s="54">
        <f t="shared" si="416"/>
        <v>0</v>
      </c>
      <c r="I369" s="54">
        <f t="shared" si="416"/>
        <v>1686100</v>
      </c>
      <c r="J369" s="54">
        <f t="shared" si="416"/>
        <v>-17600</v>
      </c>
      <c r="K369" s="54">
        <f t="shared" si="416"/>
        <v>1668500</v>
      </c>
      <c r="L369" s="54">
        <f t="shared" si="416"/>
        <v>0</v>
      </c>
      <c r="M369" s="54">
        <f t="shared" si="416"/>
        <v>1668500</v>
      </c>
      <c r="N369" s="54">
        <f t="shared" si="416"/>
        <v>0</v>
      </c>
      <c r="O369" s="54">
        <f t="shared" si="416"/>
        <v>1668500</v>
      </c>
      <c r="P369" s="54">
        <f t="shared" si="416"/>
        <v>0</v>
      </c>
      <c r="Q369" s="54">
        <f t="shared" si="416"/>
        <v>1668500</v>
      </c>
      <c r="R369" s="54">
        <f t="shared" si="416"/>
        <v>0</v>
      </c>
      <c r="S369" s="54">
        <f t="shared" si="416"/>
        <v>1668500</v>
      </c>
      <c r="T369" s="54">
        <f t="shared" si="416"/>
        <v>0</v>
      </c>
      <c r="U369" s="54">
        <f t="shared" si="416"/>
        <v>1668500</v>
      </c>
      <c r="V369" s="54">
        <f t="shared" si="416"/>
        <v>0</v>
      </c>
      <c r="W369" s="54">
        <f t="shared" si="416"/>
        <v>1668500</v>
      </c>
      <c r="X369" s="54">
        <f aca="true" t="shared" si="417" ref="X369:AC369">SUM(X370:X371)</f>
        <v>110109</v>
      </c>
      <c r="Y369" s="54">
        <f t="shared" si="417"/>
        <v>1778609</v>
      </c>
      <c r="Z369" s="54">
        <f t="shared" si="417"/>
        <v>150000</v>
      </c>
      <c r="AA369" s="54">
        <f t="shared" si="417"/>
        <v>1928609</v>
      </c>
      <c r="AB369" s="54">
        <f t="shared" si="417"/>
        <v>0</v>
      </c>
      <c r="AC369" s="54">
        <f t="shared" si="417"/>
        <v>1928609</v>
      </c>
      <c r="AD369" s="54">
        <f aca="true" t="shared" si="418" ref="AD369:AI369">SUM(AD370:AD371)</f>
        <v>20000</v>
      </c>
      <c r="AE369" s="54">
        <f t="shared" si="418"/>
        <v>1948609</v>
      </c>
      <c r="AF369" s="54">
        <f t="shared" si="418"/>
        <v>0</v>
      </c>
      <c r="AG369" s="54">
        <f t="shared" si="418"/>
        <v>1948609</v>
      </c>
      <c r="AH369" s="54">
        <f t="shared" si="418"/>
        <v>0</v>
      </c>
      <c r="AI369" s="54">
        <f t="shared" si="418"/>
        <v>1948609</v>
      </c>
      <c r="AJ369" s="54">
        <f>SUM(AJ370:AJ371)</f>
        <v>0</v>
      </c>
      <c r="AK369" s="54">
        <f>SUM(AK370:AK371)</f>
        <v>1948609</v>
      </c>
    </row>
    <row r="370" spans="1:37" s="20" customFormat="1" ht="21" customHeight="1">
      <c r="A370" s="41"/>
      <c r="B370" s="55"/>
      <c r="C370" s="58">
        <v>3110</v>
      </c>
      <c r="D370" s="31" t="s">
        <v>97</v>
      </c>
      <c r="E370" s="54">
        <f>466900+656100+562000</f>
        <v>1685000</v>
      </c>
      <c r="F370" s="54"/>
      <c r="G370" s="54">
        <f t="shared" si="414"/>
        <v>1685000</v>
      </c>
      <c r="H370" s="54"/>
      <c r="I370" s="54">
        <f>SUM(G370:H370)</f>
        <v>1685000</v>
      </c>
      <c r="J370" s="54">
        <f>-68300+50700</f>
        <v>-17600</v>
      </c>
      <c r="K370" s="54">
        <f>SUM(I370:J370)</f>
        <v>1667400</v>
      </c>
      <c r="L370" s="54"/>
      <c r="M370" s="54">
        <f>SUM(K370:L370)</f>
        <v>1667400</v>
      </c>
      <c r="N370" s="54"/>
      <c r="O370" s="54">
        <f>SUM(M370:N370)</f>
        <v>1667400</v>
      </c>
      <c r="P370" s="54"/>
      <c r="Q370" s="54">
        <f>SUM(O370:P370)</f>
        <v>1667400</v>
      </c>
      <c r="R370" s="54"/>
      <c r="S370" s="54">
        <f>SUM(Q370:R370)</f>
        <v>1667400</v>
      </c>
      <c r="T370" s="54"/>
      <c r="U370" s="54">
        <f>SUM(S370:T370)</f>
        <v>1667400</v>
      </c>
      <c r="V370" s="54"/>
      <c r="W370" s="54">
        <f>SUM(U370:V370)</f>
        <v>1667400</v>
      </c>
      <c r="X370" s="54">
        <v>110109</v>
      </c>
      <c r="Y370" s="54">
        <f>SUM(W370:X370)</f>
        <v>1777509</v>
      </c>
      <c r="Z370" s="54">
        <v>150000</v>
      </c>
      <c r="AA370" s="54">
        <f>SUM(Y370:Z370)</f>
        <v>1927509</v>
      </c>
      <c r="AB370" s="54"/>
      <c r="AC370" s="54">
        <f>SUM(AA370:AB370)</f>
        <v>1927509</v>
      </c>
      <c r="AD370" s="54">
        <f>473-448+10400+9600</f>
        <v>20025</v>
      </c>
      <c r="AE370" s="54">
        <f>SUM(AC370:AD370)</f>
        <v>1947534</v>
      </c>
      <c r="AF370" s="54"/>
      <c r="AG370" s="54">
        <f>SUM(AE370:AF370)</f>
        <v>1947534</v>
      </c>
      <c r="AH370" s="54">
        <v>179</v>
      </c>
      <c r="AI370" s="54">
        <f>SUM(AG370:AH370)</f>
        <v>1947713</v>
      </c>
      <c r="AJ370" s="54"/>
      <c r="AK370" s="54">
        <f>SUM(AI370:AJ370)</f>
        <v>1947713</v>
      </c>
    </row>
    <row r="371" spans="1:39" s="20" customFormat="1" ht="21" customHeight="1">
      <c r="A371" s="41"/>
      <c r="B371" s="55"/>
      <c r="C371" s="34">
        <v>4110</v>
      </c>
      <c r="D371" s="12" t="s">
        <v>81</v>
      </c>
      <c r="E371" s="54">
        <v>1100</v>
      </c>
      <c r="F371" s="54"/>
      <c r="G371" s="54">
        <f t="shared" si="414"/>
        <v>1100</v>
      </c>
      <c r="H371" s="54"/>
      <c r="I371" s="54">
        <f>SUM(G371:H371)</f>
        <v>1100</v>
      </c>
      <c r="J371" s="54"/>
      <c r="K371" s="54">
        <f>SUM(I371:J371)</f>
        <v>1100</v>
      </c>
      <c r="L371" s="54"/>
      <c r="M371" s="54">
        <f>SUM(K371:L371)</f>
        <v>1100</v>
      </c>
      <c r="N371" s="54"/>
      <c r="O371" s="54">
        <f>SUM(M371:N371)</f>
        <v>1100</v>
      </c>
      <c r="P371" s="54"/>
      <c r="Q371" s="54">
        <f>SUM(O371:P371)</f>
        <v>1100</v>
      </c>
      <c r="R371" s="54"/>
      <c r="S371" s="54">
        <f>SUM(Q371:R371)</f>
        <v>1100</v>
      </c>
      <c r="T371" s="54"/>
      <c r="U371" s="54">
        <f>SUM(S371:T371)</f>
        <v>1100</v>
      </c>
      <c r="V371" s="54"/>
      <c r="W371" s="54">
        <f>SUM(U371:V371)</f>
        <v>1100</v>
      </c>
      <c r="X371" s="54"/>
      <c r="Y371" s="54">
        <f>SUM(W371:X371)</f>
        <v>1100</v>
      </c>
      <c r="Z371" s="54"/>
      <c r="AA371" s="54">
        <f>SUM(Y371:Z371)</f>
        <v>1100</v>
      </c>
      <c r="AB371" s="54"/>
      <c r="AC371" s="54">
        <f>SUM(AA371:AB371)</f>
        <v>1100</v>
      </c>
      <c r="AD371" s="54">
        <f>-473+448</f>
        <v>-25</v>
      </c>
      <c r="AE371" s="54">
        <f>SUM(AC371:AD371)</f>
        <v>1075</v>
      </c>
      <c r="AF371" s="54"/>
      <c r="AG371" s="54">
        <f>SUM(AE371:AF371)</f>
        <v>1075</v>
      </c>
      <c r="AH371" s="54">
        <v>-179</v>
      </c>
      <c r="AI371" s="54">
        <f>SUM(AG371:AH371)</f>
        <v>896</v>
      </c>
      <c r="AJ371" s="54"/>
      <c r="AK371" s="54">
        <f>SUM(AI371:AJ371)</f>
        <v>896</v>
      </c>
      <c r="AL371" s="67"/>
      <c r="AM371" s="67"/>
    </row>
    <row r="372" spans="1:37" s="20" customFormat="1" ht="21" customHeight="1">
      <c r="A372" s="41"/>
      <c r="B372" s="55">
        <v>85215</v>
      </c>
      <c r="C372" s="58"/>
      <c r="D372" s="31" t="s">
        <v>348</v>
      </c>
      <c r="E372" s="54">
        <f aca="true" t="shared" si="419" ref="E372:AK372">SUM(E373)</f>
        <v>900000</v>
      </c>
      <c r="F372" s="54">
        <f t="shared" si="419"/>
        <v>0</v>
      </c>
      <c r="G372" s="54">
        <f t="shared" si="419"/>
        <v>900000</v>
      </c>
      <c r="H372" s="54">
        <f t="shared" si="419"/>
        <v>0</v>
      </c>
      <c r="I372" s="54">
        <f t="shared" si="419"/>
        <v>900000</v>
      </c>
      <c r="J372" s="54">
        <f t="shared" si="419"/>
        <v>0</v>
      </c>
      <c r="K372" s="54">
        <f t="shared" si="419"/>
        <v>900000</v>
      </c>
      <c r="L372" s="54">
        <f t="shared" si="419"/>
        <v>0</v>
      </c>
      <c r="M372" s="54">
        <f t="shared" si="419"/>
        <v>900000</v>
      </c>
      <c r="N372" s="54">
        <f t="shared" si="419"/>
        <v>0</v>
      </c>
      <c r="O372" s="54">
        <f t="shared" si="419"/>
        <v>900000</v>
      </c>
      <c r="P372" s="54">
        <f t="shared" si="419"/>
        <v>0</v>
      </c>
      <c r="Q372" s="54">
        <f t="shared" si="419"/>
        <v>900000</v>
      </c>
      <c r="R372" s="54">
        <f t="shared" si="419"/>
        <v>0</v>
      </c>
      <c r="S372" s="54">
        <f t="shared" si="419"/>
        <v>900000</v>
      </c>
      <c r="T372" s="54">
        <f t="shared" si="419"/>
        <v>0</v>
      </c>
      <c r="U372" s="54">
        <f t="shared" si="419"/>
        <v>900000</v>
      </c>
      <c r="V372" s="54">
        <f t="shared" si="419"/>
        <v>0</v>
      </c>
      <c r="W372" s="54">
        <f t="shared" si="419"/>
        <v>900000</v>
      </c>
      <c r="X372" s="54">
        <f t="shared" si="419"/>
        <v>0</v>
      </c>
      <c r="Y372" s="54">
        <f t="shared" si="419"/>
        <v>900000</v>
      </c>
      <c r="Z372" s="54">
        <f t="shared" si="419"/>
        <v>0</v>
      </c>
      <c r="AA372" s="54">
        <f t="shared" si="419"/>
        <v>900000</v>
      </c>
      <c r="AB372" s="54">
        <f t="shared" si="419"/>
        <v>0</v>
      </c>
      <c r="AC372" s="54">
        <f t="shared" si="419"/>
        <v>900000</v>
      </c>
      <c r="AD372" s="54">
        <f t="shared" si="419"/>
        <v>0</v>
      </c>
      <c r="AE372" s="54">
        <f t="shared" si="419"/>
        <v>900000</v>
      </c>
      <c r="AF372" s="54">
        <f t="shared" si="419"/>
        <v>0</v>
      </c>
      <c r="AG372" s="54">
        <f t="shared" si="419"/>
        <v>900000</v>
      </c>
      <c r="AH372" s="54">
        <f t="shared" si="419"/>
        <v>0</v>
      </c>
      <c r="AI372" s="54">
        <f t="shared" si="419"/>
        <v>900000</v>
      </c>
      <c r="AJ372" s="54">
        <f t="shared" si="419"/>
        <v>0</v>
      </c>
      <c r="AK372" s="54">
        <f t="shared" si="419"/>
        <v>900000</v>
      </c>
    </row>
    <row r="373" spans="1:37" s="20" customFormat="1" ht="21" customHeight="1">
      <c r="A373" s="41"/>
      <c r="B373" s="55"/>
      <c r="C373" s="58">
        <v>3110</v>
      </c>
      <c r="D373" s="31" t="s">
        <v>97</v>
      </c>
      <c r="E373" s="54">
        <v>900000</v>
      </c>
      <c r="F373" s="54"/>
      <c r="G373" s="54">
        <f t="shared" si="414"/>
        <v>900000</v>
      </c>
      <c r="H373" s="54"/>
      <c r="I373" s="54">
        <f>SUM(G373:H373)</f>
        <v>900000</v>
      </c>
      <c r="J373" s="54"/>
      <c r="K373" s="54">
        <f>SUM(I373:J373)</f>
        <v>900000</v>
      </c>
      <c r="L373" s="54"/>
      <c r="M373" s="54">
        <f>SUM(K373:L373)</f>
        <v>900000</v>
      </c>
      <c r="N373" s="54"/>
      <c r="O373" s="54">
        <f>SUM(M373:N373)</f>
        <v>900000</v>
      </c>
      <c r="P373" s="54"/>
      <c r="Q373" s="54">
        <f>SUM(O373:P373)</f>
        <v>900000</v>
      </c>
      <c r="R373" s="54"/>
      <c r="S373" s="54">
        <f>SUM(Q373:R373)</f>
        <v>900000</v>
      </c>
      <c r="T373" s="54"/>
      <c r="U373" s="54">
        <f>SUM(S373:T373)</f>
        <v>900000</v>
      </c>
      <c r="V373" s="54"/>
      <c r="W373" s="54">
        <f>SUM(U373:V373)</f>
        <v>900000</v>
      </c>
      <c r="X373" s="54"/>
      <c r="Y373" s="54">
        <f>SUM(W373:X373)</f>
        <v>900000</v>
      </c>
      <c r="Z373" s="54"/>
      <c r="AA373" s="54">
        <f>SUM(Y373:Z373)</f>
        <v>900000</v>
      </c>
      <c r="AB373" s="54"/>
      <c r="AC373" s="54">
        <f>SUM(AA373:AB373)</f>
        <v>900000</v>
      </c>
      <c r="AD373" s="54"/>
      <c r="AE373" s="54">
        <f>SUM(AC373:AD373)</f>
        <v>900000</v>
      </c>
      <c r="AF373" s="54"/>
      <c r="AG373" s="54">
        <f>SUM(AE373:AF373)</f>
        <v>900000</v>
      </c>
      <c r="AH373" s="54"/>
      <c r="AI373" s="54">
        <f>SUM(AG373:AH373)</f>
        <v>900000</v>
      </c>
      <c r="AJ373" s="54"/>
      <c r="AK373" s="54">
        <f>SUM(AI373:AJ373)</f>
        <v>900000</v>
      </c>
    </row>
    <row r="374" spans="1:37" s="20" customFormat="1" ht="21" customHeight="1">
      <c r="A374" s="41"/>
      <c r="B374" s="55">
        <v>85219</v>
      </c>
      <c r="C374" s="58"/>
      <c r="D374" s="31" t="s">
        <v>57</v>
      </c>
      <c r="E374" s="54">
        <f aca="true" t="shared" si="420" ref="E374:W374">SUM(E375:E397)</f>
        <v>1337592</v>
      </c>
      <c r="F374" s="54">
        <f t="shared" si="420"/>
        <v>0</v>
      </c>
      <c r="G374" s="54">
        <f t="shared" si="420"/>
        <v>1337592</v>
      </c>
      <c r="H374" s="54">
        <f t="shared" si="420"/>
        <v>0</v>
      </c>
      <c r="I374" s="54">
        <f t="shared" si="420"/>
        <v>1337592</v>
      </c>
      <c r="J374" s="54">
        <f t="shared" si="420"/>
        <v>0</v>
      </c>
      <c r="K374" s="54">
        <f t="shared" si="420"/>
        <v>1337592</v>
      </c>
      <c r="L374" s="54">
        <f t="shared" si="420"/>
        <v>36050</v>
      </c>
      <c r="M374" s="54">
        <f t="shared" si="420"/>
        <v>1373642</v>
      </c>
      <c r="N374" s="54">
        <f t="shared" si="420"/>
        <v>0</v>
      </c>
      <c r="O374" s="54">
        <f t="shared" si="420"/>
        <v>1373642</v>
      </c>
      <c r="P374" s="54">
        <f t="shared" si="420"/>
        <v>0</v>
      </c>
      <c r="Q374" s="54">
        <f t="shared" si="420"/>
        <v>1373642</v>
      </c>
      <c r="R374" s="54">
        <f t="shared" si="420"/>
        <v>0</v>
      </c>
      <c r="S374" s="54">
        <f t="shared" si="420"/>
        <v>1373642</v>
      </c>
      <c r="T374" s="54">
        <f t="shared" si="420"/>
        <v>0</v>
      </c>
      <c r="U374" s="54">
        <f t="shared" si="420"/>
        <v>1373642</v>
      </c>
      <c r="V374" s="54">
        <f t="shared" si="420"/>
        <v>2750</v>
      </c>
      <c r="W374" s="54">
        <f t="shared" si="420"/>
        <v>1376392</v>
      </c>
      <c r="X374" s="54">
        <f aca="true" t="shared" si="421" ref="X374:AC374">SUM(X375:X397)</f>
        <v>11509</v>
      </c>
      <c r="Y374" s="54">
        <f t="shared" si="421"/>
        <v>1387901</v>
      </c>
      <c r="Z374" s="54">
        <f t="shared" si="421"/>
        <v>1014</v>
      </c>
      <c r="AA374" s="54">
        <f t="shared" si="421"/>
        <v>1388915</v>
      </c>
      <c r="AB374" s="54">
        <f t="shared" si="421"/>
        <v>-35835</v>
      </c>
      <c r="AC374" s="54">
        <f t="shared" si="421"/>
        <v>1353080</v>
      </c>
      <c r="AD374" s="54">
        <f aca="true" t="shared" si="422" ref="AD374:AI374">SUM(AD375:AD397)</f>
        <v>30000</v>
      </c>
      <c r="AE374" s="54">
        <f t="shared" si="422"/>
        <v>1383080</v>
      </c>
      <c r="AF374" s="54">
        <f t="shared" si="422"/>
        <v>0</v>
      </c>
      <c r="AG374" s="54">
        <f t="shared" si="422"/>
        <v>1383080</v>
      </c>
      <c r="AH374" s="54">
        <f t="shared" si="422"/>
        <v>0</v>
      </c>
      <c r="AI374" s="54">
        <f t="shared" si="422"/>
        <v>1383080</v>
      </c>
      <c r="AJ374" s="54">
        <f>SUM(AJ375:AJ397)</f>
        <v>0</v>
      </c>
      <c r="AK374" s="54">
        <f>SUM(AK375:AK397)</f>
        <v>1383080</v>
      </c>
    </row>
    <row r="375" spans="1:37" s="20" customFormat="1" ht="24">
      <c r="A375" s="41"/>
      <c r="B375" s="55"/>
      <c r="C375" s="58">
        <v>3020</v>
      </c>
      <c r="D375" s="31" t="s">
        <v>334</v>
      </c>
      <c r="E375" s="54">
        <v>3218</v>
      </c>
      <c r="F375" s="54"/>
      <c r="G375" s="54">
        <f t="shared" si="414"/>
        <v>3218</v>
      </c>
      <c r="H375" s="54"/>
      <c r="I375" s="54">
        <f aca="true" t="shared" si="423" ref="I375:I397">SUM(G375:H375)</f>
        <v>3218</v>
      </c>
      <c r="J375" s="54"/>
      <c r="K375" s="54">
        <f aca="true" t="shared" si="424" ref="K375:K397">SUM(I375:J375)</f>
        <v>3218</v>
      </c>
      <c r="L375" s="54"/>
      <c r="M375" s="54">
        <f aca="true" t="shared" si="425" ref="M375:M397">SUM(K375:L375)</f>
        <v>3218</v>
      </c>
      <c r="N375" s="54"/>
      <c r="O375" s="54">
        <f aca="true" t="shared" si="426" ref="O375:O397">SUM(M375:N375)</f>
        <v>3218</v>
      </c>
      <c r="P375" s="54"/>
      <c r="Q375" s="54">
        <f aca="true" t="shared" si="427" ref="Q375:Q397">SUM(O375:P375)</f>
        <v>3218</v>
      </c>
      <c r="R375" s="54"/>
      <c r="S375" s="54">
        <f aca="true" t="shared" si="428" ref="S375:S397">SUM(Q375:R375)</f>
        <v>3218</v>
      </c>
      <c r="T375" s="54"/>
      <c r="U375" s="54">
        <f aca="true" t="shared" si="429" ref="U375:U397">SUM(S375:T375)</f>
        <v>3218</v>
      </c>
      <c r="V375" s="54"/>
      <c r="W375" s="54">
        <f aca="true" t="shared" si="430" ref="W375:W397">SUM(U375:V375)</f>
        <v>3218</v>
      </c>
      <c r="X375" s="54"/>
      <c r="Y375" s="54">
        <f aca="true" t="shared" si="431" ref="Y375:Y397">SUM(W375:X375)</f>
        <v>3218</v>
      </c>
      <c r="Z375" s="54"/>
      <c r="AA375" s="54">
        <f aca="true" t="shared" si="432" ref="AA375:AA397">SUM(Y375:Z375)</f>
        <v>3218</v>
      </c>
      <c r="AB375" s="54"/>
      <c r="AC375" s="54">
        <f aca="true" t="shared" si="433" ref="AC375:AC397">SUM(AA375:AB375)</f>
        <v>3218</v>
      </c>
      <c r="AD375" s="54"/>
      <c r="AE375" s="54">
        <f aca="true" t="shared" si="434" ref="AE375:AE397">SUM(AC375:AD375)</f>
        <v>3218</v>
      </c>
      <c r="AF375" s="54">
        <v>200</v>
      </c>
      <c r="AG375" s="54">
        <f aca="true" t="shared" si="435" ref="AG375:AG397">SUM(AE375:AF375)</f>
        <v>3418</v>
      </c>
      <c r="AH375" s="54"/>
      <c r="AI375" s="54">
        <f aca="true" t="shared" si="436" ref="AI375:AI397">SUM(AG375:AH375)</f>
        <v>3418</v>
      </c>
      <c r="AJ375" s="54"/>
      <c r="AK375" s="54">
        <f aca="true" t="shared" si="437" ref="AK375:AK397">SUM(AI375:AJ375)</f>
        <v>3418</v>
      </c>
    </row>
    <row r="376" spans="1:39" s="20" customFormat="1" ht="21" customHeight="1">
      <c r="A376" s="41"/>
      <c r="B376" s="55"/>
      <c r="C376" s="58">
        <v>4010</v>
      </c>
      <c r="D376" s="31" t="s">
        <v>79</v>
      </c>
      <c r="E376" s="54">
        <f>28577+467500+141137+61197</f>
        <v>698411</v>
      </c>
      <c r="F376" s="54"/>
      <c r="G376" s="54">
        <f t="shared" si="414"/>
        <v>698411</v>
      </c>
      <c r="H376" s="54"/>
      <c r="I376" s="54">
        <f t="shared" si="423"/>
        <v>698411</v>
      </c>
      <c r="J376" s="54"/>
      <c r="K376" s="54">
        <f t="shared" si="424"/>
        <v>698411</v>
      </c>
      <c r="L376" s="54">
        <f>20500+13050</f>
        <v>33550</v>
      </c>
      <c r="M376" s="54">
        <f t="shared" si="425"/>
        <v>731961</v>
      </c>
      <c r="N376" s="54"/>
      <c r="O376" s="54">
        <f t="shared" si="426"/>
        <v>731961</v>
      </c>
      <c r="P376" s="54"/>
      <c r="Q376" s="54">
        <f t="shared" si="427"/>
        <v>731961</v>
      </c>
      <c r="R376" s="54"/>
      <c r="S376" s="54">
        <f t="shared" si="428"/>
        <v>731961</v>
      </c>
      <c r="T376" s="54"/>
      <c r="U376" s="54">
        <f t="shared" si="429"/>
        <v>731961</v>
      </c>
      <c r="V376" s="54">
        <v>2750</v>
      </c>
      <c r="W376" s="54">
        <f t="shared" si="430"/>
        <v>734711</v>
      </c>
      <c r="X376" s="54">
        <v>11509</v>
      </c>
      <c r="Y376" s="54">
        <f t="shared" si="431"/>
        <v>746220</v>
      </c>
      <c r="Z376" s="54"/>
      <c r="AA376" s="54">
        <f t="shared" si="432"/>
        <v>746220</v>
      </c>
      <c r="AB376" s="54">
        <v>-31035</v>
      </c>
      <c r="AC376" s="54">
        <f t="shared" si="433"/>
        <v>715185</v>
      </c>
      <c r="AD376" s="54"/>
      <c r="AE376" s="54">
        <f t="shared" si="434"/>
        <v>715185</v>
      </c>
      <c r="AF376" s="54"/>
      <c r="AG376" s="54">
        <f t="shared" si="435"/>
        <v>715185</v>
      </c>
      <c r="AH376" s="54"/>
      <c r="AI376" s="54">
        <f t="shared" si="436"/>
        <v>715185</v>
      </c>
      <c r="AJ376" s="54"/>
      <c r="AK376" s="54">
        <f t="shared" si="437"/>
        <v>715185</v>
      </c>
      <c r="AL376" s="67"/>
      <c r="AM376" s="67"/>
    </row>
    <row r="377" spans="1:39" s="20" customFormat="1" ht="21" customHeight="1">
      <c r="A377" s="41"/>
      <c r="B377" s="55"/>
      <c r="C377" s="58">
        <v>4040</v>
      </c>
      <c r="D377" s="31" t="s">
        <v>80</v>
      </c>
      <c r="E377" s="54">
        <f>2774+32000+12500+4300</f>
        <v>51574</v>
      </c>
      <c r="F377" s="54"/>
      <c r="G377" s="54">
        <f t="shared" si="414"/>
        <v>51574</v>
      </c>
      <c r="H377" s="54"/>
      <c r="I377" s="54">
        <f t="shared" si="423"/>
        <v>51574</v>
      </c>
      <c r="J377" s="54"/>
      <c r="K377" s="54">
        <f t="shared" si="424"/>
        <v>51574</v>
      </c>
      <c r="L377" s="54"/>
      <c r="M377" s="54">
        <f t="shared" si="425"/>
        <v>51574</v>
      </c>
      <c r="N377" s="54"/>
      <c r="O377" s="54">
        <f t="shared" si="426"/>
        <v>51574</v>
      </c>
      <c r="P377" s="54"/>
      <c r="Q377" s="54">
        <f t="shared" si="427"/>
        <v>51574</v>
      </c>
      <c r="R377" s="54"/>
      <c r="S377" s="54">
        <f t="shared" si="428"/>
        <v>51574</v>
      </c>
      <c r="T377" s="54"/>
      <c r="U377" s="54">
        <f t="shared" si="429"/>
        <v>51574</v>
      </c>
      <c r="V377" s="54"/>
      <c r="W377" s="54">
        <f t="shared" si="430"/>
        <v>51574</v>
      </c>
      <c r="X377" s="54"/>
      <c r="Y377" s="54">
        <f t="shared" si="431"/>
        <v>51574</v>
      </c>
      <c r="Z377" s="54"/>
      <c r="AA377" s="54">
        <f t="shared" si="432"/>
        <v>51574</v>
      </c>
      <c r="AB377" s="54"/>
      <c r="AC377" s="54">
        <f t="shared" si="433"/>
        <v>51574</v>
      </c>
      <c r="AD377" s="54">
        <v>-45</v>
      </c>
      <c r="AE377" s="54">
        <f t="shared" si="434"/>
        <v>51529</v>
      </c>
      <c r="AF377" s="54">
        <f>-1896-302</f>
        <v>-2198</v>
      </c>
      <c r="AG377" s="54">
        <f t="shared" si="435"/>
        <v>49331</v>
      </c>
      <c r="AH377" s="54"/>
      <c r="AI377" s="54">
        <f t="shared" si="436"/>
        <v>49331</v>
      </c>
      <c r="AJ377" s="54"/>
      <c r="AK377" s="54">
        <f t="shared" si="437"/>
        <v>49331</v>
      </c>
      <c r="AL377" s="67"/>
      <c r="AM377" s="67"/>
    </row>
    <row r="378" spans="1:39" s="20" customFormat="1" ht="21" customHeight="1">
      <c r="A378" s="41"/>
      <c r="B378" s="55"/>
      <c r="C378" s="58">
        <v>4110</v>
      </c>
      <c r="D378" s="31" t="s">
        <v>81</v>
      </c>
      <c r="E378" s="54">
        <f>5234+72050+29130+10129</f>
        <v>116543</v>
      </c>
      <c r="F378" s="54"/>
      <c r="G378" s="54">
        <f t="shared" si="414"/>
        <v>116543</v>
      </c>
      <c r="H378" s="54"/>
      <c r="I378" s="54">
        <f t="shared" si="423"/>
        <v>116543</v>
      </c>
      <c r="J378" s="54"/>
      <c r="K378" s="54">
        <f t="shared" si="424"/>
        <v>116543</v>
      </c>
      <c r="L378" s="54">
        <v>2180</v>
      </c>
      <c r="M378" s="54">
        <f t="shared" si="425"/>
        <v>118723</v>
      </c>
      <c r="N378" s="54"/>
      <c r="O378" s="54">
        <f t="shared" si="426"/>
        <v>118723</v>
      </c>
      <c r="P378" s="54"/>
      <c r="Q378" s="54">
        <f t="shared" si="427"/>
        <v>118723</v>
      </c>
      <c r="R378" s="54"/>
      <c r="S378" s="54">
        <f t="shared" si="428"/>
        <v>118723</v>
      </c>
      <c r="T378" s="54"/>
      <c r="U378" s="54">
        <f t="shared" si="429"/>
        <v>118723</v>
      </c>
      <c r="V378" s="54"/>
      <c r="W378" s="54">
        <f t="shared" si="430"/>
        <v>118723</v>
      </c>
      <c r="X378" s="54"/>
      <c r="Y378" s="54">
        <f t="shared" si="431"/>
        <v>118723</v>
      </c>
      <c r="Z378" s="54"/>
      <c r="AA378" s="54">
        <f t="shared" si="432"/>
        <v>118723</v>
      </c>
      <c r="AB378" s="54">
        <v>-4000</v>
      </c>
      <c r="AC378" s="54">
        <f t="shared" si="433"/>
        <v>114723</v>
      </c>
      <c r="AD378" s="54"/>
      <c r="AE378" s="54">
        <f t="shared" si="434"/>
        <v>114723</v>
      </c>
      <c r="AF378" s="54">
        <v>2100</v>
      </c>
      <c r="AG378" s="54">
        <f t="shared" si="435"/>
        <v>116823</v>
      </c>
      <c r="AH378" s="54"/>
      <c r="AI378" s="54">
        <f t="shared" si="436"/>
        <v>116823</v>
      </c>
      <c r="AJ378" s="54"/>
      <c r="AK378" s="54">
        <f t="shared" si="437"/>
        <v>116823</v>
      </c>
      <c r="AL378" s="67"/>
      <c r="AM378" s="67"/>
    </row>
    <row r="379" spans="1:39" s="20" customFormat="1" ht="21" customHeight="1">
      <c r="A379" s="41"/>
      <c r="B379" s="55"/>
      <c r="C379" s="58">
        <v>4120</v>
      </c>
      <c r="D379" s="31" t="s">
        <v>82</v>
      </c>
      <c r="E379" s="54">
        <f>768+11250+4399+1578</f>
        <v>17995</v>
      </c>
      <c r="F379" s="54"/>
      <c r="G379" s="54">
        <f t="shared" si="414"/>
        <v>17995</v>
      </c>
      <c r="H379" s="54"/>
      <c r="I379" s="54">
        <f t="shared" si="423"/>
        <v>17995</v>
      </c>
      <c r="J379" s="54"/>
      <c r="K379" s="54">
        <f t="shared" si="424"/>
        <v>17995</v>
      </c>
      <c r="L379" s="54">
        <v>320</v>
      </c>
      <c r="M379" s="54">
        <f t="shared" si="425"/>
        <v>18315</v>
      </c>
      <c r="N379" s="54"/>
      <c r="O379" s="54">
        <f t="shared" si="426"/>
        <v>18315</v>
      </c>
      <c r="P379" s="54"/>
      <c r="Q379" s="54">
        <f t="shared" si="427"/>
        <v>18315</v>
      </c>
      <c r="R379" s="54"/>
      <c r="S379" s="54">
        <f t="shared" si="428"/>
        <v>18315</v>
      </c>
      <c r="T379" s="54"/>
      <c r="U379" s="54">
        <f t="shared" si="429"/>
        <v>18315</v>
      </c>
      <c r="V379" s="54"/>
      <c r="W379" s="54">
        <f t="shared" si="430"/>
        <v>18315</v>
      </c>
      <c r="X379" s="54"/>
      <c r="Y379" s="54">
        <f t="shared" si="431"/>
        <v>18315</v>
      </c>
      <c r="Z379" s="54"/>
      <c r="AA379" s="54">
        <f t="shared" si="432"/>
        <v>18315</v>
      </c>
      <c r="AB379" s="54">
        <v>-800</v>
      </c>
      <c r="AC379" s="54">
        <f t="shared" si="433"/>
        <v>17515</v>
      </c>
      <c r="AD379" s="54"/>
      <c r="AE379" s="54">
        <f t="shared" si="434"/>
        <v>17515</v>
      </c>
      <c r="AF379" s="54">
        <v>98</v>
      </c>
      <c r="AG379" s="54">
        <f t="shared" si="435"/>
        <v>17613</v>
      </c>
      <c r="AH379" s="54"/>
      <c r="AI379" s="54">
        <f t="shared" si="436"/>
        <v>17613</v>
      </c>
      <c r="AJ379" s="54"/>
      <c r="AK379" s="54">
        <f t="shared" si="437"/>
        <v>17613</v>
      </c>
      <c r="AL379" s="67"/>
      <c r="AM379" s="67"/>
    </row>
    <row r="380" spans="1:39" s="20" customFormat="1" ht="21" customHeight="1">
      <c r="A380" s="41"/>
      <c r="B380" s="55"/>
      <c r="C380" s="58">
        <v>4170</v>
      </c>
      <c r="D380" s="31" t="s">
        <v>161</v>
      </c>
      <c r="E380" s="54">
        <f>13200+6240</f>
        <v>19440</v>
      </c>
      <c r="F380" s="54"/>
      <c r="G380" s="54">
        <f t="shared" si="414"/>
        <v>19440</v>
      </c>
      <c r="H380" s="54"/>
      <c r="I380" s="54">
        <f t="shared" si="423"/>
        <v>19440</v>
      </c>
      <c r="J380" s="54"/>
      <c r="K380" s="54">
        <f t="shared" si="424"/>
        <v>19440</v>
      </c>
      <c r="L380" s="54"/>
      <c r="M380" s="54">
        <f t="shared" si="425"/>
        <v>19440</v>
      </c>
      <c r="N380" s="54"/>
      <c r="O380" s="54">
        <f t="shared" si="426"/>
        <v>19440</v>
      </c>
      <c r="P380" s="54"/>
      <c r="Q380" s="54">
        <f t="shared" si="427"/>
        <v>19440</v>
      </c>
      <c r="R380" s="54">
        <v>-12200</v>
      </c>
      <c r="S380" s="54">
        <f t="shared" si="428"/>
        <v>7240</v>
      </c>
      <c r="T380" s="54"/>
      <c r="U380" s="54">
        <f t="shared" si="429"/>
        <v>7240</v>
      </c>
      <c r="V380" s="54"/>
      <c r="W380" s="54">
        <f t="shared" si="430"/>
        <v>7240</v>
      </c>
      <c r="X380" s="54"/>
      <c r="Y380" s="54">
        <f t="shared" si="431"/>
        <v>7240</v>
      </c>
      <c r="Z380" s="54"/>
      <c r="AA380" s="54">
        <f t="shared" si="432"/>
        <v>7240</v>
      </c>
      <c r="AB380" s="54"/>
      <c r="AC380" s="54">
        <f t="shared" si="433"/>
        <v>7240</v>
      </c>
      <c r="AD380" s="54"/>
      <c r="AE380" s="54">
        <f t="shared" si="434"/>
        <v>7240</v>
      </c>
      <c r="AF380" s="54">
        <v>1988</v>
      </c>
      <c r="AG380" s="54">
        <f t="shared" si="435"/>
        <v>9228</v>
      </c>
      <c r="AH380" s="54"/>
      <c r="AI380" s="54">
        <f t="shared" si="436"/>
        <v>9228</v>
      </c>
      <c r="AJ380" s="54"/>
      <c r="AK380" s="54">
        <f t="shared" si="437"/>
        <v>9228</v>
      </c>
      <c r="AL380" s="67"/>
      <c r="AM380" s="67"/>
    </row>
    <row r="381" spans="1:37" s="20" customFormat="1" ht="21" customHeight="1">
      <c r="A381" s="41"/>
      <c r="B381" s="55"/>
      <c r="C381" s="58">
        <v>4210</v>
      </c>
      <c r="D381" s="31" t="s">
        <v>86</v>
      </c>
      <c r="E381" s="54">
        <f>2800+22500+11100</f>
        <v>36400</v>
      </c>
      <c r="F381" s="54"/>
      <c r="G381" s="54">
        <f t="shared" si="414"/>
        <v>36400</v>
      </c>
      <c r="H381" s="54"/>
      <c r="I381" s="54">
        <f t="shared" si="423"/>
        <v>36400</v>
      </c>
      <c r="J381" s="54"/>
      <c r="K381" s="54">
        <f t="shared" si="424"/>
        <v>36400</v>
      </c>
      <c r="L381" s="54"/>
      <c r="M381" s="54">
        <f t="shared" si="425"/>
        <v>36400</v>
      </c>
      <c r="N381" s="54"/>
      <c r="O381" s="54">
        <f t="shared" si="426"/>
        <v>36400</v>
      </c>
      <c r="P381" s="54"/>
      <c r="Q381" s="54">
        <f t="shared" si="427"/>
        <v>36400</v>
      </c>
      <c r="R381" s="54"/>
      <c r="S381" s="54">
        <f t="shared" si="428"/>
        <v>36400</v>
      </c>
      <c r="T381" s="54"/>
      <c r="U381" s="54">
        <f t="shared" si="429"/>
        <v>36400</v>
      </c>
      <c r="V381" s="54"/>
      <c r="W381" s="54">
        <f t="shared" si="430"/>
        <v>36400</v>
      </c>
      <c r="X381" s="54"/>
      <c r="Y381" s="54">
        <f t="shared" si="431"/>
        <v>36400</v>
      </c>
      <c r="Z381" s="54">
        <v>1014</v>
      </c>
      <c r="AA381" s="54">
        <f t="shared" si="432"/>
        <v>37414</v>
      </c>
      <c r="AB381" s="54"/>
      <c r="AC381" s="54">
        <f t="shared" si="433"/>
        <v>37414</v>
      </c>
      <c r="AD381" s="54">
        <v>152</v>
      </c>
      <c r="AE381" s="54">
        <f t="shared" si="434"/>
        <v>37566</v>
      </c>
      <c r="AF381" s="54">
        <v>-959</v>
      </c>
      <c r="AG381" s="54">
        <f t="shared" si="435"/>
        <v>36607</v>
      </c>
      <c r="AH381" s="54">
        <v>557</v>
      </c>
      <c r="AI381" s="54">
        <f t="shared" si="436"/>
        <v>37164</v>
      </c>
      <c r="AJ381" s="54"/>
      <c r="AK381" s="54">
        <f t="shared" si="437"/>
        <v>37164</v>
      </c>
    </row>
    <row r="382" spans="1:37" s="20" customFormat="1" ht="21" customHeight="1">
      <c r="A382" s="41"/>
      <c r="B382" s="55"/>
      <c r="C382" s="58">
        <v>4220</v>
      </c>
      <c r="D382" s="31" t="s">
        <v>149</v>
      </c>
      <c r="E382" s="54">
        <v>150000</v>
      </c>
      <c r="F382" s="54"/>
      <c r="G382" s="54">
        <f t="shared" si="414"/>
        <v>150000</v>
      </c>
      <c r="H382" s="54"/>
      <c r="I382" s="54">
        <f t="shared" si="423"/>
        <v>150000</v>
      </c>
      <c r="J382" s="54"/>
      <c r="K382" s="54">
        <f t="shared" si="424"/>
        <v>150000</v>
      </c>
      <c r="L382" s="54"/>
      <c r="M382" s="54">
        <f t="shared" si="425"/>
        <v>150000</v>
      </c>
      <c r="N382" s="54"/>
      <c r="O382" s="54">
        <f t="shared" si="426"/>
        <v>150000</v>
      </c>
      <c r="P382" s="54"/>
      <c r="Q382" s="54">
        <f t="shared" si="427"/>
        <v>150000</v>
      </c>
      <c r="R382" s="54"/>
      <c r="S382" s="54">
        <f t="shared" si="428"/>
        <v>150000</v>
      </c>
      <c r="T382" s="54"/>
      <c r="U382" s="54">
        <f t="shared" si="429"/>
        <v>150000</v>
      </c>
      <c r="V382" s="54"/>
      <c r="W382" s="54">
        <f t="shared" si="430"/>
        <v>150000</v>
      </c>
      <c r="X382" s="54"/>
      <c r="Y382" s="54">
        <f t="shared" si="431"/>
        <v>150000</v>
      </c>
      <c r="Z382" s="54"/>
      <c r="AA382" s="54">
        <f t="shared" si="432"/>
        <v>150000</v>
      </c>
      <c r="AB382" s="54"/>
      <c r="AC382" s="54">
        <f t="shared" si="433"/>
        <v>150000</v>
      </c>
      <c r="AD382" s="54">
        <v>30000</v>
      </c>
      <c r="AE382" s="54">
        <f t="shared" si="434"/>
        <v>180000</v>
      </c>
      <c r="AF382" s="54"/>
      <c r="AG382" s="54">
        <f t="shared" si="435"/>
        <v>180000</v>
      </c>
      <c r="AH382" s="54"/>
      <c r="AI382" s="54">
        <f t="shared" si="436"/>
        <v>180000</v>
      </c>
      <c r="AJ382" s="54"/>
      <c r="AK382" s="54">
        <f t="shared" si="437"/>
        <v>180000</v>
      </c>
    </row>
    <row r="383" spans="1:37" s="20" customFormat="1" ht="21" customHeight="1">
      <c r="A383" s="41"/>
      <c r="B383" s="55"/>
      <c r="C383" s="58">
        <v>4260</v>
      </c>
      <c r="D383" s="31" t="s">
        <v>88</v>
      </c>
      <c r="E383" s="54">
        <f>4700+9855</f>
        <v>14555</v>
      </c>
      <c r="F383" s="54"/>
      <c r="G383" s="54">
        <f t="shared" si="414"/>
        <v>14555</v>
      </c>
      <c r="H383" s="54"/>
      <c r="I383" s="54">
        <f t="shared" si="423"/>
        <v>14555</v>
      </c>
      <c r="J383" s="54"/>
      <c r="K383" s="54">
        <f t="shared" si="424"/>
        <v>14555</v>
      </c>
      <c r="L383" s="54"/>
      <c r="M383" s="54">
        <f t="shared" si="425"/>
        <v>14555</v>
      </c>
      <c r="N383" s="54"/>
      <c r="O383" s="54">
        <f t="shared" si="426"/>
        <v>14555</v>
      </c>
      <c r="P383" s="54"/>
      <c r="Q383" s="54">
        <f t="shared" si="427"/>
        <v>14555</v>
      </c>
      <c r="R383" s="54"/>
      <c r="S383" s="54">
        <f t="shared" si="428"/>
        <v>14555</v>
      </c>
      <c r="T383" s="54"/>
      <c r="U383" s="54">
        <f t="shared" si="429"/>
        <v>14555</v>
      </c>
      <c r="V383" s="54"/>
      <c r="W383" s="54">
        <f t="shared" si="430"/>
        <v>14555</v>
      </c>
      <c r="X383" s="54"/>
      <c r="Y383" s="54">
        <f t="shared" si="431"/>
        <v>14555</v>
      </c>
      <c r="Z383" s="54">
        <v>800</v>
      </c>
      <c r="AA383" s="54">
        <f t="shared" si="432"/>
        <v>15355</v>
      </c>
      <c r="AB383" s="54"/>
      <c r="AC383" s="54">
        <f t="shared" si="433"/>
        <v>15355</v>
      </c>
      <c r="AD383" s="54"/>
      <c r="AE383" s="54">
        <f t="shared" si="434"/>
        <v>15355</v>
      </c>
      <c r="AF383" s="54">
        <f>767+683</f>
        <v>1450</v>
      </c>
      <c r="AG383" s="54">
        <f t="shared" si="435"/>
        <v>16805</v>
      </c>
      <c r="AH383" s="54"/>
      <c r="AI383" s="54">
        <f t="shared" si="436"/>
        <v>16805</v>
      </c>
      <c r="AJ383" s="54"/>
      <c r="AK383" s="54">
        <f t="shared" si="437"/>
        <v>16805</v>
      </c>
    </row>
    <row r="384" spans="1:37" s="20" customFormat="1" ht="21" customHeight="1">
      <c r="A384" s="41"/>
      <c r="B384" s="55"/>
      <c r="C384" s="58">
        <v>4270</v>
      </c>
      <c r="D384" s="31" t="s">
        <v>74</v>
      </c>
      <c r="E384" s="54">
        <f>2000+2000</f>
        <v>4000</v>
      </c>
      <c r="F384" s="54"/>
      <c r="G384" s="54">
        <f t="shared" si="414"/>
        <v>4000</v>
      </c>
      <c r="H384" s="54"/>
      <c r="I384" s="54">
        <f t="shared" si="423"/>
        <v>4000</v>
      </c>
      <c r="J384" s="54"/>
      <c r="K384" s="54">
        <f t="shared" si="424"/>
        <v>4000</v>
      </c>
      <c r="L384" s="54"/>
      <c r="M384" s="54">
        <f t="shared" si="425"/>
        <v>4000</v>
      </c>
      <c r="N384" s="54"/>
      <c r="O384" s="54">
        <f t="shared" si="426"/>
        <v>4000</v>
      </c>
      <c r="P384" s="54"/>
      <c r="Q384" s="54">
        <f t="shared" si="427"/>
        <v>4000</v>
      </c>
      <c r="R384" s="54"/>
      <c r="S384" s="54">
        <f t="shared" si="428"/>
        <v>4000</v>
      </c>
      <c r="T384" s="54"/>
      <c r="U384" s="54">
        <f t="shared" si="429"/>
        <v>4000</v>
      </c>
      <c r="V384" s="54"/>
      <c r="W384" s="54">
        <f t="shared" si="430"/>
        <v>4000</v>
      </c>
      <c r="X384" s="54"/>
      <c r="Y384" s="54">
        <f t="shared" si="431"/>
        <v>4000</v>
      </c>
      <c r="Z384" s="54"/>
      <c r="AA384" s="54">
        <f t="shared" si="432"/>
        <v>4000</v>
      </c>
      <c r="AB384" s="54"/>
      <c r="AC384" s="54">
        <f t="shared" si="433"/>
        <v>4000</v>
      </c>
      <c r="AD384" s="54"/>
      <c r="AE384" s="54">
        <f t="shared" si="434"/>
        <v>4000</v>
      </c>
      <c r="AF384" s="54">
        <f>-1900-1335</f>
        <v>-3235</v>
      </c>
      <c r="AG384" s="54">
        <f t="shared" si="435"/>
        <v>765</v>
      </c>
      <c r="AH384" s="54"/>
      <c r="AI384" s="54">
        <f t="shared" si="436"/>
        <v>765</v>
      </c>
      <c r="AJ384" s="54"/>
      <c r="AK384" s="54">
        <f t="shared" si="437"/>
        <v>765</v>
      </c>
    </row>
    <row r="385" spans="1:37" s="20" customFormat="1" ht="21" customHeight="1">
      <c r="A385" s="41"/>
      <c r="B385" s="55"/>
      <c r="C385" s="58">
        <v>4280</v>
      </c>
      <c r="D385" s="31" t="s">
        <v>336</v>
      </c>
      <c r="E385" s="54">
        <f>1000+350</f>
        <v>1350</v>
      </c>
      <c r="F385" s="54"/>
      <c r="G385" s="54">
        <f t="shared" si="414"/>
        <v>1350</v>
      </c>
      <c r="H385" s="54"/>
      <c r="I385" s="54">
        <f t="shared" si="423"/>
        <v>1350</v>
      </c>
      <c r="J385" s="54"/>
      <c r="K385" s="54">
        <f t="shared" si="424"/>
        <v>1350</v>
      </c>
      <c r="L385" s="54"/>
      <c r="M385" s="54">
        <f t="shared" si="425"/>
        <v>1350</v>
      </c>
      <c r="N385" s="54"/>
      <c r="O385" s="54">
        <f t="shared" si="426"/>
        <v>1350</v>
      </c>
      <c r="P385" s="54"/>
      <c r="Q385" s="54">
        <f t="shared" si="427"/>
        <v>1350</v>
      </c>
      <c r="R385" s="54"/>
      <c r="S385" s="54">
        <f t="shared" si="428"/>
        <v>1350</v>
      </c>
      <c r="T385" s="54"/>
      <c r="U385" s="54">
        <f t="shared" si="429"/>
        <v>1350</v>
      </c>
      <c r="V385" s="54"/>
      <c r="W385" s="54">
        <f t="shared" si="430"/>
        <v>1350</v>
      </c>
      <c r="X385" s="54"/>
      <c r="Y385" s="54">
        <f t="shared" si="431"/>
        <v>1350</v>
      </c>
      <c r="Z385" s="54"/>
      <c r="AA385" s="54">
        <f t="shared" si="432"/>
        <v>1350</v>
      </c>
      <c r="AB385" s="54"/>
      <c r="AC385" s="54">
        <f t="shared" si="433"/>
        <v>1350</v>
      </c>
      <c r="AD385" s="54"/>
      <c r="AE385" s="54">
        <f t="shared" si="434"/>
        <v>1350</v>
      </c>
      <c r="AF385" s="54">
        <v>238</v>
      </c>
      <c r="AG385" s="54">
        <f t="shared" si="435"/>
        <v>1588</v>
      </c>
      <c r="AH385" s="54"/>
      <c r="AI385" s="54">
        <f t="shared" si="436"/>
        <v>1588</v>
      </c>
      <c r="AJ385" s="54"/>
      <c r="AK385" s="54">
        <f t="shared" si="437"/>
        <v>1588</v>
      </c>
    </row>
    <row r="386" spans="1:37" s="20" customFormat="1" ht="21" customHeight="1">
      <c r="A386" s="41"/>
      <c r="B386" s="55"/>
      <c r="C386" s="58">
        <v>4300</v>
      </c>
      <c r="D386" s="31" t="s">
        <v>75</v>
      </c>
      <c r="E386" s="54">
        <f>42600+32639+10790</f>
        <v>86029</v>
      </c>
      <c r="F386" s="54"/>
      <c r="G386" s="54">
        <f t="shared" si="414"/>
        <v>86029</v>
      </c>
      <c r="H386" s="54"/>
      <c r="I386" s="54">
        <f t="shared" si="423"/>
        <v>86029</v>
      </c>
      <c r="J386" s="54"/>
      <c r="K386" s="54">
        <f t="shared" si="424"/>
        <v>86029</v>
      </c>
      <c r="L386" s="54"/>
      <c r="M386" s="54">
        <f t="shared" si="425"/>
        <v>86029</v>
      </c>
      <c r="N386" s="54"/>
      <c r="O386" s="54">
        <f t="shared" si="426"/>
        <v>86029</v>
      </c>
      <c r="P386" s="54"/>
      <c r="Q386" s="54">
        <f t="shared" si="427"/>
        <v>86029</v>
      </c>
      <c r="R386" s="54">
        <v>12200</v>
      </c>
      <c r="S386" s="54">
        <f t="shared" si="428"/>
        <v>98229</v>
      </c>
      <c r="T386" s="54"/>
      <c r="U386" s="54">
        <f t="shared" si="429"/>
        <v>98229</v>
      </c>
      <c r="V386" s="54"/>
      <c r="W386" s="54">
        <f t="shared" si="430"/>
        <v>98229</v>
      </c>
      <c r="X386" s="54"/>
      <c r="Y386" s="54">
        <f t="shared" si="431"/>
        <v>98229</v>
      </c>
      <c r="Z386" s="141"/>
      <c r="AA386" s="54">
        <f t="shared" si="432"/>
        <v>98229</v>
      </c>
      <c r="AB386" s="141"/>
      <c r="AC386" s="54">
        <f t="shared" si="433"/>
        <v>98229</v>
      </c>
      <c r="AD386" s="141"/>
      <c r="AE386" s="54">
        <f t="shared" si="434"/>
        <v>98229</v>
      </c>
      <c r="AF386" s="141">
        <v>7000</v>
      </c>
      <c r="AG386" s="54">
        <f t="shared" si="435"/>
        <v>105229</v>
      </c>
      <c r="AH386" s="141">
        <v>1000</v>
      </c>
      <c r="AI386" s="54">
        <f t="shared" si="436"/>
        <v>106229</v>
      </c>
      <c r="AJ386" s="141"/>
      <c r="AK386" s="54">
        <f t="shared" si="437"/>
        <v>106229</v>
      </c>
    </row>
    <row r="387" spans="1:37" s="20" customFormat="1" ht="21" customHeight="1">
      <c r="A387" s="41"/>
      <c r="B387" s="55"/>
      <c r="C387" s="58">
        <v>4350</v>
      </c>
      <c r="D387" s="31" t="s">
        <v>169</v>
      </c>
      <c r="E387" s="54">
        <f>550+627</f>
        <v>1177</v>
      </c>
      <c r="F387" s="54"/>
      <c r="G387" s="54">
        <f t="shared" si="414"/>
        <v>1177</v>
      </c>
      <c r="H387" s="54"/>
      <c r="I387" s="54">
        <f t="shared" si="423"/>
        <v>1177</v>
      </c>
      <c r="J387" s="54"/>
      <c r="K387" s="54">
        <f t="shared" si="424"/>
        <v>1177</v>
      </c>
      <c r="L387" s="54"/>
      <c r="M387" s="54">
        <f t="shared" si="425"/>
        <v>1177</v>
      </c>
      <c r="N387" s="54"/>
      <c r="O387" s="54">
        <f t="shared" si="426"/>
        <v>1177</v>
      </c>
      <c r="P387" s="54"/>
      <c r="Q387" s="54">
        <f t="shared" si="427"/>
        <v>1177</v>
      </c>
      <c r="R387" s="54"/>
      <c r="S387" s="54">
        <f t="shared" si="428"/>
        <v>1177</v>
      </c>
      <c r="T387" s="54"/>
      <c r="U387" s="54">
        <f t="shared" si="429"/>
        <v>1177</v>
      </c>
      <c r="V387" s="54"/>
      <c r="W387" s="54">
        <f t="shared" si="430"/>
        <v>1177</v>
      </c>
      <c r="X387" s="54"/>
      <c r="Y387" s="54">
        <f t="shared" si="431"/>
        <v>1177</v>
      </c>
      <c r="Z387" s="54"/>
      <c r="AA387" s="54">
        <f t="shared" si="432"/>
        <v>1177</v>
      </c>
      <c r="AB387" s="54"/>
      <c r="AC387" s="54">
        <f t="shared" si="433"/>
        <v>1177</v>
      </c>
      <c r="AD387" s="54"/>
      <c r="AE387" s="54">
        <f t="shared" si="434"/>
        <v>1177</v>
      </c>
      <c r="AF387" s="54"/>
      <c r="AG387" s="54">
        <f t="shared" si="435"/>
        <v>1177</v>
      </c>
      <c r="AH387" s="54"/>
      <c r="AI387" s="54">
        <f t="shared" si="436"/>
        <v>1177</v>
      </c>
      <c r="AJ387" s="54"/>
      <c r="AK387" s="54">
        <f t="shared" si="437"/>
        <v>1177</v>
      </c>
    </row>
    <row r="388" spans="1:37" s="20" customFormat="1" ht="27" customHeight="1">
      <c r="A388" s="41"/>
      <c r="B388" s="55"/>
      <c r="C388" s="58">
        <v>4360</v>
      </c>
      <c r="D388" s="31" t="s">
        <v>317</v>
      </c>
      <c r="E388" s="54">
        <v>732</v>
      </c>
      <c r="F388" s="54"/>
      <c r="G388" s="54">
        <f t="shared" si="414"/>
        <v>732</v>
      </c>
      <c r="H388" s="54"/>
      <c r="I388" s="54">
        <f t="shared" si="423"/>
        <v>732</v>
      </c>
      <c r="J388" s="54"/>
      <c r="K388" s="54">
        <f t="shared" si="424"/>
        <v>732</v>
      </c>
      <c r="L388" s="54"/>
      <c r="M388" s="54">
        <f t="shared" si="425"/>
        <v>732</v>
      </c>
      <c r="N388" s="54"/>
      <c r="O388" s="54">
        <f t="shared" si="426"/>
        <v>732</v>
      </c>
      <c r="P388" s="54"/>
      <c r="Q388" s="54">
        <f t="shared" si="427"/>
        <v>732</v>
      </c>
      <c r="R388" s="54"/>
      <c r="S388" s="54">
        <f t="shared" si="428"/>
        <v>732</v>
      </c>
      <c r="T388" s="54"/>
      <c r="U388" s="54">
        <f t="shared" si="429"/>
        <v>732</v>
      </c>
      <c r="V388" s="54"/>
      <c r="W388" s="54">
        <f t="shared" si="430"/>
        <v>732</v>
      </c>
      <c r="X388" s="54"/>
      <c r="Y388" s="54">
        <f t="shared" si="431"/>
        <v>732</v>
      </c>
      <c r="Z388" s="54"/>
      <c r="AA388" s="54">
        <f t="shared" si="432"/>
        <v>732</v>
      </c>
      <c r="AB388" s="54"/>
      <c r="AC388" s="54">
        <f t="shared" si="433"/>
        <v>732</v>
      </c>
      <c r="AD388" s="54"/>
      <c r="AE388" s="54">
        <f t="shared" si="434"/>
        <v>732</v>
      </c>
      <c r="AF388" s="54"/>
      <c r="AG388" s="54">
        <f t="shared" si="435"/>
        <v>732</v>
      </c>
      <c r="AH388" s="54"/>
      <c r="AI388" s="54">
        <f t="shared" si="436"/>
        <v>732</v>
      </c>
      <c r="AJ388" s="54"/>
      <c r="AK388" s="54">
        <f t="shared" si="437"/>
        <v>732</v>
      </c>
    </row>
    <row r="389" spans="1:37" s="20" customFormat="1" ht="27" customHeight="1">
      <c r="A389" s="41"/>
      <c r="B389" s="55"/>
      <c r="C389" s="58">
        <v>4370</v>
      </c>
      <c r="D389" s="31" t="s">
        <v>182</v>
      </c>
      <c r="E389" s="54">
        <f>2500+7800+480</f>
        <v>10780</v>
      </c>
      <c r="F389" s="54"/>
      <c r="G389" s="54">
        <f t="shared" si="414"/>
        <v>10780</v>
      </c>
      <c r="H389" s="54"/>
      <c r="I389" s="54">
        <f t="shared" si="423"/>
        <v>10780</v>
      </c>
      <c r="J389" s="54"/>
      <c r="K389" s="54">
        <f t="shared" si="424"/>
        <v>10780</v>
      </c>
      <c r="L389" s="54"/>
      <c r="M389" s="54">
        <f t="shared" si="425"/>
        <v>10780</v>
      </c>
      <c r="N389" s="54"/>
      <c r="O389" s="54">
        <f t="shared" si="426"/>
        <v>10780</v>
      </c>
      <c r="P389" s="54"/>
      <c r="Q389" s="54">
        <f t="shared" si="427"/>
        <v>10780</v>
      </c>
      <c r="R389" s="54"/>
      <c r="S389" s="54">
        <f t="shared" si="428"/>
        <v>10780</v>
      </c>
      <c r="T389" s="54"/>
      <c r="U389" s="54">
        <f t="shared" si="429"/>
        <v>10780</v>
      </c>
      <c r="V389" s="54"/>
      <c r="W389" s="54">
        <f t="shared" si="430"/>
        <v>10780</v>
      </c>
      <c r="X389" s="54"/>
      <c r="Y389" s="54">
        <f t="shared" si="431"/>
        <v>10780</v>
      </c>
      <c r="Z389" s="54"/>
      <c r="AA389" s="54">
        <f t="shared" si="432"/>
        <v>10780</v>
      </c>
      <c r="AB389" s="54"/>
      <c r="AC389" s="54">
        <f t="shared" si="433"/>
        <v>10780</v>
      </c>
      <c r="AD389" s="54"/>
      <c r="AE389" s="54">
        <f t="shared" si="434"/>
        <v>10780</v>
      </c>
      <c r="AF389" s="54">
        <v>-1420</v>
      </c>
      <c r="AG389" s="54">
        <f t="shared" si="435"/>
        <v>9360</v>
      </c>
      <c r="AH389" s="54">
        <f>-326-557</f>
        <v>-883</v>
      </c>
      <c r="AI389" s="54">
        <f t="shared" si="436"/>
        <v>8477</v>
      </c>
      <c r="AJ389" s="54"/>
      <c r="AK389" s="54">
        <f t="shared" si="437"/>
        <v>8477</v>
      </c>
    </row>
    <row r="390" spans="1:37" s="20" customFormat="1" ht="27" customHeight="1">
      <c r="A390" s="41"/>
      <c r="B390" s="55"/>
      <c r="C390" s="58">
        <v>4400</v>
      </c>
      <c r="D390" s="31" t="s">
        <v>186</v>
      </c>
      <c r="E390" s="54">
        <f>2104+58671+12501</f>
        <v>73276</v>
      </c>
      <c r="F390" s="54"/>
      <c r="G390" s="54">
        <f t="shared" si="414"/>
        <v>73276</v>
      </c>
      <c r="H390" s="54"/>
      <c r="I390" s="54">
        <f t="shared" si="423"/>
        <v>73276</v>
      </c>
      <c r="J390" s="54"/>
      <c r="K390" s="54">
        <f t="shared" si="424"/>
        <v>73276</v>
      </c>
      <c r="L390" s="54"/>
      <c r="M390" s="54">
        <f t="shared" si="425"/>
        <v>73276</v>
      </c>
      <c r="N390" s="54"/>
      <c r="O390" s="54">
        <f t="shared" si="426"/>
        <v>73276</v>
      </c>
      <c r="P390" s="54"/>
      <c r="Q390" s="54">
        <f t="shared" si="427"/>
        <v>73276</v>
      </c>
      <c r="R390" s="54"/>
      <c r="S390" s="54">
        <f t="shared" si="428"/>
        <v>73276</v>
      </c>
      <c r="T390" s="54"/>
      <c r="U390" s="54">
        <f t="shared" si="429"/>
        <v>73276</v>
      </c>
      <c r="V390" s="54"/>
      <c r="W390" s="54">
        <f t="shared" si="430"/>
        <v>73276</v>
      </c>
      <c r="X390" s="54"/>
      <c r="Y390" s="54">
        <f t="shared" si="431"/>
        <v>73276</v>
      </c>
      <c r="Z390" s="54">
        <v>-1200</v>
      </c>
      <c r="AA390" s="54">
        <f t="shared" si="432"/>
        <v>72076</v>
      </c>
      <c r="AB390" s="54"/>
      <c r="AC390" s="54">
        <f t="shared" si="433"/>
        <v>72076</v>
      </c>
      <c r="AD390" s="54"/>
      <c r="AE390" s="54">
        <f t="shared" si="434"/>
        <v>72076</v>
      </c>
      <c r="AF390" s="54">
        <v>-3945</v>
      </c>
      <c r="AG390" s="54">
        <f t="shared" si="435"/>
        <v>68131</v>
      </c>
      <c r="AH390" s="54">
        <v>232</v>
      </c>
      <c r="AI390" s="54">
        <f t="shared" si="436"/>
        <v>68363</v>
      </c>
      <c r="AJ390" s="54"/>
      <c r="AK390" s="54">
        <f t="shared" si="437"/>
        <v>68363</v>
      </c>
    </row>
    <row r="391" spans="1:37" s="20" customFormat="1" ht="21" customHeight="1">
      <c r="A391" s="41"/>
      <c r="B391" s="55"/>
      <c r="C391" s="58">
        <v>4410</v>
      </c>
      <c r="D391" s="31" t="s">
        <v>85</v>
      </c>
      <c r="E391" s="54">
        <f>447+11015</f>
        <v>11462</v>
      </c>
      <c r="F391" s="54"/>
      <c r="G391" s="54">
        <f t="shared" si="414"/>
        <v>11462</v>
      </c>
      <c r="H391" s="54"/>
      <c r="I391" s="54">
        <f t="shared" si="423"/>
        <v>11462</v>
      </c>
      <c r="J391" s="54"/>
      <c r="K391" s="54">
        <f t="shared" si="424"/>
        <v>11462</v>
      </c>
      <c r="L391" s="54"/>
      <c r="M391" s="54">
        <f t="shared" si="425"/>
        <v>11462</v>
      </c>
      <c r="N391" s="54"/>
      <c r="O391" s="54">
        <f t="shared" si="426"/>
        <v>11462</v>
      </c>
      <c r="P391" s="54"/>
      <c r="Q391" s="54">
        <f t="shared" si="427"/>
        <v>11462</v>
      </c>
      <c r="R391" s="54"/>
      <c r="S391" s="54">
        <f t="shared" si="428"/>
        <v>11462</v>
      </c>
      <c r="T391" s="54"/>
      <c r="U391" s="54">
        <f t="shared" si="429"/>
        <v>11462</v>
      </c>
      <c r="V391" s="54"/>
      <c r="W391" s="54">
        <f t="shared" si="430"/>
        <v>11462</v>
      </c>
      <c r="X391" s="54"/>
      <c r="Y391" s="54">
        <f t="shared" si="431"/>
        <v>11462</v>
      </c>
      <c r="Z391" s="54"/>
      <c r="AA391" s="54">
        <f t="shared" si="432"/>
        <v>11462</v>
      </c>
      <c r="AB391" s="54"/>
      <c r="AC391" s="54">
        <f t="shared" si="433"/>
        <v>11462</v>
      </c>
      <c r="AD391" s="54">
        <v>-149</v>
      </c>
      <c r="AE391" s="54">
        <f t="shared" si="434"/>
        <v>11313</v>
      </c>
      <c r="AF391" s="54">
        <v>700</v>
      </c>
      <c r="AG391" s="54">
        <f t="shared" si="435"/>
        <v>12013</v>
      </c>
      <c r="AH391" s="54">
        <v>336</v>
      </c>
      <c r="AI391" s="54">
        <f t="shared" si="436"/>
        <v>12349</v>
      </c>
      <c r="AJ391" s="54"/>
      <c r="AK391" s="54">
        <f t="shared" si="437"/>
        <v>12349</v>
      </c>
    </row>
    <row r="392" spans="1:37" s="20" customFormat="1" ht="21" customHeight="1">
      <c r="A392" s="41"/>
      <c r="B392" s="55"/>
      <c r="C392" s="58">
        <v>4430</v>
      </c>
      <c r="D392" s="31" t="s">
        <v>87</v>
      </c>
      <c r="E392" s="54">
        <f>2430</f>
        <v>2430</v>
      </c>
      <c r="F392" s="54"/>
      <c r="G392" s="54">
        <f t="shared" si="414"/>
        <v>2430</v>
      </c>
      <c r="H392" s="54"/>
      <c r="I392" s="54">
        <f t="shared" si="423"/>
        <v>2430</v>
      </c>
      <c r="J392" s="54"/>
      <c r="K392" s="54">
        <f t="shared" si="424"/>
        <v>2430</v>
      </c>
      <c r="L392" s="54"/>
      <c r="M392" s="54">
        <f t="shared" si="425"/>
        <v>2430</v>
      </c>
      <c r="N392" s="54"/>
      <c r="O392" s="54">
        <f t="shared" si="426"/>
        <v>2430</v>
      </c>
      <c r="P392" s="54"/>
      <c r="Q392" s="54">
        <f t="shared" si="427"/>
        <v>2430</v>
      </c>
      <c r="R392" s="54"/>
      <c r="S392" s="54">
        <f t="shared" si="428"/>
        <v>2430</v>
      </c>
      <c r="T392" s="54"/>
      <c r="U392" s="54">
        <f t="shared" si="429"/>
        <v>2430</v>
      </c>
      <c r="V392" s="54"/>
      <c r="W392" s="54">
        <f t="shared" si="430"/>
        <v>2430</v>
      </c>
      <c r="X392" s="54"/>
      <c r="Y392" s="54">
        <f t="shared" si="431"/>
        <v>2430</v>
      </c>
      <c r="Z392" s="54"/>
      <c r="AA392" s="54">
        <f t="shared" si="432"/>
        <v>2430</v>
      </c>
      <c r="AB392" s="54"/>
      <c r="AC392" s="54">
        <f t="shared" si="433"/>
        <v>2430</v>
      </c>
      <c r="AD392" s="54"/>
      <c r="AE392" s="54">
        <f t="shared" si="434"/>
        <v>2430</v>
      </c>
      <c r="AF392" s="54">
        <v>2270</v>
      </c>
      <c r="AG392" s="54">
        <f t="shared" si="435"/>
        <v>4700</v>
      </c>
      <c r="AH392" s="54">
        <v>-480</v>
      </c>
      <c r="AI392" s="54">
        <f t="shared" si="436"/>
        <v>4220</v>
      </c>
      <c r="AJ392" s="54"/>
      <c r="AK392" s="54">
        <f t="shared" si="437"/>
        <v>4220</v>
      </c>
    </row>
    <row r="393" spans="1:37" s="20" customFormat="1" ht="21" customHeight="1">
      <c r="A393" s="41"/>
      <c r="B393" s="55"/>
      <c r="C393" s="58">
        <v>4440</v>
      </c>
      <c r="D393" s="31" t="s">
        <v>83</v>
      </c>
      <c r="E393" s="54">
        <f>1138+15000+5171+3007</f>
        <v>24316</v>
      </c>
      <c r="F393" s="54"/>
      <c r="G393" s="54">
        <f t="shared" si="414"/>
        <v>24316</v>
      </c>
      <c r="H393" s="54"/>
      <c r="I393" s="54">
        <f t="shared" si="423"/>
        <v>24316</v>
      </c>
      <c r="J393" s="54"/>
      <c r="K393" s="54">
        <f t="shared" si="424"/>
        <v>24316</v>
      </c>
      <c r="L393" s="54"/>
      <c r="M393" s="54">
        <f t="shared" si="425"/>
        <v>24316</v>
      </c>
      <c r="N393" s="54"/>
      <c r="O393" s="54">
        <f t="shared" si="426"/>
        <v>24316</v>
      </c>
      <c r="P393" s="54"/>
      <c r="Q393" s="54">
        <f t="shared" si="427"/>
        <v>24316</v>
      </c>
      <c r="R393" s="54"/>
      <c r="S393" s="54">
        <f t="shared" si="428"/>
        <v>24316</v>
      </c>
      <c r="T393" s="54"/>
      <c r="U393" s="54">
        <f t="shared" si="429"/>
        <v>24316</v>
      </c>
      <c r="V393" s="54"/>
      <c r="W393" s="54">
        <f t="shared" si="430"/>
        <v>24316</v>
      </c>
      <c r="X393" s="54"/>
      <c r="Y393" s="54">
        <f t="shared" si="431"/>
        <v>24316</v>
      </c>
      <c r="Z393" s="54"/>
      <c r="AA393" s="54">
        <f t="shared" si="432"/>
        <v>24316</v>
      </c>
      <c r="AB393" s="54"/>
      <c r="AC393" s="54">
        <f t="shared" si="433"/>
        <v>24316</v>
      </c>
      <c r="AD393" s="54">
        <v>-138</v>
      </c>
      <c r="AE393" s="54">
        <f t="shared" si="434"/>
        <v>24178</v>
      </c>
      <c r="AF393" s="54">
        <f>-2175+954</f>
        <v>-1221</v>
      </c>
      <c r="AG393" s="54">
        <f t="shared" si="435"/>
        <v>22957</v>
      </c>
      <c r="AH393" s="54">
        <v>56</v>
      </c>
      <c r="AI393" s="54">
        <f t="shared" si="436"/>
        <v>23013</v>
      </c>
      <c r="AJ393" s="54"/>
      <c r="AK393" s="54">
        <f t="shared" si="437"/>
        <v>23013</v>
      </c>
    </row>
    <row r="394" spans="1:37" s="20" customFormat="1" ht="21" customHeight="1">
      <c r="A394" s="41"/>
      <c r="B394" s="55"/>
      <c r="C394" s="58">
        <v>4610</v>
      </c>
      <c r="D394" s="31" t="s">
        <v>151</v>
      </c>
      <c r="E394" s="54">
        <v>800</v>
      </c>
      <c r="F394" s="54"/>
      <c r="G394" s="54">
        <f t="shared" si="414"/>
        <v>800</v>
      </c>
      <c r="H394" s="54"/>
      <c r="I394" s="54">
        <f t="shared" si="423"/>
        <v>800</v>
      </c>
      <c r="J394" s="54"/>
      <c r="K394" s="54">
        <f t="shared" si="424"/>
        <v>800</v>
      </c>
      <c r="L394" s="54"/>
      <c r="M394" s="54">
        <f t="shared" si="425"/>
        <v>800</v>
      </c>
      <c r="N394" s="54"/>
      <c r="O394" s="54">
        <f t="shared" si="426"/>
        <v>800</v>
      </c>
      <c r="P394" s="54"/>
      <c r="Q394" s="54">
        <f t="shared" si="427"/>
        <v>800</v>
      </c>
      <c r="R394" s="54"/>
      <c r="S394" s="54">
        <f t="shared" si="428"/>
        <v>800</v>
      </c>
      <c r="T394" s="54"/>
      <c r="U394" s="54">
        <f t="shared" si="429"/>
        <v>800</v>
      </c>
      <c r="V394" s="54"/>
      <c r="W394" s="54">
        <f t="shared" si="430"/>
        <v>800</v>
      </c>
      <c r="X394" s="54"/>
      <c r="Y394" s="54">
        <f t="shared" si="431"/>
        <v>800</v>
      </c>
      <c r="Z394" s="54">
        <v>400</v>
      </c>
      <c r="AA394" s="54">
        <f t="shared" si="432"/>
        <v>1200</v>
      </c>
      <c r="AB394" s="54"/>
      <c r="AC394" s="54">
        <f t="shared" si="433"/>
        <v>1200</v>
      </c>
      <c r="AD394" s="54">
        <v>480</v>
      </c>
      <c r="AE394" s="54">
        <f t="shared" si="434"/>
        <v>1680</v>
      </c>
      <c r="AF394" s="54"/>
      <c r="AG394" s="54">
        <f t="shared" si="435"/>
        <v>1680</v>
      </c>
      <c r="AH394" s="54"/>
      <c r="AI394" s="54">
        <f t="shared" si="436"/>
        <v>1680</v>
      </c>
      <c r="AJ394" s="54"/>
      <c r="AK394" s="54">
        <f t="shared" si="437"/>
        <v>1680</v>
      </c>
    </row>
    <row r="395" spans="1:37" s="20" customFormat="1" ht="27" customHeight="1">
      <c r="A395" s="41"/>
      <c r="B395" s="55"/>
      <c r="C395" s="58">
        <v>4700</v>
      </c>
      <c r="D395" s="31" t="s">
        <v>193</v>
      </c>
      <c r="E395" s="54">
        <v>6000</v>
      </c>
      <c r="F395" s="54"/>
      <c r="G395" s="54">
        <f t="shared" si="414"/>
        <v>6000</v>
      </c>
      <c r="H395" s="54"/>
      <c r="I395" s="54">
        <f t="shared" si="423"/>
        <v>6000</v>
      </c>
      <c r="J395" s="54"/>
      <c r="K395" s="54">
        <f t="shared" si="424"/>
        <v>6000</v>
      </c>
      <c r="L395" s="54"/>
      <c r="M395" s="54">
        <f t="shared" si="425"/>
        <v>6000</v>
      </c>
      <c r="N395" s="54"/>
      <c r="O395" s="54">
        <f t="shared" si="426"/>
        <v>6000</v>
      </c>
      <c r="P395" s="54"/>
      <c r="Q395" s="54">
        <f t="shared" si="427"/>
        <v>6000</v>
      </c>
      <c r="R395" s="54"/>
      <c r="S395" s="54">
        <f t="shared" si="428"/>
        <v>6000</v>
      </c>
      <c r="T395" s="54"/>
      <c r="U395" s="54">
        <f t="shared" si="429"/>
        <v>6000</v>
      </c>
      <c r="V395" s="54"/>
      <c r="W395" s="54">
        <f t="shared" si="430"/>
        <v>6000</v>
      </c>
      <c r="X395" s="54"/>
      <c r="Y395" s="54">
        <f t="shared" si="431"/>
        <v>6000</v>
      </c>
      <c r="Z395" s="54"/>
      <c r="AA395" s="54">
        <f t="shared" si="432"/>
        <v>6000</v>
      </c>
      <c r="AB395" s="54"/>
      <c r="AC395" s="54">
        <f t="shared" si="433"/>
        <v>6000</v>
      </c>
      <c r="AD395" s="54"/>
      <c r="AE395" s="54">
        <f t="shared" si="434"/>
        <v>6000</v>
      </c>
      <c r="AF395" s="54">
        <v>-1086</v>
      </c>
      <c r="AG395" s="54">
        <f t="shared" si="435"/>
        <v>4914</v>
      </c>
      <c r="AH395" s="54">
        <v>-716</v>
      </c>
      <c r="AI395" s="54">
        <f t="shared" si="436"/>
        <v>4198</v>
      </c>
      <c r="AJ395" s="54"/>
      <c r="AK395" s="54">
        <f t="shared" si="437"/>
        <v>4198</v>
      </c>
    </row>
    <row r="396" spans="1:37" s="20" customFormat="1" ht="36">
      <c r="A396" s="41"/>
      <c r="B396" s="55"/>
      <c r="C396" s="58">
        <v>4740</v>
      </c>
      <c r="D396" s="31" t="s">
        <v>183</v>
      </c>
      <c r="E396" s="54">
        <f>300+1804</f>
        <v>2104</v>
      </c>
      <c r="F396" s="54"/>
      <c r="G396" s="54">
        <f t="shared" si="414"/>
        <v>2104</v>
      </c>
      <c r="H396" s="54"/>
      <c r="I396" s="54">
        <f t="shared" si="423"/>
        <v>2104</v>
      </c>
      <c r="J396" s="54"/>
      <c r="K396" s="54">
        <f t="shared" si="424"/>
        <v>2104</v>
      </c>
      <c r="L396" s="54"/>
      <c r="M396" s="54">
        <f t="shared" si="425"/>
        <v>2104</v>
      </c>
      <c r="N396" s="54"/>
      <c r="O396" s="54">
        <f t="shared" si="426"/>
        <v>2104</v>
      </c>
      <c r="P396" s="54"/>
      <c r="Q396" s="54">
        <f t="shared" si="427"/>
        <v>2104</v>
      </c>
      <c r="R396" s="54"/>
      <c r="S396" s="54">
        <f t="shared" si="428"/>
        <v>2104</v>
      </c>
      <c r="T396" s="54"/>
      <c r="U396" s="54">
        <f t="shared" si="429"/>
        <v>2104</v>
      </c>
      <c r="V396" s="54"/>
      <c r="W396" s="54">
        <f t="shared" si="430"/>
        <v>2104</v>
      </c>
      <c r="X396" s="54"/>
      <c r="Y396" s="54">
        <f t="shared" si="431"/>
        <v>2104</v>
      </c>
      <c r="Z396" s="54"/>
      <c r="AA396" s="54">
        <f t="shared" si="432"/>
        <v>2104</v>
      </c>
      <c r="AB396" s="54"/>
      <c r="AC396" s="54">
        <f t="shared" si="433"/>
        <v>2104</v>
      </c>
      <c r="AD396" s="54">
        <v>-300</v>
      </c>
      <c r="AE396" s="54">
        <f t="shared" si="434"/>
        <v>1804</v>
      </c>
      <c r="AF396" s="54"/>
      <c r="AG396" s="54">
        <f t="shared" si="435"/>
        <v>1804</v>
      </c>
      <c r="AH396" s="54">
        <v>-18</v>
      </c>
      <c r="AI396" s="54">
        <f t="shared" si="436"/>
        <v>1786</v>
      </c>
      <c r="AJ396" s="54"/>
      <c r="AK396" s="54">
        <f t="shared" si="437"/>
        <v>1786</v>
      </c>
    </row>
    <row r="397" spans="1:37" s="20" customFormat="1" ht="24">
      <c r="A397" s="41"/>
      <c r="B397" s="55"/>
      <c r="C397" s="58">
        <v>4750</v>
      </c>
      <c r="D397" s="31" t="s">
        <v>197</v>
      </c>
      <c r="E397" s="54">
        <v>5000</v>
      </c>
      <c r="F397" s="54"/>
      <c r="G397" s="54">
        <f t="shared" si="414"/>
        <v>5000</v>
      </c>
      <c r="H397" s="54"/>
      <c r="I397" s="54">
        <f t="shared" si="423"/>
        <v>5000</v>
      </c>
      <c r="J397" s="54"/>
      <c r="K397" s="54">
        <f t="shared" si="424"/>
        <v>5000</v>
      </c>
      <c r="L397" s="54"/>
      <c r="M397" s="54">
        <f t="shared" si="425"/>
        <v>5000</v>
      </c>
      <c r="N397" s="54"/>
      <c r="O397" s="54">
        <f t="shared" si="426"/>
        <v>5000</v>
      </c>
      <c r="P397" s="54"/>
      <c r="Q397" s="54">
        <f t="shared" si="427"/>
        <v>5000</v>
      </c>
      <c r="R397" s="54"/>
      <c r="S397" s="54">
        <f t="shared" si="428"/>
        <v>5000</v>
      </c>
      <c r="T397" s="54"/>
      <c r="U397" s="54">
        <f t="shared" si="429"/>
        <v>5000</v>
      </c>
      <c r="V397" s="54"/>
      <c r="W397" s="54">
        <f t="shared" si="430"/>
        <v>5000</v>
      </c>
      <c r="X397" s="54"/>
      <c r="Y397" s="54">
        <f t="shared" si="431"/>
        <v>5000</v>
      </c>
      <c r="Z397" s="54"/>
      <c r="AA397" s="54">
        <f t="shared" si="432"/>
        <v>5000</v>
      </c>
      <c r="AB397" s="54"/>
      <c r="AC397" s="54">
        <f t="shared" si="433"/>
        <v>5000</v>
      </c>
      <c r="AD397" s="54"/>
      <c r="AE397" s="54">
        <f t="shared" si="434"/>
        <v>5000</v>
      </c>
      <c r="AF397" s="54">
        <v>-1980</v>
      </c>
      <c r="AG397" s="54">
        <f t="shared" si="435"/>
        <v>3020</v>
      </c>
      <c r="AH397" s="54">
        <v>-84</v>
      </c>
      <c r="AI397" s="54">
        <f t="shared" si="436"/>
        <v>2936</v>
      </c>
      <c r="AJ397" s="54"/>
      <c r="AK397" s="54">
        <f t="shared" si="437"/>
        <v>2936</v>
      </c>
    </row>
    <row r="398" spans="1:37" s="20" customFormat="1" ht="24">
      <c r="A398" s="41"/>
      <c r="B398" s="55">
        <v>85228</v>
      </c>
      <c r="C398" s="58"/>
      <c r="D398" s="31" t="s">
        <v>349</v>
      </c>
      <c r="E398" s="54">
        <f aca="true" t="shared" si="438" ref="E398:AK398">SUM(E399)</f>
        <v>150000</v>
      </c>
      <c r="F398" s="54">
        <f t="shared" si="438"/>
        <v>0</v>
      </c>
      <c r="G398" s="54">
        <f t="shared" si="438"/>
        <v>150000</v>
      </c>
      <c r="H398" s="54">
        <f t="shared" si="438"/>
        <v>0</v>
      </c>
      <c r="I398" s="54">
        <f t="shared" si="438"/>
        <v>150000</v>
      </c>
      <c r="J398" s="54">
        <f t="shared" si="438"/>
        <v>0</v>
      </c>
      <c r="K398" s="54">
        <f t="shared" si="438"/>
        <v>150000</v>
      </c>
      <c r="L398" s="54">
        <f t="shared" si="438"/>
        <v>0</v>
      </c>
      <c r="M398" s="54">
        <f t="shared" si="438"/>
        <v>150000</v>
      </c>
      <c r="N398" s="54">
        <f t="shared" si="438"/>
        <v>0</v>
      </c>
      <c r="O398" s="54">
        <f t="shared" si="438"/>
        <v>150000</v>
      </c>
      <c r="P398" s="54">
        <f t="shared" si="438"/>
        <v>0</v>
      </c>
      <c r="Q398" s="54">
        <f t="shared" si="438"/>
        <v>150000</v>
      </c>
      <c r="R398" s="54">
        <f t="shared" si="438"/>
        <v>0</v>
      </c>
      <c r="S398" s="54">
        <f t="shared" si="438"/>
        <v>150000</v>
      </c>
      <c r="T398" s="54">
        <f t="shared" si="438"/>
        <v>0</v>
      </c>
      <c r="U398" s="54">
        <f t="shared" si="438"/>
        <v>150000</v>
      </c>
      <c r="V398" s="54">
        <f t="shared" si="438"/>
        <v>0</v>
      </c>
      <c r="W398" s="54">
        <f t="shared" si="438"/>
        <v>150000</v>
      </c>
      <c r="X398" s="54">
        <f t="shared" si="438"/>
        <v>0</v>
      </c>
      <c r="Y398" s="54">
        <f t="shared" si="438"/>
        <v>150000</v>
      </c>
      <c r="Z398" s="54">
        <f t="shared" si="438"/>
        <v>0</v>
      </c>
      <c r="AA398" s="54">
        <f t="shared" si="438"/>
        <v>150000</v>
      </c>
      <c r="AB398" s="54">
        <f t="shared" si="438"/>
        <v>0</v>
      </c>
      <c r="AC398" s="54">
        <f t="shared" si="438"/>
        <v>150000</v>
      </c>
      <c r="AD398" s="54">
        <f t="shared" si="438"/>
        <v>0</v>
      </c>
      <c r="AE398" s="54">
        <f t="shared" si="438"/>
        <v>150000</v>
      </c>
      <c r="AF398" s="54">
        <f t="shared" si="438"/>
        <v>0</v>
      </c>
      <c r="AG398" s="54">
        <f t="shared" si="438"/>
        <v>150000</v>
      </c>
      <c r="AH398" s="54">
        <f t="shared" si="438"/>
        <v>0</v>
      </c>
      <c r="AI398" s="54">
        <f t="shared" si="438"/>
        <v>150000</v>
      </c>
      <c r="AJ398" s="54">
        <f t="shared" si="438"/>
        <v>0</v>
      </c>
      <c r="AK398" s="54">
        <f t="shared" si="438"/>
        <v>150000</v>
      </c>
    </row>
    <row r="399" spans="1:37" s="20" customFormat="1" ht="21" customHeight="1">
      <c r="A399" s="41"/>
      <c r="B399" s="55"/>
      <c r="C399" s="58">
        <v>4300</v>
      </c>
      <c r="D399" s="31" t="s">
        <v>75</v>
      </c>
      <c r="E399" s="54">
        <v>150000</v>
      </c>
      <c r="F399" s="54"/>
      <c r="G399" s="54">
        <f t="shared" si="414"/>
        <v>150000</v>
      </c>
      <c r="H399" s="54"/>
      <c r="I399" s="54">
        <f>SUM(G399:H399)</f>
        <v>150000</v>
      </c>
      <c r="J399" s="54"/>
      <c r="K399" s="54">
        <f>SUM(I399:J399)</f>
        <v>150000</v>
      </c>
      <c r="L399" s="54"/>
      <c r="M399" s="54">
        <f>SUM(K399:L399)</f>
        <v>150000</v>
      </c>
      <c r="N399" s="54"/>
      <c r="O399" s="54">
        <f>SUM(M399:N399)</f>
        <v>150000</v>
      </c>
      <c r="P399" s="54"/>
      <c r="Q399" s="54">
        <f>SUM(O399:P399)</f>
        <v>150000</v>
      </c>
      <c r="R399" s="54"/>
      <c r="S399" s="54">
        <f>SUM(Q399:R399)</f>
        <v>150000</v>
      </c>
      <c r="T399" s="54"/>
      <c r="U399" s="54">
        <f>SUM(S399:T399)</f>
        <v>150000</v>
      </c>
      <c r="V399" s="54"/>
      <c r="W399" s="54">
        <f>SUM(U399:V399)</f>
        <v>150000</v>
      </c>
      <c r="X399" s="54"/>
      <c r="Y399" s="54">
        <f>SUM(W399:X399)</f>
        <v>150000</v>
      </c>
      <c r="Z399" s="54"/>
      <c r="AA399" s="54">
        <f>SUM(Y399:Z399)</f>
        <v>150000</v>
      </c>
      <c r="AB399" s="54"/>
      <c r="AC399" s="54">
        <f>SUM(AA399:AB399)</f>
        <v>150000</v>
      </c>
      <c r="AD399" s="54"/>
      <c r="AE399" s="54">
        <f>SUM(AC399:AD399)</f>
        <v>150000</v>
      </c>
      <c r="AF399" s="54"/>
      <c r="AG399" s="54">
        <f>SUM(AE399:AF399)</f>
        <v>150000</v>
      </c>
      <c r="AH399" s="54"/>
      <c r="AI399" s="54">
        <f>SUM(AG399:AH399)</f>
        <v>150000</v>
      </c>
      <c r="AJ399" s="54"/>
      <c r="AK399" s="54">
        <f>SUM(AI399:AJ399)</f>
        <v>150000</v>
      </c>
    </row>
    <row r="400" spans="1:37" s="20" customFormat="1" ht="21" customHeight="1">
      <c r="A400" s="41"/>
      <c r="B400" s="55" t="s">
        <v>350</v>
      </c>
      <c r="C400" s="58"/>
      <c r="D400" s="31" t="s">
        <v>6</v>
      </c>
      <c r="E400" s="54">
        <f aca="true" t="shared" si="439" ref="E400:W400">SUM(E401:E402)</f>
        <v>763820</v>
      </c>
      <c r="F400" s="54">
        <f t="shared" si="439"/>
        <v>0</v>
      </c>
      <c r="G400" s="54">
        <f t="shared" si="439"/>
        <v>763820</v>
      </c>
      <c r="H400" s="54">
        <f t="shared" si="439"/>
        <v>0</v>
      </c>
      <c r="I400" s="54">
        <f t="shared" si="439"/>
        <v>763820</v>
      </c>
      <c r="J400" s="54">
        <f t="shared" si="439"/>
        <v>0</v>
      </c>
      <c r="K400" s="54">
        <f t="shared" si="439"/>
        <v>763820</v>
      </c>
      <c r="L400" s="54">
        <f t="shared" si="439"/>
        <v>0</v>
      </c>
      <c r="M400" s="54">
        <f t="shared" si="439"/>
        <v>763820</v>
      </c>
      <c r="N400" s="54">
        <f t="shared" si="439"/>
        <v>75000</v>
      </c>
      <c r="O400" s="54">
        <f t="shared" si="439"/>
        <v>838820</v>
      </c>
      <c r="P400" s="54">
        <f t="shared" si="439"/>
        <v>0</v>
      </c>
      <c r="Q400" s="54">
        <f t="shared" si="439"/>
        <v>838820</v>
      </c>
      <c r="R400" s="54">
        <f t="shared" si="439"/>
        <v>0</v>
      </c>
      <c r="S400" s="54">
        <f t="shared" si="439"/>
        <v>838820</v>
      </c>
      <c r="T400" s="54">
        <f t="shared" si="439"/>
        <v>0</v>
      </c>
      <c r="U400" s="54">
        <f t="shared" si="439"/>
        <v>838820</v>
      </c>
      <c r="V400" s="54">
        <f t="shared" si="439"/>
        <v>10000</v>
      </c>
      <c r="W400" s="54">
        <f t="shared" si="439"/>
        <v>848820</v>
      </c>
      <c r="X400" s="54">
        <f aca="true" t="shared" si="440" ref="X400:AC400">SUM(X401:X402)</f>
        <v>75000</v>
      </c>
      <c r="Y400" s="54">
        <f t="shared" si="440"/>
        <v>923820</v>
      </c>
      <c r="Z400" s="54">
        <f t="shared" si="440"/>
        <v>28000</v>
      </c>
      <c r="AA400" s="54">
        <f t="shared" si="440"/>
        <v>951820</v>
      </c>
      <c r="AB400" s="54">
        <f t="shared" si="440"/>
        <v>0</v>
      </c>
      <c r="AC400" s="54">
        <f t="shared" si="440"/>
        <v>951820</v>
      </c>
      <c r="AD400" s="54">
        <f aca="true" t="shared" si="441" ref="AD400:AI400">SUM(AD401:AD402)</f>
        <v>288700</v>
      </c>
      <c r="AE400" s="54">
        <f t="shared" si="441"/>
        <v>1240520</v>
      </c>
      <c r="AF400" s="54">
        <f t="shared" si="441"/>
        <v>0</v>
      </c>
      <c r="AG400" s="54">
        <f t="shared" si="441"/>
        <v>1240520</v>
      </c>
      <c r="AH400" s="54">
        <f t="shared" si="441"/>
        <v>0</v>
      </c>
      <c r="AI400" s="54">
        <f t="shared" si="441"/>
        <v>1240520</v>
      </c>
      <c r="AJ400" s="54">
        <f>SUM(AJ401:AJ402)</f>
        <v>0</v>
      </c>
      <c r="AK400" s="54">
        <f>SUM(AK401:AK402)</f>
        <v>1240520</v>
      </c>
    </row>
    <row r="401" spans="1:37" s="20" customFormat="1" ht="21" customHeight="1">
      <c r="A401" s="41"/>
      <c r="B401" s="55"/>
      <c r="C401" s="58">
        <v>3110</v>
      </c>
      <c r="D401" s="31" t="s">
        <v>97</v>
      </c>
      <c r="E401" s="44">
        <f>541300+217000</f>
        <v>758300</v>
      </c>
      <c r="F401" s="44"/>
      <c r="G401" s="54">
        <f t="shared" si="414"/>
        <v>758300</v>
      </c>
      <c r="H401" s="44"/>
      <c r="I401" s="54">
        <f>SUM(G401:H401)</f>
        <v>758300</v>
      </c>
      <c r="J401" s="44"/>
      <c r="K401" s="54">
        <f>SUM(I401:J401)</f>
        <v>758300</v>
      </c>
      <c r="L401" s="44"/>
      <c r="M401" s="54">
        <f>SUM(K401:L401)</f>
        <v>758300</v>
      </c>
      <c r="N401" s="44">
        <v>75000</v>
      </c>
      <c r="O401" s="54">
        <f>SUM(M401:N401)</f>
        <v>833300</v>
      </c>
      <c r="P401" s="44"/>
      <c r="Q401" s="54">
        <f>SUM(O401:P401)</f>
        <v>833300</v>
      </c>
      <c r="R401" s="44"/>
      <c r="S401" s="54">
        <f>SUM(Q401:R401)</f>
        <v>833300</v>
      </c>
      <c r="T401" s="44"/>
      <c r="U401" s="54">
        <f>SUM(S401:T401)</f>
        <v>833300</v>
      </c>
      <c r="V401" s="44">
        <v>10000</v>
      </c>
      <c r="W401" s="54">
        <f>SUM(U401:V401)</f>
        <v>843300</v>
      </c>
      <c r="X401" s="44">
        <v>75000</v>
      </c>
      <c r="Y401" s="54">
        <f>SUM(W401:X401)</f>
        <v>918300</v>
      </c>
      <c r="Z401" s="44">
        <v>28000</v>
      </c>
      <c r="AA401" s="54">
        <f>SUM(Y401:Z401)</f>
        <v>946300</v>
      </c>
      <c r="AB401" s="44"/>
      <c r="AC401" s="54">
        <f>SUM(AA401:AB401)</f>
        <v>946300</v>
      </c>
      <c r="AD401" s="44">
        <v>288700</v>
      </c>
      <c r="AE401" s="54">
        <f>SUM(AC401:AD401)</f>
        <v>1235000</v>
      </c>
      <c r="AF401" s="44"/>
      <c r="AG401" s="54">
        <f>SUM(AE401:AF401)</f>
        <v>1235000</v>
      </c>
      <c r="AH401" s="44"/>
      <c r="AI401" s="54">
        <f>SUM(AG401:AH401)</f>
        <v>1235000</v>
      </c>
      <c r="AJ401" s="44"/>
      <c r="AK401" s="54">
        <f>SUM(AI401:AJ401)</f>
        <v>1235000</v>
      </c>
    </row>
    <row r="402" spans="1:37" s="20" customFormat="1" ht="21" customHeight="1">
      <c r="A402" s="41"/>
      <c r="B402" s="55"/>
      <c r="C402" s="58">
        <v>4430</v>
      </c>
      <c r="D402" s="31" t="s">
        <v>87</v>
      </c>
      <c r="E402" s="54">
        <v>5520</v>
      </c>
      <c r="F402" s="54"/>
      <c r="G402" s="54">
        <f t="shared" si="414"/>
        <v>5520</v>
      </c>
      <c r="H402" s="54"/>
      <c r="I402" s="54">
        <f>SUM(G402:H402)</f>
        <v>5520</v>
      </c>
      <c r="J402" s="54"/>
      <c r="K402" s="54">
        <f>SUM(I402:J402)</f>
        <v>5520</v>
      </c>
      <c r="L402" s="54"/>
      <c r="M402" s="54">
        <f>SUM(K402:L402)</f>
        <v>5520</v>
      </c>
      <c r="N402" s="54"/>
      <c r="O402" s="54">
        <f>SUM(M402:N402)</f>
        <v>5520</v>
      </c>
      <c r="P402" s="54"/>
      <c r="Q402" s="54">
        <f>SUM(O402:P402)</f>
        <v>5520</v>
      </c>
      <c r="R402" s="54"/>
      <c r="S402" s="54">
        <f>SUM(Q402:R402)</f>
        <v>5520</v>
      </c>
      <c r="T402" s="54"/>
      <c r="U402" s="54">
        <f>SUM(S402:T402)</f>
        <v>5520</v>
      </c>
      <c r="V402" s="54"/>
      <c r="W402" s="54">
        <f>SUM(U402:V402)</f>
        <v>5520</v>
      </c>
      <c r="X402" s="54"/>
      <c r="Y402" s="54">
        <f>SUM(W402:X402)</f>
        <v>5520</v>
      </c>
      <c r="Z402" s="54"/>
      <c r="AA402" s="54">
        <f>SUM(Y402:Z402)</f>
        <v>5520</v>
      </c>
      <c r="AB402" s="54"/>
      <c r="AC402" s="54">
        <f>SUM(AA402:AB402)</f>
        <v>5520</v>
      </c>
      <c r="AD402" s="54"/>
      <c r="AE402" s="54">
        <f>SUM(AC402:AD402)</f>
        <v>5520</v>
      </c>
      <c r="AF402" s="54"/>
      <c r="AG402" s="54">
        <f>SUM(AE402:AF402)</f>
        <v>5520</v>
      </c>
      <c r="AH402" s="54"/>
      <c r="AI402" s="54">
        <f>SUM(AG402:AH402)</f>
        <v>5520</v>
      </c>
      <c r="AJ402" s="54"/>
      <c r="AK402" s="54">
        <f>SUM(AI402:AJ402)</f>
        <v>5520</v>
      </c>
    </row>
    <row r="403" spans="1:37" s="73" customFormat="1" ht="24">
      <c r="A403" s="143">
        <v>853</v>
      </c>
      <c r="B403" s="144"/>
      <c r="C403" s="145"/>
      <c r="D403" s="146" t="s">
        <v>201</v>
      </c>
      <c r="E403" s="147">
        <f aca="true" t="shared" si="442" ref="E403:AJ404">E404</f>
        <v>10800</v>
      </c>
      <c r="F403" s="147">
        <f t="shared" si="442"/>
        <v>0</v>
      </c>
      <c r="G403" s="147">
        <f t="shared" si="442"/>
        <v>10800</v>
      </c>
      <c r="H403" s="147">
        <f t="shared" si="442"/>
        <v>0</v>
      </c>
      <c r="I403" s="147">
        <f t="shared" si="442"/>
        <v>10800</v>
      </c>
      <c r="J403" s="147">
        <f t="shared" si="442"/>
        <v>0</v>
      </c>
      <c r="K403" s="147">
        <f t="shared" si="442"/>
        <v>10800</v>
      </c>
      <c r="L403" s="147">
        <f t="shared" si="442"/>
        <v>0</v>
      </c>
      <c r="M403" s="147">
        <f t="shared" si="442"/>
        <v>10800</v>
      </c>
      <c r="N403" s="147">
        <f t="shared" si="442"/>
        <v>0</v>
      </c>
      <c r="O403" s="147">
        <f t="shared" si="442"/>
        <v>10800</v>
      </c>
      <c r="P403" s="147">
        <f t="shared" si="442"/>
        <v>0</v>
      </c>
      <c r="Q403" s="147">
        <f t="shared" si="442"/>
        <v>10800</v>
      </c>
      <c r="R403" s="147">
        <f t="shared" si="442"/>
        <v>0</v>
      </c>
      <c r="S403" s="147">
        <f t="shared" si="442"/>
        <v>10800</v>
      </c>
      <c r="T403" s="147">
        <f t="shared" si="442"/>
        <v>0</v>
      </c>
      <c r="U403" s="147">
        <f aca="true" t="shared" si="443" ref="U403:AA403">U404+U406</f>
        <v>10800</v>
      </c>
      <c r="V403" s="147">
        <f t="shared" si="443"/>
        <v>196185</v>
      </c>
      <c r="W403" s="147">
        <f t="shared" si="443"/>
        <v>206985</v>
      </c>
      <c r="X403" s="147">
        <f t="shared" si="443"/>
        <v>0</v>
      </c>
      <c r="Y403" s="147">
        <f t="shared" si="443"/>
        <v>206985</v>
      </c>
      <c r="Z403" s="147">
        <f t="shared" si="443"/>
        <v>0</v>
      </c>
      <c r="AA403" s="147">
        <f t="shared" si="443"/>
        <v>206985</v>
      </c>
      <c r="AB403" s="147">
        <f aca="true" t="shared" si="444" ref="AB403:AG403">AB404+AB406</f>
        <v>0</v>
      </c>
      <c r="AC403" s="147">
        <f t="shared" si="444"/>
        <v>206985</v>
      </c>
      <c r="AD403" s="147">
        <f t="shared" si="444"/>
        <v>0</v>
      </c>
      <c r="AE403" s="147">
        <f t="shared" si="444"/>
        <v>206985</v>
      </c>
      <c r="AF403" s="147">
        <f t="shared" si="444"/>
        <v>0</v>
      </c>
      <c r="AG403" s="147">
        <f t="shared" si="444"/>
        <v>206985</v>
      </c>
      <c r="AH403" s="147">
        <f>AH404+AH406</f>
        <v>0</v>
      </c>
      <c r="AI403" s="147">
        <f>AI404+AI406</f>
        <v>206985</v>
      </c>
      <c r="AJ403" s="147">
        <f>AJ404+AJ406</f>
        <v>0</v>
      </c>
      <c r="AK403" s="147">
        <f>AK404+AK406</f>
        <v>206985</v>
      </c>
    </row>
    <row r="404" spans="1:37" s="20" customFormat="1" ht="21" customHeight="1">
      <c r="A404" s="41"/>
      <c r="B404" s="55">
        <v>85311</v>
      </c>
      <c r="C404" s="58"/>
      <c r="D404" s="31" t="s">
        <v>351</v>
      </c>
      <c r="E404" s="54">
        <f t="shared" si="442"/>
        <v>10800</v>
      </c>
      <c r="F404" s="54">
        <f t="shared" si="442"/>
        <v>0</v>
      </c>
      <c r="G404" s="54">
        <f t="shared" si="442"/>
        <v>10800</v>
      </c>
      <c r="H404" s="54">
        <f t="shared" si="442"/>
        <v>0</v>
      </c>
      <c r="I404" s="54">
        <f t="shared" si="442"/>
        <v>10800</v>
      </c>
      <c r="J404" s="54">
        <f t="shared" si="442"/>
        <v>0</v>
      </c>
      <c r="K404" s="54">
        <f t="shared" si="442"/>
        <v>10800</v>
      </c>
      <c r="L404" s="54">
        <f t="shared" si="442"/>
        <v>0</v>
      </c>
      <c r="M404" s="54">
        <f t="shared" si="442"/>
        <v>10800</v>
      </c>
      <c r="N404" s="54">
        <f t="shared" si="442"/>
        <v>0</v>
      </c>
      <c r="O404" s="54">
        <f t="shared" si="442"/>
        <v>10800</v>
      </c>
      <c r="P404" s="54">
        <f t="shared" si="442"/>
        <v>0</v>
      </c>
      <c r="Q404" s="54">
        <f t="shared" si="442"/>
        <v>10800</v>
      </c>
      <c r="R404" s="54">
        <f t="shared" si="442"/>
        <v>0</v>
      </c>
      <c r="S404" s="54">
        <f t="shared" si="442"/>
        <v>10800</v>
      </c>
      <c r="T404" s="54">
        <f t="shared" si="442"/>
        <v>0</v>
      </c>
      <c r="U404" s="54">
        <f t="shared" si="442"/>
        <v>10800</v>
      </c>
      <c r="V404" s="54">
        <f t="shared" si="442"/>
        <v>0</v>
      </c>
      <c r="W404" s="54">
        <f t="shared" si="442"/>
        <v>10800</v>
      </c>
      <c r="X404" s="54">
        <f t="shared" si="442"/>
        <v>0</v>
      </c>
      <c r="Y404" s="54">
        <f t="shared" si="442"/>
        <v>10800</v>
      </c>
      <c r="Z404" s="54">
        <f t="shared" si="442"/>
        <v>0</v>
      </c>
      <c r="AA404" s="54">
        <f>AA405</f>
        <v>10800</v>
      </c>
      <c r="AB404" s="54">
        <f t="shared" si="442"/>
        <v>0</v>
      </c>
      <c r="AC404" s="54">
        <f>AC405</f>
        <v>10800</v>
      </c>
      <c r="AD404" s="54">
        <f t="shared" si="442"/>
        <v>0</v>
      </c>
      <c r="AE404" s="54">
        <f>AE405</f>
        <v>10800</v>
      </c>
      <c r="AF404" s="54">
        <f t="shared" si="442"/>
        <v>0</v>
      </c>
      <c r="AG404" s="54">
        <f>AG405</f>
        <v>10800</v>
      </c>
      <c r="AH404" s="54">
        <f t="shared" si="442"/>
        <v>0</v>
      </c>
      <c r="AI404" s="54">
        <f>AI405</f>
        <v>10800</v>
      </c>
      <c r="AJ404" s="54">
        <f t="shared" si="442"/>
        <v>0</v>
      </c>
      <c r="AK404" s="54">
        <f>AK405</f>
        <v>10800</v>
      </c>
    </row>
    <row r="405" spans="1:43" s="20" customFormat="1" ht="48">
      <c r="A405" s="41"/>
      <c r="B405" s="55"/>
      <c r="C405" s="58">
        <v>2710</v>
      </c>
      <c r="D405" s="31" t="s">
        <v>352</v>
      </c>
      <c r="E405" s="54">
        <v>10800</v>
      </c>
      <c r="F405" s="54"/>
      <c r="G405" s="54">
        <f t="shared" si="414"/>
        <v>10800</v>
      </c>
      <c r="H405" s="54"/>
      <c r="I405" s="54">
        <f>SUM(G405:H405)</f>
        <v>10800</v>
      </c>
      <c r="J405" s="54"/>
      <c r="K405" s="54">
        <f>SUM(I405:J405)</f>
        <v>10800</v>
      </c>
      <c r="L405" s="54"/>
      <c r="M405" s="54">
        <f>SUM(K405:L405)</f>
        <v>10800</v>
      </c>
      <c r="N405" s="54"/>
      <c r="O405" s="54">
        <f>SUM(M405:N405)</f>
        <v>10800</v>
      </c>
      <c r="P405" s="54"/>
      <c r="Q405" s="54">
        <f>SUM(O405:P405)</f>
        <v>10800</v>
      </c>
      <c r="R405" s="54"/>
      <c r="S405" s="54">
        <f>SUM(Q405:R405)</f>
        <v>10800</v>
      </c>
      <c r="T405" s="54"/>
      <c r="U405" s="54">
        <f>SUM(S405:T405)</f>
        <v>10800</v>
      </c>
      <c r="V405" s="54"/>
      <c r="W405" s="54">
        <f>SUM(U405:V405)</f>
        <v>10800</v>
      </c>
      <c r="X405" s="54"/>
      <c r="Y405" s="54">
        <f>SUM(W405:X405)</f>
        <v>10800</v>
      </c>
      <c r="Z405" s="54"/>
      <c r="AA405" s="54">
        <f>SUM(Y405:Z405)</f>
        <v>10800</v>
      </c>
      <c r="AB405" s="54"/>
      <c r="AC405" s="54">
        <f>SUM(AA405:AB405)</f>
        <v>10800</v>
      </c>
      <c r="AD405" s="54"/>
      <c r="AE405" s="54">
        <f>SUM(AC405:AD405)</f>
        <v>10800</v>
      </c>
      <c r="AF405" s="54"/>
      <c r="AG405" s="54">
        <f>SUM(AE405:AF405)</f>
        <v>10800</v>
      </c>
      <c r="AH405" s="54"/>
      <c r="AI405" s="54">
        <f>SUM(AG405:AH405)</f>
        <v>10800</v>
      </c>
      <c r="AJ405" s="54"/>
      <c r="AK405" s="54">
        <f>SUM(AI405:AJ405)</f>
        <v>10800</v>
      </c>
      <c r="AP405" s="67"/>
      <c r="AQ405" s="67"/>
    </row>
    <row r="406" spans="1:37" s="20" customFormat="1" ht="23.25" customHeight="1">
      <c r="A406" s="41"/>
      <c r="B406" s="55">
        <v>85395</v>
      </c>
      <c r="C406" s="58"/>
      <c r="D406" s="31" t="s">
        <v>6</v>
      </c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>
        <f aca="true" t="shared" si="445" ref="U406:AA406">SUM(U407:U416)</f>
        <v>0</v>
      </c>
      <c r="V406" s="54">
        <f t="shared" si="445"/>
        <v>196185</v>
      </c>
      <c r="W406" s="54">
        <f t="shared" si="445"/>
        <v>196185</v>
      </c>
      <c r="X406" s="54">
        <f t="shared" si="445"/>
        <v>0</v>
      </c>
      <c r="Y406" s="54">
        <f t="shared" si="445"/>
        <v>196185</v>
      </c>
      <c r="Z406" s="54">
        <f t="shared" si="445"/>
        <v>0</v>
      </c>
      <c r="AA406" s="54">
        <f t="shared" si="445"/>
        <v>196185</v>
      </c>
      <c r="AB406" s="54">
        <f aca="true" t="shared" si="446" ref="AB406:AG406">SUM(AB407:AB416)</f>
        <v>0</v>
      </c>
      <c r="AC406" s="54">
        <f t="shared" si="446"/>
        <v>196185</v>
      </c>
      <c r="AD406" s="54">
        <f t="shared" si="446"/>
        <v>0</v>
      </c>
      <c r="AE406" s="54">
        <f t="shared" si="446"/>
        <v>196185</v>
      </c>
      <c r="AF406" s="54">
        <f t="shared" si="446"/>
        <v>0</v>
      </c>
      <c r="AG406" s="54">
        <f t="shared" si="446"/>
        <v>196185</v>
      </c>
      <c r="AH406" s="54">
        <f>SUM(AH407:AH416)</f>
        <v>0</v>
      </c>
      <c r="AI406" s="54">
        <f>SUM(AI407:AI416)</f>
        <v>196185</v>
      </c>
      <c r="AJ406" s="54">
        <f>SUM(AJ407:AJ416)</f>
        <v>0</v>
      </c>
      <c r="AK406" s="54">
        <f>SUM(AK407:AK416)</f>
        <v>196185</v>
      </c>
    </row>
    <row r="407" spans="1:37" s="20" customFormat="1" ht="23.25" customHeight="1">
      <c r="A407" s="41"/>
      <c r="B407" s="55"/>
      <c r="C407" s="58">
        <v>3119</v>
      </c>
      <c r="D407" s="31" t="s">
        <v>97</v>
      </c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>
        <v>0</v>
      </c>
      <c r="V407" s="54">
        <v>20600</v>
      </c>
      <c r="W407" s="54">
        <f>SUM(U407:V407)</f>
        <v>20600</v>
      </c>
      <c r="X407" s="54"/>
      <c r="Y407" s="54">
        <f>SUM(W407:X407)</f>
        <v>20600</v>
      </c>
      <c r="Z407" s="54"/>
      <c r="AA407" s="54">
        <f>SUM(Y407:Z407)</f>
        <v>20600</v>
      </c>
      <c r="AB407" s="54"/>
      <c r="AC407" s="54">
        <f>SUM(AA407:AB407)</f>
        <v>20600</v>
      </c>
      <c r="AD407" s="54"/>
      <c r="AE407" s="54">
        <f>SUM(AC407:AD407)</f>
        <v>20600</v>
      </c>
      <c r="AF407" s="54"/>
      <c r="AG407" s="54">
        <f>SUM(AE407:AF407)</f>
        <v>20600</v>
      </c>
      <c r="AH407" s="54"/>
      <c r="AI407" s="54">
        <f>SUM(AG407:AH407)</f>
        <v>20600</v>
      </c>
      <c r="AJ407" s="54"/>
      <c r="AK407" s="54">
        <f>SUM(AI407:AJ407)</f>
        <v>20600</v>
      </c>
    </row>
    <row r="408" spans="1:39" s="20" customFormat="1" ht="23.25" customHeight="1">
      <c r="A408" s="41"/>
      <c r="B408" s="55"/>
      <c r="C408" s="58">
        <v>4018</v>
      </c>
      <c r="D408" s="31" t="s">
        <v>79</v>
      </c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>
        <v>0</v>
      </c>
      <c r="V408" s="54">
        <v>25481</v>
      </c>
      <c r="W408" s="54">
        <f aca="true" t="shared" si="447" ref="W408:W416">SUM(U408:V408)</f>
        <v>25481</v>
      </c>
      <c r="X408" s="54"/>
      <c r="Y408" s="54">
        <f aca="true" t="shared" si="448" ref="Y408:Y416">SUM(W408:X408)</f>
        <v>25481</v>
      </c>
      <c r="Z408" s="54"/>
      <c r="AA408" s="54">
        <f aca="true" t="shared" si="449" ref="AA408:AA416">SUM(Y408:Z408)</f>
        <v>25481</v>
      </c>
      <c r="AB408" s="54"/>
      <c r="AC408" s="54">
        <f aca="true" t="shared" si="450" ref="AC408:AC416">SUM(AA408:AB408)</f>
        <v>25481</v>
      </c>
      <c r="AD408" s="54"/>
      <c r="AE408" s="54">
        <f aca="true" t="shared" si="451" ref="AE408:AE416">SUM(AC408:AD408)</f>
        <v>25481</v>
      </c>
      <c r="AF408" s="54"/>
      <c r="AG408" s="54">
        <f aca="true" t="shared" si="452" ref="AG408:AG416">SUM(AE408:AF408)</f>
        <v>25481</v>
      </c>
      <c r="AH408" s="54">
        <v>-4009</v>
      </c>
      <c r="AI408" s="54">
        <f aca="true" t="shared" si="453" ref="AI408:AI416">SUM(AG408:AH408)</f>
        <v>21472</v>
      </c>
      <c r="AJ408" s="54"/>
      <c r="AK408" s="54">
        <f aca="true" t="shared" si="454" ref="AK408:AK416">SUM(AI408:AJ408)</f>
        <v>21472</v>
      </c>
      <c r="AL408" s="67"/>
      <c r="AM408" s="67"/>
    </row>
    <row r="409" spans="1:39" s="20" customFormat="1" ht="23.25" customHeight="1">
      <c r="A409" s="41"/>
      <c r="B409" s="55"/>
      <c r="C409" s="58">
        <v>4118</v>
      </c>
      <c r="D409" s="31" t="s">
        <v>81</v>
      </c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>
        <v>0</v>
      </c>
      <c r="V409" s="54">
        <v>4415</v>
      </c>
      <c r="W409" s="54">
        <f t="shared" si="447"/>
        <v>4415</v>
      </c>
      <c r="X409" s="54"/>
      <c r="Y409" s="54">
        <f t="shared" si="448"/>
        <v>4415</v>
      </c>
      <c r="Z409" s="54"/>
      <c r="AA409" s="54">
        <f t="shared" si="449"/>
        <v>4415</v>
      </c>
      <c r="AB409" s="54"/>
      <c r="AC409" s="54">
        <f t="shared" si="450"/>
        <v>4415</v>
      </c>
      <c r="AD409" s="54"/>
      <c r="AE409" s="54">
        <f t="shared" si="451"/>
        <v>4415</v>
      </c>
      <c r="AF409" s="54"/>
      <c r="AG409" s="54">
        <f t="shared" si="452"/>
        <v>4415</v>
      </c>
      <c r="AH409" s="54">
        <v>-613</v>
      </c>
      <c r="AI409" s="54">
        <f t="shared" si="453"/>
        <v>3802</v>
      </c>
      <c r="AJ409" s="54"/>
      <c r="AK409" s="54">
        <f t="shared" si="454"/>
        <v>3802</v>
      </c>
      <c r="AL409" s="67"/>
      <c r="AM409" s="67"/>
    </row>
    <row r="410" spans="1:39" s="20" customFormat="1" ht="23.25" customHeight="1">
      <c r="A410" s="41"/>
      <c r="B410" s="55"/>
      <c r="C410" s="58">
        <v>4128</v>
      </c>
      <c r="D410" s="31" t="s">
        <v>82</v>
      </c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>
        <v>0</v>
      </c>
      <c r="V410" s="54">
        <v>708</v>
      </c>
      <c r="W410" s="54">
        <f t="shared" si="447"/>
        <v>708</v>
      </c>
      <c r="X410" s="54"/>
      <c r="Y410" s="54">
        <f t="shared" si="448"/>
        <v>708</v>
      </c>
      <c r="Z410" s="54"/>
      <c r="AA410" s="54">
        <f t="shared" si="449"/>
        <v>708</v>
      </c>
      <c r="AB410" s="54"/>
      <c r="AC410" s="54">
        <f t="shared" si="450"/>
        <v>708</v>
      </c>
      <c r="AD410" s="54"/>
      <c r="AE410" s="54">
        <f t="shared" si="451"/>
        <v>708</v>
      </c>
      <c r="AF410" s="54"/>
      <c r="AG410" s="54">
        <f t="shared" si="452"/>
        <v>708</v>
      </c>
      <c r="AH410" s="54">
        <v>-98</v>
      </c>
      <c r="AI410" s="54">
        <f t="shared" si="453"/>
        <v>610</v>
      </c>
      <c r="AJ410" s="54"/>
      <c r="AK410" s="54">
        <f t="shared" si="454"/>
        <v>610</v>
      </c>
      <c r="AL410" s="67"/>
      <c r="AM410" s="67"/>
    </row>
    <row r="411" spans="1:39" s="20" customFormat="1" ht="18" customHeight="1">
      <c r="A411" s="41"/>
      <c r="B411" s="55"/>
      <c r="C411" s="58">
        <v>4178</v>
      </c>
      <c r="D411" s="31" t="s">
        <v>161</v>
      </c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>
        <v>0</v>
      </c>
      <c r="V411" s="54">
        <v>13109</v>
      </c>
      <c r="W411" s="54">
        <f t="shared" si="447"/>
        <v>13109</v>
      </c>
      <c r="X411" s="54"/>
      <c r="Y411" s="54">
        <f t="shared" si="448"/>
        <v>13109</v>
      </c>
      <c r="Z411" s="54"/>
      <c r="AA411" s="54">
        <f t="shared" si="449"/>
        <v>13109</v>
      </c>
      <c r="AB411" s="54"/>
      <c r="AC411" s="54">
        <f t="shared" si="450"/>
        <v>13109</v>
      </c>
      <c r="AD411" s="54"/>
      <c r="AE411" s="54">
        <f t="shared" si="451"/>
        <v>13109</v>
      </c>
      <c r="AF411" s="54"/>
      <c r="AG411" s="54">
        <f t="shared" si="452"/>
        <v>13109</v>
      </c>
      <c r="AH411" s="54">
        <v>4720</v>
      </c>
      <c r="AI411" s="54">
        <f t="shared" si="453"/>
        <v>17829</v>
      </c>
      <c r="AJ411" s="54"/>
      <c r="AK411" s="54">
        <f t="shared" si="454"/>
        <v>17829</v>
      </c>
      <c r="AL411" s="67"/>
      <c r="AM411" s="67"/>
    </row>
    <row r="412" spans="1:39" s="20" customFormat="1" ht="18" customHeight="1">
      <c r="A412" s="41"/>
      <c r="B412" s="55"/>
      <c r="C412" s="58">
        <v>4179</v>
      </c>
      <c r="D412" s="31" t="s">
        <v>161</v>
      </c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>
        <v>0</v>
      </c>
      <c r="V412" s="54">
        <v>8828</v>
      </c>
      <c r="W412" s="54">
        <f t="shared" si="447"/>
        <v>8828</v>
      </c>
      <c r="X412" s="54"/>
      <c r="Y412" s="54">
        <f t="shared" si="448"/>
        <v>8828</v>
      </c>
      <c r="Z412" s="54"/>
      <c r="AA412" s="54">
        <f t="shared" si="449"/>
        <v>8828</v>
      </c>
      <c r="AB412" s="54"/>
      <c r="AC412" s="54">
        <f t="shared" si="450"/>
        <v>8828</v>
      </c>
      <c r="AD412" s="54"/>
      <c r="AE412" s="54">
        <f t="shared" si="451"/>
        <v>8828</v>
      </c>
      <c r="AF412" s="54"/>
      <c r="AG412" s="54">
        <f t="shared" si="452"/>
        <v>8828</v>
      </c>
      <c r="AH412" s="54"/>
      <c r="AI412" s="54">
        <f t="shared" si="453"/>
        <v>8828</v>
      </c>
      <c r="AJ412" s="54"/>
      <c r="AK412" s="54">
        <f t="shared" si="454"/>
        <v>8828</v>
      </c>
      <c r="AL412" s="67"/>
      <c r="AM412" s="67"/>
    </row>
    <row r="413" spans="1:37" s="20" customFormat="1" ht="18" customHeight="1">
      <c r="A413" s="41"/>
      <c r="B413" s="55"/>
      <c r="C413" s="58">
        <v>4218</v>
      </c>
      <c r="D413" s="31" t="s">
        <v>86</v>
      </c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>
        <v>0</v>
      </c>
      <c r="V413" s="54">
        <v>14572</v>
      </c>
      <c r="W413" s="54">
        <f t="shared" si="447"/>
        <v>14572</v>
      </c>
      <c r="X413" s="54"/>
      <c r="Y413" s="54">
        <f t="shared" si="448"/>
        <v>14572</v>
      </c>
      <c r="Z413" s="54"/>
      <c r="AA413" s="54">
        <f t="shared" si="449"/>
        <v>14572</v>
      </c>
      <c r="AB413" s="54"/>
      <c r="AC413" s="54">
        <f t="shared" si="450"/>
        <v>14572</v>
      </c>
      <c r="AD413" s="54"/>
      <c r="AE413" s="54">
        <f t="shared" si="451"/>
        <v>14572</v>
      </c>
      <c r="AF413" s="54"/>
      <c r="AG413" s="54">
        <f t="shared" si="452"/>
        <v>14572</v>
      </c>
      <c r="AH413" s="54"/>
      <c r="AI413" s="54">
        <f t="shared" si="453"/>
        <v>14572</v>
      </c>
      <c r="AJ413" s="54"/>
      <c r="AK413" s="54">
        <f t="shared" si="454"/>
        <v>14572</v>
      </c>
    </row>
    <row r="414" spans="1:37" s="20" customFormat="1" ht="18" customHeight="1">
      <c r="A414" s="41"/>
      <c r="B414" s="55"/>
      <c r="C414" s="58">
        <v>4308</v>
      </c>
      <c r="D414" s="31" t="s">
        <v>75</v>
      </c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>
        <v>0</v>
      </c>
      <c r="V414" s="54">
        <v>107372</v>
      </c>
      <c r="W414" s="54">
        <f t="shared" si="447"/>
        <v>107372</v>
      </c>
      <c r="X414" s="54"/>
      <c r="Y414" s="54">
        <f t="shared" si="448"/>
        <v>107372</v>
      </c>
      <c r="Z414" s="54"/>
      <c r="AA414" s="54">
        <f t="shared" si="449"/>
        <v>107372</v>
      </c>
      <c r="AB414" s="54"/>
      <c r="AC414" s="54">
        <f t="shared" si="450"/>
        <v>107372</v>
      </c>
      <c r="AD414" s="54"/>
      <c r="AE414" s="54">
        <f t="shared" si="451"/>
        <v>107372</v>
      </c>
      <c r="AF414" s="54"/>
      <c r="AG414" s="54">
        <f t="shared" si="452"/>
        <v>107372</v>
      </c>
      <c r="AH414" s="54"/>
      <c r="AI414" s="54">
        <f t="shared" si="453"/>
        <v>107372</v>
      </c>
      <c r="AJ414" s="54"/>
      <c r="AK414" s="54">
        <f t="shared" si="454"/>
        <v>107372</v>
      </c>
    </row>
    <row r="415" spans="1:37" s="20" customFormat="1" ht="37.5" customHeight="1">
      <c r="A415" s="41"/>
      <c r="B415" s="55"/>
      <c r="C415" s="58">
        <v>4748</v>
      </c>
      <c r="D415" s="31" t="s">
        <v>183</v>
      </c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>
        <v>0</v>
      </c>
      <c r="V415" s="54">
        <v>100</v>
      </c>
      <c r="W415" s="54">
        <f t="shared" si="447"/>
        <v>100</v>
      </c>
      <c r="X415" s="54"/>
      <c r="Y415" s="54">
        <f t="shared" si="448"/>
        <v>100</v>
      </c>
      <c r="Z415" s="54"/>
      <c r="AA415" s="54">
        <f t="shared" si="449"/>
        <v>100</v>
      </c>
      <c r="AB415" s="54"/>
      <c r="AC415" s="54">
        <f t="shared" si="450"/>
        <v>100</v>
      </c>
      <c r="AD415" s="54"/>
      <c r="AE415" s="54">
        <f t="shared" si="451"/>
        <v>100</v>
      </c>
      <c r="AF415" s="54"/>
      <c r="AG415" s="54">
        <f t="shared" si="452"/>
        <v>100</v>
      </c>
      <c r="AH415" s="54"/>
      <c r="AI415" s="54">
        <f t="shared" si="453"/>
        <v>100</v>
      </c>
      <c r="AJ415" s="54"/>
      <c r="AK415" s="54">
        <f t="shared" si="454"/>
        <v>100</v>
      </c>
    </row>
    <row r="416" spans="1:37" s="20" customFormat="1" ht="27.75" customHeight="1">
      <c r="A416" s="41"/>
      <c r="B416" s="55"/>
      <c r="C416" s="58">
        <v>4758</v>
      </c>
      <c r="D416" s="31" t="s">
        <v>197</v>
      </c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>
        <v>0</v>
      </c>
      <c r="V416" s="54">
        <v>1000</v>
      </c>
      <c r="W416" s="54">
        <f t="shared" si="447"/>
        <v>1000</v>
      </c>
      <c r="X416" s="54"/>
      <c r="Y416" s="54">
        <f t="shared" si="448"/>
        <v>1000</v>
      </c>
      <c r="Z416" s="54"/>
      <c r="AA416" s="54">
        <f t="shared" si="449"/>
        <v>1000</v>
      </c>
      <c r="AB416" s="54"/>
      <c r="AC416" s="54">
        <f t="shared" si="450"/>
        <v>1000</v>
      </c>
      <c r="AD416" s="54"/>
      <c r="AE416" s="54">
        <f t="shared" si="451"/>
        <v>1000</v>
      </c>
      <c r="AF416" s="54"/>
      <c r="AG416" s="54">
        <f t="shared" si="452"/>
        <v>1000</v>
      </c>
      <c r="AH416" s="54"/>
      <c r="AI416" s="54">
        <f t="shared" si="453"/>
        <v>1000</v>
      </c>
      <c r="AJ416" s="54"/>
      <c r="AK416" s="54">
        <f t="shared" si="454"/>
        <v>1000</v>
      </c>
    </row>
    <row r="417" spans="1:37" s="6" customFormat="1" ht="21" customHeight="1">
      <c r="A417" s="27" t="s">
        <v>100</v>
      </c>
      <c r="B417" s="28"/>
      <c r="C417" s="29"/>
      <c r="D417" s="30" t="s">
        <v>58</v>
      </c>
      <c r="E417" s="134">
        <f aca="true" t="shared" si="455" ref="E417:AI417">SUM(E418,E429,E441,E437,E434)</f>
        <v>995031</v>
      </c>
      <c r="F417" s="134">
        <f t="shared" si="455"/>
        <v>-35000</v>
      </c>
      <c r="G417" s="134">
        <f t="shared" si="455"/>
        <v>960031</v>
      </c>
      <c r="H417" s="134">
        <f t="shared" si="455"/>
        <v>252163</v>
      </c>
      <c r="I417" s="134">
        <f t="shared" si="455"/>
        <v>1212194</v>
      </c>
      <c r="J417" s="134">
        <f t="shared" si="455"/>
        <v>4462</v>
      </c>
      <c r="K417" s="134">
        <f t="shared" si="455"/>
        <v>1216656</v>
      </c>
      <c r="L417" s="134">
        <f t="shared" si="455"/>
        <v>0</v>
      </c>
      <c r="M417" s="134">
        <f t="shared" si="455"/>
        <v>1216656</v>
      </c>
      <c r="N417" s="134">
        <f t="shared" si="455"/>
        <v>0</v>
      </c>
      <c r="O417" s="134">
        <f t="shared" si="455"/>
        <v>1216656</v>
      </c>
      <c r="P417" s="134">
        <f t="shared" si="455"/>
        <v>0</v>
      </c>
      <c r="Q417" s="134">
        <f t="shared" si="455"/>
        <v>1216656</v>
      </c>
      <c r="R417" s="134">
        <f t="shared" si="455"/>
        <v>0</v>
      </c>
      <c r="S417" s="134">
        <f t="shared" si="455"/>
        <v>1216656</v>
      </c>
      <c r="T417" s="134">
        <f t="shared" si="455"/>
        <v>0</v>
      </c>
      <c r="U417" s="134">
        <f t="shared" si="455"/>
        <v>1216656</v>
      </c>
      <c r="V417" s="134">
        <f t="shared" si="455"/>
        <v>0</v>
      </c>
      <c r="W417" s="134">
        <f t="shared" si="455"/>
        <v>1306846</v>
      </c>
      <c r="X417" s="134">
        <f t="shared" si="455"/>
        <v>0</v>
      </c>
      <c r="Y417" s="134">
        <f t="shared" si="455"/>
        <v>1306846</v>
      </c>
      <c r="Z417" s="134">
        <f t="shared" si="455"/>
        <v>6879</v>
      </c>
      <c r="AA417" s="134">
        <f t="shared" si="455"/>
        <v>1313725</v>
      </c>
      <c r="AB417" s="134">
        <f t="shared" si="455"/>
        <v>1355</v>
      </c>
      <c r="AC417" s="134">
        <f t="shared" si="455"/>
        <v>1315080</v>
      </c>
      <c r="AD417" s="134">
        <f t="shared" si="455"/>
        <v>204449</v>
      </c>
      <c r="AE417" s="134">
        <f t="shared" si="455"/>
        <v>1519529</v>
      </c>
      <c r="AF417" s="134">
        <f t="shared" si="455"/>
        <v>29059</v>
      </c>
      <c r="AG417" s="134">
        <f t="shared" si="455"/>
        <v>1548588</v>
      </c>
      <c r="AH417" s="134">
        <f t="shared" si="455"/>
        <v>13349</v>
      </c>
      <c r="AI417" s="134">
        <f t="shared" si="455"/>
        <v>1561937</v>
      </c>
      <c r="AJ417" s="134">
        <f>SUM(AJ418,AJ429,AJ441,AJ437,AJ434)</f>
        <v>0</v>
      </c>
      <c r="AK417" s="134">
        <f>SUM(AK418,AK429,AK441,AK437,AK434)</f>
        <v>1561937</v>
      </c>
    </row>
    <row r="418" spans="1:37" s="20" customFormat="1" ht="21" customHeight="1">
      <c r="A418" s="41"/>
      <c r="B418" s="55">
        <v>85401</v>
      </c>
      <c r="C418" s="58"/>
      <c r="D418" s="31" t="s">
        <v>353</v>
      </c>
      <c r="E418" s="54">
        <f aca="true" t="shared" si="456" ref="E418:AI418">SUM(E419:E428)</f>
        <v>522477</v>
      </c>
      <c r="F418" s="54">
        <f t="shared" si="456"/>
        <v>0</v>
      </c>
      <c r="G418" s="54">
        <f t="shared" si="456"/>
        <v>522477</v>
      </c>
      <c r="H418" s="54">
        <f t="shared" si="456"/>
        <v>0</v>
      </c>
      <c r="I418" s="54">
        <f t="shared" si="456"/>
        <v>522477</v>
      </c>
      <c r="J418" s="54">
        <f t="shared" si="456"/>
        <v>4462</v>
      </c>
      <c r="K418" s="54">
        <f t="shared" si="456"/>
        <v>526939</v>
      </c>
      <c r="L418" s="54">
        <f t="shared" si="456"/>
        <v>0</v>
      </c>
      <c r="M418" s="54">
        <f t="shared" si="456"/>
        <v>526939</v>
      </c>
      <c r="N418" s="54">
        <f t="shared" si="456"/>
        <v>0</v>
      </c>
      <c r="O418" s="54">
        <f t="shared" si="456"/>
        <v>526939</v>
      </c>
      <c r="P418" s="54">
        <f t="shared" si="456"/>
        <v>0</v>
      </c>
      <c r="Q418" s="54">
        <f t="shared" si="456"/>
        <v>526939</v>
      </c>
      <c r="R418" s="54">
        <f t="shared" si="456"/>
        <v>0</v>
      </c>
      <c r="S418" s="54">
        <f t="shared" si="456"/>
        <v>526939</v>
      </c>
      <c r="T418" s="54">
        <f t="shared" si="456"/>
        <v>0</v>
      </c>
      <c r="U418" s="54">
        <f t="shared" si="456"/>
        <v>526939</v>
      </c>
      <c r="V418" s="54">
        <f t="shared" si="456"/>
        <v>0</v>
      </c>
      <c r="W418" s="54">
        <f t="shared" si="456"/>
        <v>526939</v>
      </c>
      <c r="X418" s="54">
        <f t="shared" si="456"/>
        <v>0</v>
      </c>
      <c r="Y418" s="54">
        <f t="shared" si="456"/>
        <v>526939</v>
      </c>
      <c r="Z418" s="54">
        <f t="shared" si="456"/>
        <v>6879</v>
      </c>
      <c r="AA418" s="54">
        <f t="shared" si="456"/>
        <v>533818</v>
      </c>
      <c r="AB418" s="54">
        <f t="shared" si="456"/>
        <v>1355</v>
      </c>
      <c r="AC418" s="54">
        <f t="shared" si="456"/>
        <v>535173</v>
      </c>
      <c r="AD418" s="54">
        <f t="shared" si="456"/>
        <v>-2037</v>
      </c>
      <c r="AE418" s="54">
        <f t="shared" si="456"/>
        <v>533136</v>
      </c>
      <c r="AF418" s="54">
        <f t="shared" si="456"/>
        <v>29059</v>
      </c>
      <c r="AG418" s="54">
        <f t="shared" si="456"/>
        <v>562195</v>
      </c>
      <c r="AH418" s="54">
        <f t="shared" si="456"/>
        <v>11905</v>
      </c>
      <c r="AI418" s="54">
        <f t="shared" si="456"/>
        <v>574100</v>
      </c>
      <c r="AJ418" s="54">
        <f>SUM(AJ419:AJ428)</f>
        <v>0</v>
      </c>
      <c r="AK418" s="54">
        <f>SUM(AK419:AK428)</f>
        <v>574100</v>
      </c>
    </row>
    <row r="419" spans="1:37" s="20" customFormat="1" ht="21" customHeight="1">
      <c r="A419" s="41"/>
      <c r="B419" s="55"/>
      <c r="C419" s="58">
        <v>3020</v>
      </c>
      <c r="D419" s="31" t="s">
        <v>334</v>
      </c>
      <c r="E419" s="54">
        <v>10339</v>
      </c>
      <c r="F419" s="54"/>
      <c r="G419" s="54">
        <f t="shared" si="414"/>
        <v>10339</v>
      </c>
      <c r="H419" s="54"/>
      <c r="I419" s="54">
        <f aca="true" t="shared" si="457" ref="I419:I428">SUM(G419:H419)</f>
        <v>10339</v>
      </c>
      <c r="J419" s="54"/>
      <c r="K419" s="54">
        <f aca="true" t="shared" si="458" ref="K419:K428">SUM(I419:J419)</f>
        <v>10339</v>
      </c>
      <c r="L419" s="54"/>
      <c r="M419" s="54">
        <f aca="true" t="shared" si="459" ref="M419:M428">SUM(K419:L419)</f>
        <v>10339</v>
      </c>
      <c r="N419" s="54"/>
      <c r="O419" s="54">
        <f aca="true" t="shared" si="460" ref="O419:O428">SUM(M419:N419)</f>
        <v>10339</v>
      </c>
      <c r="P419" s="54"/>
      <c r="Q419" s="54">
        <f aca="true" t="shared" si="461" ref="Q419:Q428">SUM(O419:P419)</f>
        <v>10339</v>
      </c>
      <c r="R419" s="54"/>
      <c r="S419" s="54">
        <f aca="true" t="shared" si="462" ref="S419:S428">SUM(Q419:R419)</f>
        <v>10339</v>
      </c>
      <c r="T419" s="54"/>
      <c r="U419" s="54">
        <f aca="true" t="shared" si="463" ref="U419:U428">SUM(S419:T419)</f>
        <v>10339</v>
      </c>
      <c r="V419" s="54"/>
      <c r="W419" s="54">
        <f aca="true" t="shared" si="464" ref="W419:W428">SUM(U419:V419)</f>
        <v>10339</v>
      </c>
      <c r="X419" s="54"/>
      <c r="Y419" s="54">
        <f aca="true" t="shared" si="465" ref="Y419:Y428">SUM(W419:X419)</f>
        <v>10339</v>
      </c>
      <c r="Z419" s="54"/>
      <c r="AA419" s="54">
        <f aca="true" t="shared" si="466" ref="AA419:AA428">SUM(Y419:Z419)</f>
        <v>10339</v>
      </c>
      <c r="AB419" s="54"/>
      <c r="AC419" s="54">
        <f aca="true" t="shared" si="467" ref="AC419:AC428">SUM(AA419:AB419)</f>
        <v>10339</v>
      </c>
      <c r="AD419" s="54">
        <v>-37</v>
      </c>
      <c r="AE419" s="54">
        <f aca="true" t="shared" si="468" ref="AE419:AE428">SUM(AC419:AD419)</f>
        <v>10302</v>
      </c>
      <c r="AF419" s="54">
        <f>186-24</f>
        <v>162</v>
      </c>
      <c r="AG419" s="54">
        <f aca="true" t="shared" si="469" ref="AG419:AG428">SUM(AE419:AF419)</f>
        <v>10464</v>
      </c>
      <c r="AH419" s="54"/>
      <c r="AI419" s="54">
        <f aca="true" t="shared" si="470" ref="AI419:AI428">SUM(AG419:AH419)</f>
        <v>10464</v>
      </c>
      <c r="AJ419" s="54"/>
      <c r="AK419" s="54">
        <f aca="true" t="shared" si="471" ref="AK419:AK428">SUM(AI419:AJ419)</f>
        <v>10464</v>
      </c>
    </row>
    <row r="420" spans="1:39" s="20" customFormat="1" ht="21" customHeight="1">
      <c r="A420" s="41"/>
      <c r="B420" s="55"/>
      <c r="C420" s="58">
        <v>4010</v>
      </c>
      <c r="D420" s="31" t="s">
        <v>79</v>
      </c>
      <c r="E420" s="54">
        <v>371545</v>
      </c>
      <c r="F420" s="54"/>
      <c r="G420" s="54">
        <f t="shared" si="414"/>
        <v>371545</v>
      </c>
      <c r="H420" s="54"/>
      <c r="I420" s="54">
        <f t="shared" si="457"/>
        <v>371545</v>
      </c>
      <c r="J420" s="54">
        <v>613</v>
      </c>
      <c r="K420" s="54">
        <f t="shared" si="458"/>
        <v>372158</v>
      </c>
      <c r="L420" s="54"/>
      <c r="M420" s="54">
        <f t="shared" si="459"/>
        <v>372158</v>
      </c>
      <c r="N420" s="54"/>
      <c r="O420" s="54">
        <f t="shared" si="460"/>
        <v>372158</v>
      </c>
      <c r="P420" s="54"/>
      <c r="Q420" s="54">
        <f t="shared" si="461"/>
        <v>372158</v>
      </c>
      <c r="R420" s="54"/>
      <c r="S420" s="54">
        <f t="shared" si="462"/>
        <v>372158</v>
      </c>
      <c r="T420" s="54"/>
      <c r="U420" s="54">
        <f t="shared" si="463"/>
        <v>372158</v>
      </c>
      <c r="V420" s="54"/>
      <c r="W420" s="54">
        <f t="shared" si="464"/>
        <v>372158</v>
      </c>
      <c r="X420" s="54"/>
      <c r="Y420" s="54">
        <f t="shared" si="465"/>
        <v>372158</v>
      </c>
      <c r="Z420" s="54">
        <v>6314</v>
      </c>
      <c r="AA420" s="54">
        <f t="shared" si="466"/>
        <v>378472</v>
      </c>
      <c r="AB420" s="54">
        <v>1150</v>
      </c>
      <c r="AC420" s="54">
        <f t="shared" si="467"/>
        <v>379622</v>
      </c>
      <c r="AD420" s="54">
        <v>-2000</v>
      </c>
      <c r="AE420" s="54">
        <f t="shared" si="468"/>
        <v>377622</v>
      </c>
      <c r="AF420" s="54">
        <f>21046-836</f>
        <v>20210</v>
      </c>
      <c r="AG420" s="54">
        <f t="shared" si="469"/>
        <v>397832</v>
      </c>
      <c r="AH420" s="54">
        <v>240</v>
      </c>
      <c r="AI420" s="54">
        <f t="shared" si="470"/>
        <v>398072</v>
      </c>
      <c r="AJ420" s="54"/>
      <c r="AK420" s="54">
        <f t="shared" si="471"/>
        <v>398072</v>
      </c>
      <c r="AL420" s="67"/>
      <c r="AM420" s="67"/>
    </row>
    <row r="421" spans="1:39" s="20" customFormat="1" ht="21" customHeight="1">
      <c r="A421" s="41"/>
      <c r="B421" s="55"/>
      <c r="C421" s="58">
        <v>4040</v>
      </c>
      <c r="D421" s="31" t="s">
        <v>80</v>
      </c>
      <c r="E421" s="54">
        <v>23840</v>
      </c>
      <c r="F421" s="54"/>
      <c r="G421" s="54">
        <f t="shared" si="414"/>
        <v>23840</v>
      </c>
      <c r="H421" s="54"/>
      <c r="I421" s="54">
        <f t="shared" si="457"/>
        <v>23840</v>
      </c>
      <c r="J421" s="54">
        <v>3849</v>
      </c>
      <c r="K421" s="54">
        <f t="shared" si="458"/>
        <v>27689</v>
      </c>
      <c r="L421" s="54"/>
      <c r="M421" s="54">
        <f t="shared" si="459"/>
        <v>27689</v>
      </c>
      <c r="N421" s="54"/>
      <c r="O421" s="54">
        <f t="shared" si="460"/>
        <v>27689</v>
      </c>
      <c r="P421" s="54"/>
      <c r="Q421" s="54">
        <f t="shared" si="461"/>
        <v>27689</v>
      </c>
      <c r="R421" s="54"/>
      <c r="S421" s="54">
        <f t="shared" si="462"/>
        <v>27689</v>
      </c>
      <c r="T421" s="54"/>
      <c r="U421" s="54">
        <f t="shared" si="463"/>
        <v>27689</v>
      </c>
      <c r="V421" s="54"/>
      <c r="W421" s="54">
        <f t="shared" si="464"/>
        <v>27689</v>
      </c>
      <c r="X421" s="54"/>
      <c r="Y421" s="54">
        <f t="shared" si="465"/>
        <v>27689</v>
      </c>
      <c r="Z421" s="54"/>
      <c r="AA421" s="54">
        <f t="shared" si="466"/>
        <v>27689</v>
      </c>
      <c r="AB421" s="54"/>
      <c r="AC421" s="54">
        <f t="shared" si="467"/>
        <v>27689</v>
      </c>
      <c r="AD421" s="54"/>
      <c r="AE421" s="54">
        <f t="shared" si="468"/>
        <v>27689</v>
      </c>
      <c r="AF421" s="54"/>
      <c r="AG421" s="54">
        <f t="shared" si="469"/>
        <v>27689</v>
      </c>
      <c r="AH421" s="54"/>
      <c r="AI421" s="54">
        <f t="shared" si="470"/>
        <v>27689</v>
      </c>
      <c r="AJ421" s="54"/>
      <c r="AK421" s="54">
        <f t="shared" si="471"/>
        <v>27689</v>
      </c>
      <c r="AL421" s="67"/>
      <c r="AM421" s="67"/>
    </row>
    <row r="422" spans="1:39" s="20" customFormat="1" ht="21" customHeight="1">
      <c r="A422" s="41"/>
      <c r="B422" s="55"/>
      <c r="C422" s="58">
        <v>4110</v>
      </c>
      <c r="D422" s="31" t="s">
        <v>81</v>
      </c>
      <c r="E422" s="54">
        <v>58485</v>
      </c>
      <c r="F422" s="54"/>
      <c r="G422" s="54">
        <f t="shared" si="414"/>
        <v>58485</v>
      </c>
      <c r="H422" s="54"/>
      <c r="I422" s="54">
        <f t="shared" si="457"/>
        <v>58485</v>
      </c>
      <c r="J422" s="54"/>
      <c r="K422" s="54">
        <f t="shared" si="458"/>
        <v>58485</v>
      </c>
      <c r="L422" s="54"/>
      <c r="M422" s="54">
        <f t="shared" si="459"/>
        <v>58485</v>
      </c>
      <c r="N422" s="54"/>
      <c r="O422" s="54">
        <f t="shared" si="460"/>
        <v>58485</v>
      </c>
      <c r="P422" s="54"/>
      <c r="Q422" s="54">
        <f t="shared" si="461"/>
        <v>58485</v>
      </c>
      <c r="R422" s="54"/>
      <c r="S422" s="54">
        <f t="shared" si="462"/>
        <v>58485</v>
      </c>
      <c r="T422" s="54"/>
      <c r="U422" s="54">
        <f t="shared" si="463"/>
        <v>58485</v>
      </c>
      <c r="V422" s="54"/>
      <c r="W422" s="54">
        <f t="shared" si="464"/>
        <v>58485</v>
      </c>
      <c r="X422" s="54"/>
      <c r="Y422" s="54">
        <f t="shared" si="465"/>
        <v>58485</v>
      </c>
      <c r="Z422" s="54">
        <v>486</v>
      </c>
      <c r="AA422" s="54">
        <f t="shared" si="466"/>
        <v>58971</v>
      </c>
      <c r="AB422" s="54">
        <v>175</v>
      </c>
      <c r="AC422" s="54">
        <f t="shared" si="467"/>
        <v>59146</v>
      </c>
      <c r="AD422" s="54"/>
      <c r="AE422" s="54">
        <f t="shared" si="468"/>
        <v>59146</v>
      </c>
      <c r="AF422" s="54">
        <v>8180</v>
      </c>
      <c r="AG422" s="54">
        <f t="shared" si="469"/>
        <v>67326</v>
      </c>
      <c r="AH422" s="54">
        <v>-484</v>
      </c>
      <c r="AI422" s="54">
        <f t="shared" si="470"/>
        <v>66842</v>
      </c>
      <c r="AJ422" s="54"/>
      <c r="AK422" s="54">
        <f t="shared" si="471"/>
        <v>66842</v>
      </c>
      <c r="AL422" s="67"/>
      <c r="AM422" s="67"/>
    </row>
    <row r="423" spans="1:39" s="20" customFormat="1" ht="21" customHeight="1">
      <c r="A423" s="41"/>
      <c r="B423" s="55"/>
      <c r="C423" s="58">
        <v>4120</v>
      </c>
      <c r="D423" s="31" t="s">
        <v>82</v>
      </c>
      <c r="E423" s="54">
        <v>10075</v>
      </c>
      <c r="F423" s="54"/>
      <c r="G423" s="54">
        <f t="shared" si="414"/>
        <v>10075</v>
      </c>
      <c r="H423" s="54"/>
      <c r="I423" s="54">
        <f t="shared" si="457"/>
        <v>10075</v>
      </c>
      <c r="J423" s="54"/>
      <c r="K423" s="54">
        <f t="shared" si="458"/>
        <v>10075</v>
      </c>
      <c r="L423" s="54"/>
      <c r="M423" s="54">
        <f t="shared" si="459"/>
        <v>10075</v>
      </c>
      <c r="N423" s="54"/>
      <c r="O423" s="54">
        <f t="shared" si="460"/>
        <v>10075</v>
      </c>
      <c r="P423" s="54"/>
      <c r="Q423" s="54">
        <f t="shared" si="461"/>
        <v>10075</v>
      </c>
      <c r="R423" s="54"/>
      <c r="S423" s="54">
        <f t="shared" si="462"/>
        <v>10075</v>
      </c>
      <c r="T423" s="54"/>
      <c r="U423" s="54">
        <f t="shared" si="463"/>
        <v>10075</v>
      </c>
      <c r="V423" s="54"/>
      <c r="W423" s="54">
        <f t="shared" si="464"/>
        <v>10075</v>
      </c>
      <c r="X423" s="54"/>
      <c r="Y423" s="54">
        <f t="shared" si="465"/>
        <v>10075</v>
      </c>
      <c r="Z423" s="54">
        <v>79</v>
      </c>
      <c r="AA423" s="54">
        <f t="shared" si="466"/>
        <v>10154</v>
      </c>
      <c r="AB423" s="54">
        <v>30</v>
      </c>
      <c r="AC423" s="54">
        <f t="shared" si="467"/>
        <v>10184</v>
      </c>
      <c r="AD423" s="54"/>
      <c r="AE423" s="54">
        <f t="shared" si="468"/>
        <v>10184</v>
      </c>
      <c r="AF423" s="54">
        <v>507</v>
      </c>
      <c r="AG423" s="54">
        <f t="shared" si="469"/>
        <v>10691</v>
      </c>
      <c r="AH423" s="54">
        <v>-5</v>
      </c>
      <c r="AI423" s="54">
        <f t="shared" si="470"/>
        <v>10686</v>
      </c>
      <c r="AJ423" s="54"/>
      <c r="AK423" s="54">
        <f t="shared" si="471"/>
        <v>10686</v>
      </c>
      <c r="AL423" s="67"/>
      <c r="AM423" s="67"/>
    </row>
    <row r="424" spans="1:37" s="20" customFormat="1" ht="21" customHeight="1">
      <c r="A424" s="41"/>
      <c r="B424" s="55"/>
      <c r="C424" s="58">
        <v>4210</v>
      </c>
      <c r="D424" s="31" t="s">
        <v>86</v>
      </c>
      <c r="E424" s="54">
        <v>9950</v>
      </c>
      <c r="F424" s="54"/>
      <c r="G424" s="54">
        <f t="shared" si="414"/>
        <v>9950</v>
      </c>
      <c r="H424" s="54"/>
      <c r="I424" s="54">
        <f t="shared" si="457"/>
        <v>9950</v>
      </c>
      <c r="J424" s="54"/>
      <c r="K424" s="54">
        <f t="shared" si="458"/>
        <v>9950</v>
      </c>
      <c r="L424" s="54"/>
      <c r="M424" s="54">
        <f t="shared" si="459"/>
        <v>9950</v>
      </c>
      <c r="N424" s="54"/>
      <c r="O424" s="54">
        <f t="shared" si="460"/>
        <v>9950</v>
      </c>
      <c r="P424" s="54"/>
      <c r="Q424" s="54">
        <f t="shared" si="461"/>
        <v>9950</v>
      </c>
      <c r="R424" s="54"/>
      <c r="S424" s="54">
        <f t="shared" si="462"/>
        <v>9950</v>
      </c>
      <c r="T424" s="54"/>
      <c r="U424" s="54">
        <f t="shared" si="463"/>
        <v>9950</v>
      </c>
      <c r="V424" s="54"/>
      <c r="W424" s="54">
        <f t="shared" si="464"/>
        <v>9950</v>
      </c>
      <c r="X424" s="54"/>
      <c r="Y424" s="54">
        <f t="shared" si="465"/>
        <v>9950</v>
      </c>
      <c r="Z424" s="54"/>
      <c r="AA424" s="54">
        <f t="shared" si="466"/>
        <v>9950</v>
      </c>
      <c r="AB424" s="54"/>
      <c r="AC424" s="54">
        <f t="shared" si="467"/>
        <v>9950</v>
      </c>
      <c r="AD424" s="54">
        <f>409-1909</f>
        <v>-1500</v>
      </c>
      <c r="AE424" s="54">
        <f t="shared" si="468"/>
        <v>8450</v>
      </c>
      <c r="AF424" s="54">
        <v>1</v>
      </c>
      <c r="AG424" s="54">
        <f t="shared" si="469"/>
        <v>8451</v>
      </c>
      <c r="AH424" s="54">
        <v>-238</v>
      </c>
      <c r="AI424" s="54">
        <f t="shared" si="470"/>
        <v>8213</v>
      </c>
      <c r="AJ424" s="54"/>
      <c r="AK424" s="54">
        <f t="shared" si="471"/>
        <v>8213</v>
      </c>
    </row>
    <row r="425" spans="1:37" s="20" customFormat="1" ht="24">
      <c r="A425" s="41"/>
      <c r="B425" s="55"/>
      <c r="C425" s="58">
        <v>4240</v>
      </c>
      <c r="D425" s="31" t="s">
        <v>101</v>
      </c>
      <c r="E425" s="54">
        <v>8000</v>
      </c>
      <c r="F425" s="54"/>
      <c r="G425" s="54">
        <f t="shared" si="414"/>
        <v>8000</v>
      </c>
      <c r="H425" s="54"/>
      <c r="I425" s="54">
        <f t="shared" si="457"/>
        <v>8000</v>
      </c>
      <c r="J425" s="54"/>
      <c r="K425" s="54">
        <f t="shared" si="458"/>
        <v>8000</v>
      </c>
      <c r="L425" s="54"/>
      <c r="M425" s="54">
        <f t="shared" si="459"/>
        <v>8000</v>
      </c>
      <c r="N425" s="54"/>
      <c r="O425" s="54">
        <f t="shared" si="460"/>
        <v>8000</v>
      </c>
      <c r="P425" s="54"/>
      <c r="Q425" s="54">
        <f t="shared" si="461"/>
        <v>8000</v>
      </c>
      <c r="R425" s="54"/>
      <c r="S425" s="54">
        <f t="shared" si="462"/>
        <v>8000</v>
      </c>
      <c r="T425" s="54"/>
      <c r="U425" s="54">
        <f t="shared" si="463"/>
        <v>8000</v>
      </c>
      <c r="V425" s="54"/>
      <c r="W425" s="54">
        <f t="shared" si="464"/>
        <v>8000</v>
      </c>
      <c r="X425" s="54"/>
      <c r="Y425" s="54">
        <f t="shared" si="465"/>
        <v>8000</v>
      </c>
      <c r="Z425" s="54"/>
      <c r="AA425" s="54">
        <f t="shared" si="466"/>
        <v>8000</v>
      </c>
      <c r="AB425" s="54"/>
      <c r="AC425" s="54">
        <f t="shared" si="467"/>
        <v>8000</v>
      </c>
      <c r="AD425" s="54">
        <v>1500</v>
      </c>
      <c r="AE425" s="54">
        <f t="shared" si="468"/>
        <v>9500</v>
      </c>
      <c r="AF425" s="54">
        <v>-6001</v>
      </c>
      <c r="AG425" s="54">
        <f t="shared" si="469"/>
        <v>3499</v>
      </c>
      <c r="AH425" s="54"/>
      <c r="AI425" s="54">
        <f t="shared" si="470"/>
        <v>3499</v>
      </c>
      <c r="AJ425" s="54"/>
      <c r="AK425" s="54">
        <f t="shared" si="471"/>
        <v>3499</v>
      </c>
    </row>
    <row r="426" spans="1:37" s="20" customFormat="1" ht="21.75" customHeight="1">
      <c r="A426" s="41"/>
      <c r="B426" s="55"/>
      <c r="C426" s="58">
        <v>4270</v>
      </c>
      <c r="D426" s="31" t="s">
        <v>74</v>
      </c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>
        <v>0</v>
      </c>
      <c r="AF426" s="54">
        <v>6000</v>
      </c>
      <c r="AG426" s="54">
        <f t="shared" si="469"/>
        <v>6000</v>
      </c>
      <c r="AH426" s="54">
        <f>1645+10043</f>
        <v>11688</v>
      </c>
      <c r="AI426" s="54">
        <f t="shared" si="470"/>
        <v>17688</v>
      </c>
      <c r="AJ426" s="54"/>
      <c r="AK426" s="54">
        <f t="shared" si="471"/>
        <v>17688</v>
      </c>
    </row>
    <row r="427" spans="1:37" s="20" customFormat="1" ht="21" customHeight="1">
      <c r="A427" s="41"/>
      <c r="B427" s="55"/>
      <c r="C427" s="58">
        <v>4280</v>
      </c>
      <c r="D427" s="31" t="s">
        <v>336</v>
      </c>
      <c r="E427" s="54">
        <v>600</v>
      </c>
      <c r="F427" s="54"/>
      <c r="G427" s="54">
        <f t="shared" si="414"/>
        <v>600</v>
      </c>
      <c r="H427" s="54"/>
      <c r="I427" s="54">
        <f t="shared" si="457"/>
        <v>600</v>
      </c>
      <c r="J427" s="54"/>
      <c r="K427" s="54">
        <f t="shared" si="458"/>
        <v>600</v>
      </c>
      <c r="L427" s="54"/>
      <c r="M427" s="54">
        <f t="shared" si="459"/>
        <v>600</v>
      </c>
      <c r="N427" s="54"/>
      <c r="O427" s="54">
        <f t="shared" si="460"/>
        <v>600</v>
      </c>
      <c r="P427" s="54"/>
      <c r="Q427" s="54">
        <f t="shared" si="461"/>
        <v>600</v>
      </c>
      <c r="R427" s="54"/>
      <c r="S427" s="54">
        <f t="shared" si="462"/>
        <v>600</v>
      </c>
      <c r="T427" s="54"/>
      <c r="U427" s="54">
        <f t="shared" si="463"/>
        <v>600</v>
      </c>
      <c r="V427" s="54"/>
      <c r="W427" s="54">
        <f t="shared" si="464"/>
        <v>600</v>
      </c>
      <c r="X427" s="54"/>
      <c r="Y427" s="54">
        <f t="shared" si="465"/>
        <v>600</v>
      </c>
      <c r="Z427" s="54"/>
      <c r="AA427" s="54">
        <f t="shared" si="466"/>
        <v>600</v>
      </c>
      <c r="AB427" s="54"/>
      <c r="AC427" s="54">
        <f t="shared" si="467"/>
        <v>600</v>
      </c>
      <c r="AD427" s="54"/>
      <c r="AE427" s="54">
        <f t="shared" si="468"/>
        <v>600</v>
      </c>
      <c r="AF427" s="54"/>
      <c r="AG427" s="54">
        <f t="shared" si="469"/>
        <v>600</v>
      </c>
      <c r="AH427" s="54"/>
      <c r="AI427" s="54">
        <f t="shared" si="470"/>
        <v>600</v>
      </c>
      <c r="AJ427" s="54"/>
      <c r="AK427" s="54">
        <f t="shared" si="471"/>
        <v>600</v>
      </c>
    </row>
    <row r="428" spans="1:37" s="20" customFormat="1" ht="24">
      <c r="A428" s="41"/>
      <c r="B428" s="55"/>
      <c r="C428" s="58">
        <v>4440</v>
      </c>
      <c r="D428" s="31" t="s">
        <v>83</v>
      </c>
      <c r="E428" s="54">
        <v>29643</v>
      </c>
      <c r="F428" s="54"/>
      <c r="G428" s="54">
        <f t="shared" si="414"/>
        <v>29643</v>
      </c>
      <c r="H428" s="54"/>
      <c r="I428" s="54">
        <f t="shared" si="457"/>
        <v>29643</v>
      </c>
      <c r="J428" s="54"/>
      <c r="K428" s="54">
        <f t="shared" si="458"/>
        <v>29643</v>
      </c>
      <c r="L428" s="54"/>
      <c r="M428" s="54">
        <f t="shared" si="459"/>
        <v>29643</v>
      </c>
      <c r="N428" s="54"/>
      <c r="O428" s="54">
        <f t="shared" si="460"/>
        <v>29643</v>
      </c>
      <c r="P428" s="54"/>
      <c r="Q428" s="54">
        <f t="shared" si="461"/>
        <v>29643</v>
      </c>
      <c r="R428" s="54"/>
      <c r="S428" s="54">
        <f t="shared" si="462"/>
        <v>29643</v>
      </c>
      <c r="T428" s="54"/>
      <c r="U428" s="54">
        <f t="shared" si="463"/>
        <v>29643</v>
      </c>
      <c r="V428" s="54"/>
      <c r="W428" s="54">
        <f t="shared" si="464"/>
        <v>29643</v>
      </c>
      <c r="X428" s="54"/>
      <c r="Y428" s="54">
        <f t="shared" si="465"/>
        <v>29643</v>
      </c>
      <c r="Z428" s="54"/>
      <c r="AA428" s="54">
        <f t="shared" si="466"/>
        <v>29643</v>
      </c>
      <c r="AB428" s="54"/>
      <c r="AC428" s="54">
        <f t="shared" si="467"/>
        <v>29643</v>
      </c>
      <c r="AD428" s="54"/>
      <c r="AE428" s="54">
        <f t="shared" si="468"/>
        <v>29643</v>
      </c>
      <c r="AF428" s="54"/>
      <c r="AG428" s="54">
        <f t="shared" si="469"/>
        <v>29643</v>
      </c>
      <c r="AH428" s="54">
        <v>704</v>
      </c>
      <c r="AI428" s="54">
        <f t="shared" si="470"/>
        <v>30347</v>
      </c>
      <c r="AJ428" s="54"/>
      <c r="AK428" s="54">
        <f t="shared" si="471"/>
        <v>30347</v>
      </c>
    </row>
    <row r="429" spans="1:37" s="20" customFormat="1" ht="36">
      <c r="A429" s="41"/>
      <c r="B429" s="55" t="s">
        <v>103</v>
      </c>
      <c r="C429" s="58"/>
      <c r="D429" s="31" t="s">
        <v>128</v>
      </c>
      <c r="E429" s="54">
        <f aca="true" t="shared" si="472" ref="E429:W429">SUM(E430:E433)</f>
        <v>140890</v>
      </c>
      <c r="F429" s="54">
        <f t="shared" si="472"/>
        <v>-35000</v>
      </c>
      <c r="G429" s="54">
        <f t="shared" si="472"/>
        <v>105890</v>
      </c>
      <c r="H429" s="54">
        <f t="shared" si="472"/>
        <v>0</v>
      </c>
      <c r="I429" s="54">
        <f t="shared" si="472"/>
        <v>105890</v>
      </c>
      <c r="J429" s="54">
        <f t="shared" si="472"/>
        <v>0</v>
      </c>
      <c r="K429" s="54">
        <f t="shared" si="472"/>
        <v>105890</v>
      </c>
      <c r="L429" s="54">
        <f t="shared" si="472"/>
        <v>0</v>
      </c>
      <c r="M429" s="54">
        <f t="shared" si="472"/>
        <v>105890</v>
      </c>
      <c r="N429" s="54">
        <f t="shared" si="472"/>
        <v>0</v>
      </c>
      <c r="O429" s="54">
        <f t="shared" si="472"/>
        <v>105890</v>
      </c>
      <c r="P429" s="54">
        <f t="shared" si="472"/>
        <v>0</v>
      </c>
      <c r="Q429" s="54">
        <f t="shared" si="472"/>
        <v>105890</v>
      </c>
      <c r="R429" s="54">
        <f t="shared" si="472"/>
        <v>0</v>
      </c>
      <c r="S429" s="54">
        <f t="shared" si="472"/>
        <v>105890</v>
      </c>
      <c r="T429" s="54">
        <f t="shared" si="472"/>
        <v>0</v>
      </c>
      <c r="U429" s="54">
        <f t="shared" si="472"/>
        <v>105890</v>
      </c>
      <c r="V429" s="54">
        <f t="shared" si="472"/>
        <v>0</v>
      </c>
      <c r="W429" s="54">
        <f t="shared" si="472"/>
        <v>144140</v>
      </c>
      <c r="X429" s="54">
        <f aca="true" t="shared" si="473" ref="X429:AC429">SUM(X430:X433)</f>
        <v>0</v>
      </c>
      <c r="Y429" s="54">
        <f t="shared" si="473"/>
        <v>144140</v>
      </c>
      <c r="Z429" s="54">
        <f t="shared" si="473"/>
        <v>0</v>
      </c>
      <c r="AA429" s="54">
        <f t="shared" si="473"/>
        <v>144140</v>
      </c>
      <c r="AB429" s="54">
        <f t="shared" si="473"/>
        <v>0</v>
      </c>
      <c r="AC429" s="54">
        <f t="shared" si="473"/>
        <v>144140</v>
      </c>
      <c r="AD429" s="54">
        <f aca="true" t="shared" si="474" ref="AD429:AI429">SUM(AD430:AD433)</f>
        <v>-464</v>
      </c>
      <c r="AE429" s="54">
        <f t="shared" si="474"/>
        <v>143676</v>
      </c>
      <c r="AF429" s="54">
        <f t="shared" si="474"/>
        <v>0</v>
      </c>
      <c r="AG429" s="54">
        <f t="shared" si="474"/>
        <v>143676</v>
      </c>
      <c r="AH429" s="54">
        <f t="shared" si="474"/>
        <v>3012</v>
      </c>
      <c r="AI429" s="54">
        <f t="shared" si="474"/>
        <v>146688</v>
      </c>
      <c r="AJ429" s="54">
        <f>SUM(AJ430:AJ433)</f>
        <v>0</v>
      </c>
      <c r="AK429" s="54">
        <f>SUM(AK430:AK433)</f>
        <v>146688</v>
      </c>
    </row>
    <row r="430" spans="1:43" s="20" customFormat="1" ht="60">
      <c r="A430" s="41"/>
      <c r="B430" s="55"/>
      <c r="C430" s="58">
        <v>2830</v>
      </c>
      <c r="D430" s="31" t="s">
        <v>214</v>
      </c>
      <c r="E430" s="54">
        <v>65000</v>
      </c>
      <c r="F430" s="54">
        <v>-65000</v>
      </c>
      <c r="G430" s="54">
        <f t="shared" si="414"/>
        <v>0</v>
      </c>
      <c r="H430" s="54"/>
      <c r="I430" s="54">
        <f>SUM(G430:H430)</f>
        <v>0</v>
      </c>
      <c r="J430" s="54"/>
      <c r="K430" s="54">
        <f>SUM(I430:J430)</f>
        <v>0</v>
      </c>
      <c r="L430" s="54"/>
      <c r="M430" s="54">
        <f>SUM(K430:L430)</f>
        <v>0</v>
      </c>
      <c r="N430" s="54"/>
      <c r="O430" s="54">
        <f>SUM(M430:N430)</f>
        <v>0</v>
      </c>
      <c r="P430" s="54"/>
      <c r="Q430" s="54">
        <f>SUM(O430:P430)</f>
        <v>0</v>
      </c>
      <c r="R430" s="54"/>
      <c r="S430" s="54">
        <f>SUM(Q430:R430)</f>
        <v>0</v>
      </c>
      <c r="T430" s="54"/>
      <c r="U430" s="54">
        <f>SUM(S430:T430)</f>
        <v>0</v>
      </c>
      <c r="V430" s="54"/>
      <c r="W430" s="54">
        <v>38250</v>
      </c>
      <c r="X430" s="54"/>
      <c r="Y430" s="54">
        <f>SUM(W430:X430)</f>
        <v>38250</v>
      </c>
      <c r="Z430" s="54"/>
      <c r="AA430" s="54">
        <f>SUM(Y430:Z430)</f>
        <v>38250</v>
      </c>
      <c r="AB430" s="54"/>
      <c r="AC430" s="54">
        <f>SUM(AA430:AB430)</f>
        <v>38250</v>
      </c>
      <c r="AD430" s="54"/>
      <c r="AE430" s="54">
        <f>SUM(AC430:AD430)</f>
        <v>38250</v>
      </c>
      <c r="AF430" s="54"/>
      <c r="AG430" s="54">
        <f>SUM(AE430:AF430)</f>
        <v>38250</v>
      </c>
      <c r="AH430" s="54"/>
      <c r="AI430" s="54">
        <f>SUM(AG430:AH430)</f>
        <v>38250</v>
      </c>
      <c r="AJ430" s="54"/>
      <c r="AK430" s="54">
        <f>SUM(AI430:AJ430)</f>
        <v>38250</v>
      </c>
      <c r="AP430" s="67"/>
      <c r="AQ430" s="67"/>
    </row>
    <row r="431" spans="1:37" s="20" customFormat="1" ht="21" customHeight="1">
      <c r="A431" s="41"/>
      <c r="B431" s="55"/>
      <c r="C431" s="58">
        <v>4210</v>
      </c>
      <c r="D431" s="31" t="s">
        <v>86</v>
      </c>
      <c r="E431" s="54">
        <v>2390</v>
      </c>
      <c r="F431" s="54"/>
      <c r="G431" s="54">
        <f t="shared" si="414"/>
        <v>2390</v>
      </c>
      <c r="H431" s="54"/>
      <c r="I431" s="54">
        <f>SUM(G431:H431)</f>
        <v>2390</v>
      </c>
      <c r="J431" s="54"/>
      <c r="K431" s="54">
        <f>SUM(I431:J431)</f>
        <v>2390</v>
      </c>
      <c r="L431" s="54"/>
      <c r="M431" s="54">
        <f>SUM(K431:L431)</f>
        <v>2390</v>
      </c>
      <c r="N431" s="54"/>
      <c r="O431" s="54">
        <f>SUM(M431:N431)</f>
        <v>2390</v>
      </c>
      <c r="P431" s="54"/>
      <c r="Q431" s="54">
        <f>SUM(O431:P431)</f>
        <v>2390</v>
      </c>
      <c r="R431" s="54"/>
      <c r="S431" s="54">
        <f>SUM(Q431:R431)</f>
        <v>2390</v>
      </c>
      <c r="T431" s="54"/>
      <c r="U431" s="54">
        <f>SUM(S431:T431)</f>
        <v>2390</v>
      </c>
      <c r="V431" s="54"/>
      <c r="W431" s="54">
        <f>SUM(U431:V431)</f>
        <v>2390</v>
      </c>
      <c r="X431" s="54"/>
      <c r="Y431" s="54">
        <f>SUM(W431:X431)</f>
        <v>2390</v>
      </c>
      <c r="Z431" s="54"/>
      <c r="AA431" s="54">
        <f>SUM(Y431:Z431)</f>
        <v>2390</v>
      </c>
      <c r="AB431" s="54"/>
      <c r="AC431" s="54">
        <f>SUM(AA431:AB431)</f>
        <v>2390</v>
      </c>
      <c r="AD431" s="54">
        <v>568</v>
      </c>
      <c r="AE431" s="54">
        <f>SUM(AC431:AD431)</f>
        <v>2958</v>
      </c>
      <c r="AF431" s="54"/>
      <c r="AG431" s="54">
        <f>SUM(AE431:AF431)</f>
        <v>2958</v>
      </c>
      <c r="AH431" s="54"/>
      <c r="AI431" s="54">
        <f>SUM(AG431:AH431)</f>
        <v>2958</v>
      </c>
      <c r="AJ431" s="54"/>
      <c r="AK431" s="54">
        <f>SUM(AI431:AJ431)</f>
        <v>2958</v>
      </c>
    </row>
    <row r="432" spans="1:37" s="20" customFormat="1" ht="21" customHeight="1">
      <c r="A432" s="58"/>
      <c r="B432" s="140"/>
      <c r="C432" s="58">
        <v>4300</v>
      </c>
      <c r="D432" s="31" t="s">
        <v>75</v>
      </c>
      <c r="E432" s="54">
        <v>7500</v>
      </c>
      <c r="F432" s="54">
        <v>30000</v>
      </c>
      <c r="G432" s="54">
        <f t="shared" si="414"/>
        <v>37500</v>
      </c>
      <c r="H432" s="54"/>
      <c r="I432" s="54">
        <f>SUM(G432:H432)</f>
        <v>37500</v>
      </c>
      <c r="J432" s="54"/>
      <c r="K432" s="54">
        <f>SUM(I432:J432)</f>
        <v>37500</v>
      </c>
      <c r="L432" s="54"/>
      <c r="M432" s="54">
        <f>SUM(K432:L432)</f>
        <v>37500</v>
      </c>
      <c r="N432" s="54"/>
      <c r="O432" s="54">
        <f>SUM(M432:N432)</f>
        <v>37500</v>
      </c>
      <c r="P432" s="54"/>
      <c r="Q432" s="54">
        <f>SUM(O432:P432)</f>
        <v>37500</v>
      </c>
      <c r="R432" s="54"/>
      <c r="S432" s="54">
        <f>SUM(Q432:R432)</f>
        <v>37500</v>
      </c>
      <c r="T432" s="54"/>
      <c r="U432" s="54">
        <f>SUM(S432:T432)</f>
        <v>37500</v>
      </c>
      <c r="V432" s="54"/>
      <c r="W432" s="54">
        <f>SUM(U432:V432)</f>
        <v>37500</v>
      </c>
      <c r="X432" s="54"/>
      <c r="Y432" s="54">
        <f>SUM(W432:X432)</f>
        <v>37500</v>
      </c>
      <c r="Z432" s="54"/>
      <c r="AA432" s="54">
        <f>SUM(Y432:Z432)</f>
        <v>37500</v>
      </c>
      <c r="AB432" s="54"/>
      <c r="AC432" s="54">
        <f>SUM(AA432:AB432)</f>
        <v>37500</v>
      </c>
      <c r="AD432" s="54">
        <v>-1032</v>
      </c>
      <c r="AE432" s="54">
        <f>SUM(AC432:AD432)</f>
        <v>36468</v>
      </c>
      <c r="AF432" s="54"/>
      <c r="AG432" s="54">
        <f>SUM(AE432:AF432)</f>
        <v>36468</v>
      </c>
      <c r="AH432" s="54">
        <v>-18990</v>
      </c>
      <c r="AI432" s="54">
        <f>SUM(AG432:AH432)</f>
        <v>17478</v>
      </c>
      <c r="AJ432" s="54"/>
      <c r="AK432" s="54">
        <f>SUM(AI432:AJ432)</f>
        <v>17478</v>
      </c>
    </row>
    <row r="433" spans="1:41" s="20" customFormat="1" ht="26.25" customHeight="1">
      <c r="A433" s="58"/>
      <c r="B433" s="140"/>
      <c r="C433" s="58">
        <v>6050</v>
      </c>
      <c r="D433" s="31" t="s">
        <v>69</v>
      </c>
      <c r="E433" s="54">
        <f>50000+16000</f>
        <v>66000</v>
      </c>
      <c r="F433" s="54"/>
      <c r="G433" s="54">
        <f t="shared" si="414"/>
        <v>66000</v>
      </c>
      <c r="H433" s="54"/>
      <c r="I433" s="54">
        <f>SUM(G433:H433)</f>
        <v>66000</v>
      </c>
      <c r="J433" s="54"/>
      <c r="K433" s="54">
        <f>SUM(I433:J433)</f>
        <v>66000</v>
      </c>
      <c r="L433" s="54"/>
      <c r="M433" s="54">
        <f>SUM(K433:L433)</f>
        <v>66000</v>
      </c>
      <c r="N433" s="54"/>
      <c r="O433" s="54">
        <f>SUM(M433:N433)</f>
        <v>66000</v>
      </c>
      <c r="P433" s="54"/>
      <c r="Q433" s="54">
        <f>SUM(O433:P433)</f>
        <v>66000</v>
      </c>
      <c r="R433" s="54"/>
      <c r="S433" s="54">
        <f>SUM(Q433:R433)</f>
        <v>66000</v>
      </c>
      <c r="T433" s="54"/>
      <c r="U433" s="54">
        <f>SUM(S433:T433)</f>
        <v>66000</v>
      </c>
      <c r="V433" s="54"/>
      <c r="W433" s="54">
        <f>SUM(U433:V433)</f>
        <v>66000</v>
      </c>
      <c r="X433" s="54"/>
      <c r="Y433" s="54">
        <f>SUM(W433:X433)</f>
        <v>66000</v>
      </c>
      <c r="Z433" s="54"/>
      <c r="AA433" s="54">
        <f>SUM(Y433:Z433)</f>
        <v>66000</v>
      </c>
      <c r="AB433" s="54"/>
      <c r="AC433" s="54">
        <f>SUM(AA433:AB433)</f>
        <v>66000</v>
      </c>
      <c r="AD433" s="54"/>
      <c r="AE433" s="54">
        <f>SUM(AC433:AD433)</f>
        <v>66000</v>
      </c>
      <c r="AF433" s="54"/>
      <c r="AG433" s="54">
        <f>SUM(AE433:AF433)</f>
        <v>66000</v>
      </c>
      <c r="AH433" s="54">
        <f>-98+22100</f>
        <v>22002</v>
      </c>
      <c r="AI433" s="54">
        <f>SUM(AG433:AH433)</f>
        <v>88002</v>
      </c>
      <c r="AJ433" s="54"/>
      <c r="AK433" s="54">
        <f>SUM(AI433:AJ433)</f>
        <v>88002</v>
      </c>
      <c r="AN433" s="67"/>
      <c r="AO433" s="67"/>
    </row>
    <row r="434" spans="1:37" s="20" customFormat="1" ht="21" customHeight="1">
      <c r="A434" s="58"/>
      <c r="B434" s="140">
        <v>85415</v>
      </c>
      <c r="C434" s="58"/>
      <c r="D434" s="31" t="s">
        <v>184</v>
      </c>
      <c r="E434" s="54">
        <f aca="true" t="shared" si="475" ref="E434:V434">SUM(E435)</f>
        <v>100000</v>
      </c>
      <c r="F434" s="54">
        <f t="shared" si="475"/>
        <v>0</v>
      </c>
      <c r="G434" s="54">
        <f t="shared" si="475"/>
        <v>100000</v>
      </c>
      <c r="H434" s="54">
        <f t="shared" si="475"/>
        <v>252163</v>
      </c>
      <c r="I434" s="54">
        <f t="shared" si="475"/>
        <v>352163</v>
      </c>
      <c r="J434" s="54">
        <f t="shared" si="475"/>
        <v>0</v>
      </c>
      <c r="K434" s="54">
        <f t="shared" si="475"/>
        <v>352163</v>
      </c>
      <c r="L434" s="54">
        <f t="shared" si="475"/>
        <v>0</v>
      </c>
      <c r="M434" s="54">
        <f t="shared" si="475"/>
        <v>352163</v>
      </c>
      <c r="N434" s="54">
        <f t="shared" si="475"/>
        <v>0</v>
      </c>
      <c r="O434" s="54">
        <f t="shared" si="475"/>
        <v>352163</v>
      </c>
      <c r="P434" s="54">
        <f t="shared" si="475"/>
        <v>0</v>
      </c>
      <c r="Q434" s="54">
        <f t="shared" si="475"/>
        <v>352163</v>
      </c>
      <c r="R434" s="54">
        <f t="shared" si="475"/>
        <v>0</v>
      </c>
      <c r="S434" s="54">
        <f t="shared" si="475"/>
        <v>352163</v>
      </c>
      <c r="T434" s="54">
        <f t="shared" si="475"/>
        <v>0</v>
      </c>
      <c r="U434" s="54">
        <f t="shared" si="475"/>
        <v>352163</v>
      </c>
      <c r="V434" s="54">
        <f t="shared" si="475"/>
        <v>0</v>
      </c>
      <c r="W434" s="54">
        <f aca="true" t="shared" si="476" ref="W434:AC434">SUM(W435,W436)</f>
        <v>404103</v>
      </c>
      <c r="X434" s="54">
        <f t="shared" si="476"/>
        <v>0</v>
      </c>
      <c r="Y434" s="54">
        <f t="shared" si="476"/>
        <v>404103</v>
      </c>
      <c r="Z434" s="54">
        <f t="shared" si="476"/>
        <v>0</v>
      </c>
      <c r="AA434" s="54">
        <f t="shared" si="476"/>
        <v>404103</v>
      </c>
      <c r="AB434" s="54">
        <f t="shared" si="476"/>
        <v>0</v>
      </c>
      <c r="AC434" s="54">
        <f t="shared" si="476"/>
        <v>404103</v>
      </c>
      <c r="AD434" s="54">
        <f aca="true" t="shared" si="477" ref="AD434:AI434">SUM(AD435,AD436)</f>
        <v>186528</v>
      </c>
      <c r="AE434" s="54">
        <f t="shared" si="477"/>
        <v>590631</v>
      </c>
      <c r="AF434" s="54">
        <f t="shared" si="477"/>
        <v>0</v>
      </c>
      <c r="AG434" s="54">
        <f t="shared" si="477"/>
        <v>590631</v>
      </c>
      <c r="AH434" s="54">
        <f t="shared" si="477"/>
        <v>-1568</v>
      </c>
      <c r="AI434" s="54">
        <f t="shared" si="477"/>
        <v>589063</v>
      </c>
      <c r="AJ434" s="54">
        <f>SUM(AJ435,AJ436)</f>
        <v>0</v>
      </c>
      <c r="AK434" s="54">
        <f>SUM(AK435,AK436)</f>
        <v>589063</v>
      </c>
    </row>
    <row r="435" spans="1:37" s="20" customFormat="1" ht="21" customHeight="1">
      <c r="A435" s="58"/>
      <c r="B435" s="140"/>
      <c r="C435" s="58">
        <v>3240</v>
      </c>
      <c r="D435" s="31" t="s">
        <v>354</v>
      </c>
      <c r="E435" s="54">
        <v>100000</v>
      </c>
      <c r="F435" s="54"/>
      <c r="G435" s="54">
        <f t="shared" si="414"/>
        <v>100000</v>
      </c>
      <c r="H435" s="54">
        <v>252163</v>
      </c>
      <c r="I435" s="54">
        <f>SUM(G435:H435)</f>
        <v>352163</v>
      </c>
      <c r="J435" s="54"/>
      <c r="K435" s="54">
        <f>SUM(I435:J435)</f>
        <v>352163</v>
      </c>
      <c r="L435" s="54"/>
      <c r="M435" s="54">
        <f>SUM(K435:L435)</f>
        <v>352163</v>
      </c>
      <c r="N435" s="54"/>
      <c r="O435" s="54">
        <f>SUM(M435:N435)</f>
        <v>352163</v>
      </c>
      <c r="P435" s="54"/>
      <c r="Q435" s="54">
        <f>SUM(O435:P435)</f>
        <v>352163</v>
      </c>
      <c r="R435" s="54"/>
      <c r="S435" s="54">
        <f>SUM(Q435:R435)</f>
        <v>352163</v>
      </c>
      <c r="T435" s="54"/>
      <c r="U435" s="54">
        <f>SUM(S435:T435)</f>
        <v>352163</v>
      </c>
      <c r="V435" s="54"/>
      <c r="W435" s="54">
        <f>SUM(U435:V435)</f>
        <v>352163</v>
      </c>
      <c r="X435" s="54"/>
      <c r="Y435" s="54">
        <f>SUM(W435:X435)</f>
        <v>352163</v>
      </c>
      <c r="Z435" s="54"/>
      <c r="AA435" s="54">
        <f>SUM(Y435:Z435)</f>
        <v>352163</v>
      </c>
      <c r="AB435" s="54"/>
      <c r="AC435" s="54">
        <f>SUM(AA435:AB435)</f>
        <v>352163</v>
      </c>
      <c r="AD435" s="54">
        <v>186528</v>
      </c>
      <c r="AE435" s="54">
        <f>SUM(AC435:AD435)</f>
        <v>538691</v>
      </c>
      <c r="AF435" s="54"/>
      <c r="AG435" s="54">
        <f>SUM(AE435:AF435)</f>
        <v>538691</v>
      </c>
      <c r="AH435" s="54">
        <v>-1568</v>
      </c>
      <c r="AI435" s="54">
        <f>SUM(AG435:AH435)</f>
        <v>537123</v>
      </c>
      <c r="AJ435" s="54"/>
      <c r="AK435" s="54">
        <f>SUM(AI435:AJ435)</f>
        <v>537123</v>
      </c>
    </row>
    <row r="436" spans="1:37" s="20" customFormat="1" ht="27.75" customHeight="1">
      <c r="A436" s="58"/>
      <c r="B436" s="140"/>
      <c r="C436" s="58">
        <v>3260</v>
      </c>
      <c r="D436" s="31" t="s">
        <v>355</v>
      </c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>
        <v>51940</v>
      </c>
      <c r="X436" s="54"/>
      <c r="Y436" s="54">
        <f>SUM(W436:X436)</f>
        <v>51940</v>
      </c>
      <c r="Z436" s="54"/>
      <c r="AA436" s="54">
        <f>SUM(Y436:Z436)</f>
        <v>51940</v>
      </c>
      <c r="AB436" s="54"/>
      <c r="AC436" s="54">
        <f>SUM(AA436:AB436)</f>
        <v>51940</v>
      </c>
      <c r="AD436" s="54"/>
      <c r="AE436" s="54">
        <f>SUM(AC436:AD436)</f>
        <v>51940</v>
      </c>
      <c r="AF436" s="54"/>
      <c r="AG436" s="54">
        <f>SUM(AE436:AF436)</f>
        <v>51940</v>
      </c>
      <c r="AH436" s="54"/>
      <c r="AI436" s="54">
        <f>SUM(AG436:AH436)</f>
        <v>51940</v>
      </c>
      <c r="AJ436" s="54"/>
      <c r="AK436" s="54">
        <f>SUM(AI436:AJ436)</f>
        <v>51940</v>
      </c>
    </row>
    <row r="437" spans="1:37" s="20" customFormat="1" ht="21" customHeight="1">
      <c r="A437" s="58"/>
      <c r="B437" s="140">
        <v>85446</v>
      </c>
      <c r="C437" s="58"/>
      <c r="D437" s="31" t="s">
        <v>120</v>
      </c>
      <c r="E437" s="54">
        <f>SUM(E438:E438)</f>
        <v>3813</v>
      </c>
      <c r="F437" s="54">
        <f>SUM(F438:F438)</f>
        <v>0</v>
      </c>
      <c r="G437" s="54">
        <f>SUM(G438:G438)</f>
        <v>3813</v>
      </c>
      <c r="H437" s="54">
        <f>SUM(H438:H438)</f>
        <v>0</v>
      </c>
      <c r="I437" s="54">
        <f aca="true" t="shared" si="478" ref="I437:U437">SUM(I438:I440)</f>
        <v>3813</v>
      </c>
      <c r="J437" s="54">
        <f t="shared" si="478"/>
        <v>0</v>
      </c>
      <c r="K437" s="54">
        <f t="shared" si="478"/>
        <v>3813</v>
      </c>
      <c r="L437" s="54">
        <f t="shared" si="478"/>
        <v>0</v>
      </c>
      <c r="M437" s="54">
        <f t="shared" si="478"/>
        <v>3813</v>
      </c>
      <c r="N437" s="54">
        <f t="shared" si="478"/>
        <v>0</v>
      </c>
      <c r="O437" s="54">
        <f t="shared" si="478"/>
        <v>3813</v>
      </c>
      <c r="P437" s="54">
        <f t="shared" si="478"/>
        <v>0</v>
      </c>
      <c r="Q437" s="54">
        <f t="shared" si="478"/>
        <v>3813</v>
      </c>
      <c r="R437" s="54">
        <f t="shared" si="478"/>
        <v>0</v>
      </c>
      <c r="S437" s="54">
        <f t="shared" si="478"/>
        <v>3813</v>
      </c>
      <c r="T437" s="54">
        <f t="shared" si="478"/>
        <v>0</v>
      </c>
      <c r="U437" s="54">
        <f t="shared" si="478"/>
        <v>3813</v>
      </c>
      <c r="V437" s="54">
        <f aca="true" t="shared" si="479" ref="V437:AA437">SUM(V438:V440)</f>
        <v>0</v>
      </c>
      <c r="W437" s="54">
        <f t="shared" si="479"/>
        <v>3813</v>
      </c>
      <c r="X437" s="54">
        <f t="shared" si="479"/>
        <v>0</v>
      </c>
      <c r="Y437" s="54">
        <f t="shared" si="479"/>
        <v>3813</v>
      </c>
      <c r="Z437" s="54">
        <f t="shared" si="479"/>
        <v>0</v>
      </c>
      <c r="AA437" s="54">
        <f t="shared" si="479"/>
        <v>3813</v>
      </c>
      <c r="AB437" s="54">
        <f aca="true" t="shared" si="480" ref="AB437:AG437">SUM(AB438:AB440)</f>
        <v>0</v>
      </c>
      <c r="AC437" s="54">
        <f t="shared" si="480"/>
        <v>3813</v>
      </c>
      <c r="AD437" s="54">
        <f t="shared" si="480"/>
        <v>-322</v>
      </c>
      <c r="AE437" s="54">
        <f t="shared" si="480"/>
        <v>3491</v>
      </c>
      <c r="AF437" s="54">
        <f t="shared" si="480"/>
        <v>0</v>
      </c>
      <c r="AG437" s="54">
        <f t="shared" si="480"/>
        <v>3491</v>
      </c>
      <c r="AH437" s="54">
        <f>SUM(AH438:AH440)</f>
        <v>0</v>
      </c>
      <c r="AI437" s="54">
        <f>SUM(AI438:AI440)</f>
        <v>3491</v>
      </c>
      <c r="AJ437" s="54">
        <f>SUM(AJ438:AJ440)</f>
        <v>0</v>
      </c>
      <c r="AK437" s="54">
        <f>SUM(AK438:AK440)</f>
        <v>3491</v>
      </c>
    </row>
    <row r="438" spans="1:37" s="20" customFormat="1" ht="28.5" customHeight="1">
      <c r="A438" s="58"/>
      <c r="B438" s="140"/>
      <c r="C438" s="58">
        <v>4300</v>
      </c>
      <c r="D438" s="31" t="s">
        <v>75</v>
      </c>
      <c r="E438" s="54">
        <v>3813</v>
      </c>
      <c r="F438" s="54"/>
      <c r="G438" s="54">
        <f t="shared" si="414"/>
        <v>3813</v>
      </c>
      <c r="H438" s="54"/>
      <c r="I438" s="54">
        <f>SUM(G438:H438)</f>
        <v>3813</v>
      </c>
      <c r="J438" s="54">
        <f>-1825-1158</f>
        <v>-2983</v>
      </c>
      <c r="K438" s="54">
        <f>SUM(I438:J438)</f>
        <v>830</v>
      </c>
      <c r="L438" s="54"/>
      <c r="M438" s="54">
        <f>SUM(K438:L438)</f>
        <v>830</v>
      </c>
      <c r="N438" s="54"/>
      <c r="O438" s="54">
        <f>SUM(M438:N438)</f>
        <v>830</v>
      </c>
      <c r="P438" s="54"/>
      <c r="Q438" s="54">
        <f>SUM(O438:P438)</f>
        <v>830</v>
      </c>
      <c r="R438" s="54"/>
      <c r="S438" s="54">
        <f>SUM(Q438:R438)</f>
        <v>830</v>
      </c>
      <c r="T438" s="54"/>
      <c r="U438" s="54">
        <f>SUM(S438:T438)</f>
        <v>830</v>
      </c>
      <c r="V438" s="54"/>
      <c r="W438" s="54">
        <f>SUM(U438:V438)</f>
        <v>830</v>
      </c>
      <c r="X438" s="54"/>
      <c r="Y438" s="54">
        <f>SUM(W438:X438)</f>
        <v>830</v>
      </c>
      <c r="Z438" s="54"/>
      <c r="AA438" s="54">
        <f>SUM(Y438:Z438)</f>
        <v>830</v>
      </c>
      <c r="AB438" s="54"/>
      <c r="AC438" s="54">
        <f>SUM(AA438:AB438)</f>
        <v>830</v>
      </c>
      <c r="AD438" s="54">
        <v>-77</v>
      </c>
      <c r="AE438" s="54">
        <f>SUM(AC438:AD438)</f>
        <v>753</v>
      </c>
      <c r="AF438" s="54"/>
      <c r="AG438" s="54">
        <f>SUM(AE438:AF438)</f>
        <v>753</v>
      </c>
      <c r="AH438" s="54">
        <v>77</v>
      </c>
      <c r="AI438" s="54">
        <f>SUM(AG438:AH438)</f>
        <v>830</v>
      </c>
      <c r="AJ438" s="54"/>
      <c r="AK438" s="54">
        <f>SUM(AI438:AJ438)</f>
        <v>830</v>
      </c>
    </row>
    <row r="439" spans="1:37" s="20" customFormat="1" ht="21" customHeight="1">
      <c r="A439" s="58"/>
      <c r="B439" s="140"/>
      <c r="C439" s="58">
        <v>4410</v>
      </c>
      <c r="D439" s="31" t="s">
        <v>85</v>
      </c>
      <c r="E439" s="54"/>
      <c r="F439" s="54"/>
      <c r="G439" s="54"/>
      <c r="H439" s="54"/>
      <c r="I439" s="54">
        <v>0</v>
      </c>
      <c r="J439" s="54">
        <v>1158</v>
      </c>
      <c r="K439" s="54">
        <f>SUM(I439:J439)</f>
        <v>1158</v>
      </c>
      <c r="L439" s="54"/>
      <c r="M439" s="54">
        <f>SUM(K439:L439)</f>
        <v>1158</v>
      </c>
      <c r="N439" s="54"/>
      <c r="O439" s="54">
        <f>SUM(M439:N439)</f>
        <v>1158</v>
      </c>
      <c r="P439" s="54"/>
      <c r="Q439" s="54">
        <f>SUM(O439:P439)</f>
        <v>1158</v>
      </c>
      <c r="R439" s="54"/>
      <c r="S439" s="54">
        <f>SUM(Q439:R439)</f>
        <v>1158</v>
      </c>
      <c r="T439" s="54"/>
      <c r="U439" s="54">
        <f>SUM(S439:T439)</f>
        <v>1158</v>
      </c>
      <c r="V439" s="54"/>
      <c r="W439" s="54">
        <f>SUM(U439:V439)</f>
        <v>1158</v>
      </c>
      <c r="X439" s="54"/>
      <c r="Y439" s="54">
        <f>SUM(W439:X439)</f>
        <v>1158</v>
      </c>
      <c r="Z439" s="54"/>
      <c r="AA439" s="54">
        <f>SUM(Y439:Z439)</f>
        <v>1158</v>
      </c>
      <c r="AB439" s="54"/>
      <c r="AC439" s="54">
        <f>SUM(AA439:AB439)</f>
        <v>1158</v>
      </c>
      <c r="AD439" s="54"/>
      <c r="AE439" s="54">
        <f>SUM(AC439:AD439)</f>
        <v>1158</v>
      </c>
      <c r="AF439" s="54"/>
      <c r="AG439" s="54">
        <f>SUM(AE439:AF439)</f>
        <v>1158</v>
      </c>
      <c r="AH439" s="54">
        <v>-77</v>
      </c>
      <c r="AI439" s="54">
        <f>SUM(AG439:AH439)</f>
        <v>1081</v>
      </c>
      <c r="AJ439" s="54"/>
      <c r="AK439" s="54">
        <f>SUM(AI439:AJ439)</f>
        <v>1081</v>
      </c>
    </row>
    <row r="440" spans="1:37" s="20" customFormat="1" ht="24">
      <c r="A440" s="58"/>
      <c r="B440" s="140"/>
      <c r="C440" s="58">
        <v>4700</v>
      </c>
      <c r="D440" s="31" t="s">
        <v>193</v>
      </c>
      <c r="E440" s="54"/>
      <c r="F440" s="54"/>
      <c r="G440" s="54"/>
      <c r="H440" s="54"/>
      <c r="I440" s="54">
        <v>0</v>
      </c>
      <c r="J440" s="54">
        <v>1825</v>
      </c>
      <c r="K440" s="54">
        <f>SUM(I440:J440)</f>
        <v>1825</v>
      </c>
      <c r="L440" s="54"/>
      <c r="M440" s="54">
        <f>SUM(K440:L440)</f>
        <v>1825</v>
      </c>
      <c r="N440" s="54"/>
      <c r="O440" s="54">
        <f>SUM(M440:N440)</f>
        <v>1825</v>
      </c>
      <c r="P440" s="54"/>
      <c r="Q440" s="54">
        <f>SUM(O440:P440)</f>
        <v>1825</v>
      </c>
      <c r="R440" s="54"/>
      <c r="S440" s="54">
        <f>SUM(Q440:R440)</f>
        <v>1825</v>
      </c>
      <c r="T440" s="54"/>
      <c r="U440" s="54">
        <f>SUM(S440:T440)</f>
        <v>1825</v>
      </c>
      <c r="V440" s="54"/>
      <c r="W440" s="54">
        <f>SUM(U440:V440)</f>
        <v>1825</v>
      </c>
      <c r="X440" s="54"/>
      <c r="Y440" s="54">
        <f>SUM(W440:X440)</f>
        <v>1825</v>
      </c>
      <c r="Z440" s="54"/>
      <c r="AA440" s="54">
        <f>SUM(Y440:Z440)</f>
        <v>1825</v>
      </c>
      <c r="AB440" s="54"/>
      <c r="AC440" s="54">
        <f>SUM(AA440:AB440)</f>
        <v>1825</v>
      </c>
      <c r="AD440" s="54">
        <v>-245</v>
      </c>
      <c r="AE440" s="54">
        <f>SUM(AC440:AD440)</f>
        <v>1580</v>
      </c>
      <c r="AF440" s="54"/>
      <c r="AG440" s="54">
        <f>SUM(AE440:AF440)</f>
        <v>1580</v>
      </c>
      <c r="AH440" s="54"/>
      <c r="AI440" s="54">
        <f>SUM(AG440:AH440)</f>
        <v>1580</v>
      </c>
      <c r="AJ440" s="54"/>
      <c r="AK440" s="54">
        <f>SUM(AI440:AJ440)</f>
        <v>1580</v>
      </c>
    </row>
    <row r="441" spans="1:37" s="20" customFormat="1" ht="21" customHeight="1">
      <c r="A441" s="58"/>
      <c r="B441" s="140">
        <v>85495</v>
      </c>
      <c r="C441" s="58"/>
      <c r="D441" s="31" t="s">
        <v>6</v>
      </c>
      <c r="E441" s="54">
        <f aca="true" t="shared" si="481" ref="E441:AK441">SUM(E442:E442)</f>
        <v>227851</v>
      </c>
      <c r="F441" s="54">
        <f t="shared" si="481"/>
        <v>0</v>
      </c>
      <c r="G441" s="54">
        <f t="shared" si="481"/>
        <v>227851</v>
      </c>
      <c r="H441" s="54">
        <f t="shared" si="481"/>
        <v>0</v>
      </c>
      <c r="I441" s="54">
        <f t="shared" si="481"/>
        <v>227851</v>
      </c>
      <c r="J441" s="54">
        <f t="shared" si="481"/>
        <v>0</v>
      </c>
      <c r="K441" s="54">
        <f t="shared" si="481"/>
        <v>227851</v>
      </c>
      <c r="L441" s="54">
        <f t="shared" si="481"/>
        <v>0</v>
      </c>
      <c r="M441" s="54">
        <f t="shared" si="481"/>
        <v>227851</v>
      </c>
      <c r="N441" s="54">
        <f t="shared" si="481"/>
        <v>0</v>
      </c>
      <c r="O441" s="54">
        <f t="shared" si="481"/>
        <v>227851</v>
      </c>
      <c r="P441" s="54">
        <f t="shared" si="481"/>
        <v>0</v>
      </c>
      <c r="Q441" s="54">
        <f t="shared" si="481"/>
        <v>227851</v>
      </c>
      <c r="R441" s="54">
        <f t="shared" si="481"/>
        <v>0</v>
      </c>
      <c r="S441" s="54">
        <f t="shared" si="481"/>
        <v>227851</v>
      </c>
      <c r="T441" s="54">
        <f t="shared" si="481"/>
        <v>0</v>
      </c>
      <c r="U441" s="54">
        <f t="shared" si="481"/>
        <v>227851</v>
      </c>
      <c r="V441" s="54">
        <f t="shared" si="481"/>
        <v>0</v>
      </c>
      <c r="W441" s="54">
        <f t="shared" si="481"/>
        <v>227851</v>
      </c>
      <c r="X441" s="54">
        <f t="shared" si="481"/>
        <v>0</v>
      </c>
      <c r="Y441" s="54">
        <f t="shared" si="481"/>
        <v>227851</v>
      </c>
      <c r="Z441" s="54">
        <f t="shared" si="481"/>
        <v>0</v>
      </c>
      <c r="AA441" s="54">
        <f t="shared" si="481"/>
        <v>227851</v>
      </c>
      <c r="AB441" s="54">
        <f t="shared" si="481"/>
        <v>0</v>
      </c>
      <c r="AC441" s="54">
        <f t="shared" si="481"/>
        <v>227851</v>
      </c>
      <c r="AD441" s="54">
        <f t="shared" si="481"/>
        <v>20744</v>
      </c>
      <c r="AE441" s="54">
        <f t="shared" si="481"/>
        <v>248595</v>
      </c>
      <c r="AF441" s="54">
        <f t="shared" si="481"/>
        <v>0</v>
      </c>
      <c r="AG441" s="54">
        <f t="shared" si="481"/>
        <v>248595</v>
      </c>
      <c r="AH441" s="54">
        <f t="shared" si="481"/>
        <v>0</v>
      </c>
      <c r="AI441" s="54">
        <f t="shared" si="481"/>
        <v>248595</v>
      </c>
      <c r="AJ441" s="54">
        <f t="shared" si="481"/>
        <v>0</v>
      </c>
      <c r="AK441" s="54">
        <f t="shared" si="481"/>
        <v>248595</v>
      </c>
    </row>
    <row r="442" spans="1:43" s="20" customFormat="1" ht="48">
      <c r="A442" s="58"/>
      <c r="B442" s="140"/>
      <c r="C442" s="58">
        <v>2320</v>
      </c>
      <c r="D442" s="31" t="s">
        <v>356</v>
      </c>
      <c r="E442" s="54">
        <v>227851</v>
      </c>
      <c r="F442" s="54"/>
      <c r="G442" s="54">
        <f t="shared" si="414"/>
        <v>227851</v>
      </c>
      <c r="H442" s="54"/>
      <c r="I442" s="54">
        <f>SUM(G442:H442)</f>
        <v>227851</v>
      </c>
      <c r="J442" s="54"/>
      <c r="K442" s="54">
        <f>SUM(I442:J442)</f>
        <v>227851</v>
      </c>
      <c r="L442" s="54"/>
      <c r="M442" s="54">
        <f>SUM(K442:L442)</f>
        <v>227851</v>
      </c>
      <c r="N442" s="54"/>
      <c r="O442" s="54">
        <f>SUM(M442:N442)</f>
        <v>227851</v>
      </c>
      <c r="P442" s="54"/>
      <c r="Q442" s="54">
        <f>SUM(O442:P442)</f>
        <v>227851</v>
      </c>
      <c r="R442" s="54"/>
      <c r="S442" s="54">
        <f>SUM(Q442:R442)</f>
        <v>227851</v>
      </c>
      <c r="T442" s="54"/>
      <c r="U442" s="54">
        <f>SUM(S442:T442)</f>
        <v>227851</v>
      </c>
      <c r="V442" s="54"/>
      <c r="W442" s="54">
        <f>SUM(U442:V442)</f>
        <v>227851</v>
      </c>
      <c r="X442" s="54"/>
      <c r="Y442" s="54">
        <f>SUM(W442:X442)</f>
        <v>227851</v>
      </c>
      <c r="Z442" s="54"/>
      <c r="AA442" s="54">
        <f>SUM(Y442:Z442)</f>
        <v>227851</v>
      </c>
      <c r="AB442" s="54"/>
      <c r="AC442" s="54">
        <f>SUM(AA442:AB442)</f>
        <v>227851</v>
      </c>
      <c r="AD442" s="54">
        <f>17070+3674</f>
        <v>20744</v>
      </c>
      <c r="AE442" s="54">
        <f>SUM(AC442:AD442)</f>
        <v>248595</v>
      </c>
      <c r="AF442" s="54"/>
      <c r="AG442" s="54">
        <f>SUM(AE442:AF442)</f>
        <v>248595</v>
      </c>
      <c r="AH442" s="54"/>
      <c r="AI442" s="54">
        <f>SUM(AG442:AH442)</f>
        <v>248595</v>
      </c>
      <c r="AJ442" s="54"/>
      <c r="AK442" s="54">
        <f>SUM(AI442:AJ442)</f>
        <v>248595</v>
      </c>
      <c r="AP442" s="67"/>
      <c r="AQ442" s="67"/>
    </row>
    <row r="443" spans="1:37" s="6" customFormat="1" ht="24">
      <c r="A443" s="27" t="s">
        <v>104</v>
      </c>
      <c r="B443" s="28"/>
      <c r="C443" s="29"/>
      <c r="D443" s="30" t="s">
        <v>59</v>
      </c>
      <c r="E443" s="134">
        <f aca="true" t="shared" si="482" ref="E443:W443">SUM(E444,E452,E454,E459,E461,E468,E450)</f>
        <v>5872910</v>
      </c>
      <c r="F443" s="134">
        <f t="shared" si="482"/>
        <v>-2310000</v>
      </c>
      <c r="G443" s="134">
        <f t="shared" si="482"/>
        <v>3562910</v>
      </c>
      <c r="H443" s="134">
        <f t="shared" si="482"/>
        <v>0</v>
      </c>
      <c r="I443" s="134">
        <f t="shared" si="482"/>
        <v>3562910</v>
      </c>
      <c r="J443" s="134">
        <f t="shared" si="482"/>
        <v>-44881</v>
      </c>
      <c r="K443" s="134">
        <f t="shared" si="482"/>
        <v>3518029</v>
      </c>
      <c r="L443" s="134">
        <f t="shared" si="482"/>
        <v>-50500</v>
      </c>
      <c r="M443" s="134">
        <f t="shared" si="482"/>
        <v>3467529</v>
      </c>
      <c r="N443" s="134">
        <f t="shared" si="482"/>
        <v>0</v>
      </c>
      <c r="O443" s="134">
        <f t="shared" si="482"/>
        <v>3467529</v>
      </c>
      <c r="P443" s="134">
        <f t="shared" si="482"/>
        <v>0</v>
      </c>
      <c r="Q443" s="134">
        <f t="shared" si="482"/>
        <v>3467529</v>
      </c>
      <c r="R443" s="134">
        <f t="shared" si="482"/>
        <v>-31500</v>
      </c>
      <c r="S443" s="134">
        <f t="shared" si="482"/>
        <v>3436029</v>
      </c>
      <c r="T443" s="134">
        <f t="shared" si="482"/>
        <v>0</v>
      </c>
      <c r="U443" s="134">
        <f t="shared" si="482"/>
        <v>3436029</v>
      </c>
      <c r="V443" s="134">
        <f t="shared" si="482"/>
        <v>300</v>
      </c>
      <c r="W443" s="134">
        <f t="shared" si="482"/>
        <v>3436329</v>
      </c>
      <c r="X443" s="134">
        <f aca="true" t="shared" si="483" ref="X443:AC443">SUM(X444,X452,X454,X459,X461,X468,X450)</f>
        <v>0</v>
      </c>
      <c r="Y443" s="134">
        <f t="shared" si="483"/>
        <v>3436329</v>
      </c>
      <c r="Z443" s="134">
        <f t="shared" si="483"/>
        <v>950327</v>
      </c>
      <c r="AA443" s="134">
        <f t="shared" si="483"/>
        <v>4386656</v>
      </c>
      <c r="AB443" s="134">
        <f t="shared" si="483"/>
        <v>0</v>
      </c>
      <c r="AC443" s="134">
        <f t="shared" si="483"/>
        <v>4386656</v>
      </c>
      <c r="AD443" s="134">
        <f aca="true" t="shared" si="484" ref="AD443:AI443">SUM(AD444,AD452,AD454,AD459,AD461,AD468,AD450)</f>
        <v>3078</v>
      </c>
      <c r="AE443" s="134">
        <f t="shared" si="484"/>
        <v>4389734</v>
      </c>
      <c r="AF443" s="134">
        <f t="shared" si="484"/>
        <v>46484</v>
      </c>
      <c r="AG443" s="134">
        <f t="shared" si="484"/>
        <v>4436218</v>
      </c>
      <c r="AH443" s="134">
        <f t="shared" si="484"/>
        <v>16030</v>
      </c>
      <c r="AI443" s="134">
        <f t="shared" si="484"/>
        <v>4452248</v>
      </c>
      <c r="AJ443" s="134">
        <f>SUM(AJ444,AJ452,AJ454,AJ459,AJ461,AJ468,AJ450)</f>
        <v>0</v>
      </c>
      <c r="AK443" s="134">
        <f>SUM(AK444,AK452,AK454,AK459,AK461,AK468,AK450)</f>
        <v>4452248</v>
      </c>
    </row>
    <row r="444" spans="1:37" s="20" customFormat="1" ht="21" customHeight="1">
      <c r="A444" s="41"/>
      <c r="B444" s="55" t="s">
        <v>105</v>
      </c>
      <c r="C444" s="58"/>
      <c r="D444" s="31" t="s">
        <v>60</v>
      </c>
      <c r="E444" s="54">
        <f aca="true" t="shared" si="485" ref="E444:W444">SUM(E446:E449)</f>
        <v>2615000</v>
      </c>
      <c r="F444" s="54">
        <f t="shared" si="485"/>
        <v>-1320000</v>
      </c>
      <c r="G444" s="54">
        <f t="shared" si="485"/>
        <v>1295000</v>
      </c>
      <c r="H444" s="54">
        <f t="shared" si="485"/>
        <v>0</v>
      </c>
      <c r="I444" s="54">
        <f t="shared" si="485"/>
        <v>1295000</v>
      </c>
      <c r="J444" s="54">
        <f t="shared" si="485"/>
        <v>119</v>
      </c>
      <c r="K444" s="54">
        <f t="shared" si="485"/>
        <v>1295119</v>
      </c>
      <c r="L444" s="54">
        <f t="shared" si="485"/>
        <v>-71500</v>
      </c>
      <c r="M444" s="54">
        <f t="shared" si="485"/>
        <v>1223619</v>
      </c>
      <c r="N444" s="54">
        <f t="shared" si="485"/>
        <v>0</v>
      </c>
      <c r="O444" s="54">
        <f t="shared" si="485"/>
        <v>1223619</v>
      </c>
      <c r="P444" s="54">
        <f t="shared" si="485"/>
        <v>0</v>
      </c>
      <c r="Q444" s="54">
        <f t="shared" si="485"/>
        <v>1223619</v>
      </c>
      <c r="R444" s="54">
        <f t="shared" si="485"/>
        <v>-32000</v>
      </c>
      <c r="S444" s="54">
        <f t="shared" si="485"/>
        <v>1191619</v>
      </c>
      <c r="T444" s="54">
        <f t="shared" si="485"/>
        <v>0</v>
      </c>
      <c r="U444" s="54">
        <f t="shared" si="485"/>
        <v>1191619</v>
      </c>
      <c r="V444" s="54">
        <f t="shared" si="485"/>
        <v>-11800</v>
      </c>
      <c r="W444" s="54">
        <f t="shared" si="485"/>
        <v>1179819</v>
      </c>
      <c r="X444" s="54">
        <f aca="true" t="shared" si="486" ref="X444:AC444">SUM(X446:X449)</f>
        <v>0</v>
      </c>
      <c r="Y444" s="54">
        <f t="shared" si="486"/>
        <v>1179819</v>
      </c>
      <c r="Z444" s="54">
        <f t="shared" si="486"/>
        <v>0</v>
      </c>
      <c r="AA444" s="54">
        <f t="shared" si="486"/>
        <v>1179819</v>
      </c>
      <c r="AB444" s="54">
        <f t="shared" si="486"/>
        <v>0</v>
      </c>
      <c r="AC444" s="54">
        <f t="shared" si="486"/>
        <v>1179819</v>
      </c>
      <c r="AD444" s="54">
        <f>SUM(AD446:AD449)</f>
        <v>0</v>
      </c>
      <c r="AE444" s="54">
        <f>SUM(AE446:AE449)</f>
        <v>1179819</v>
      </c>
      <c r="AF444" s="54">
        <f>SUM(AF446:AF449)</f>
        <v>47000</v>
      </c>
      <c r="AG444" s="54">
        <f>SUM(AG446:AG449)</f>
        <v>1226819</v>
      </c>
      <c r="AH444" s="54">
        <f>SUM(AH445:AH449)</f>
        <v>0</v>
      </c>
      <c r="AI444" s="54">
        <f>SUM(AI445:AI449)</f>
        <v>1226819</v>
      </c>
      <c r="AJ444" s="54">
        <f>SUM(AJ445:AJ449)</f>
        <v>0</v>
      </c>
      <c r="AK444" s="54">
        <f>SUM(AK445:AK449)</f>
        <v>1226819</v>
      </c>
    </row>
    <row r="445" spans="1:37" s="20" customFormat="1" ht="21" customHeight="1">
      <c r="A445" s="41"/>
      <c r="B445" s="55"/>
      <c r="C445" s="58">
        <v>4270</v>
      </c>
      <c r="D445" s="31" t="s">
        <v>74</v>
      </c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>
        <v>0</v>
      </c>
      <c r="AH445" s="54">
        <v>47000</v>
      </c>
      <c r="AI445" s="54">
        <f>SUM(AG445:AH445)</f>
        <v>47000</v>
      </c>
      <c r="AJ445" s="54"/>
      <c r="AK445" s="54">
        <f>SUM(AI445:AJ445)</f>
        <v>47000</v>
      </c>
    </row>
    <row r="446" spans="1:37" s="20" customFormat="1" ht="21" customHeight="1">
      <c r="A446" s="41"/>
      <c r="B446" s="55"/>
      <c r="C446" s="41">
        <v>4300</v>
      </c>
      <c r="D446" s="31" t="s">
        <v>75</v>
      </c>
      <c r="E446" s="54">
        <v>145000</v>
      </c>
      <c r="F446" s="54"/>
      <c r="G446" s="54">
        <f aca="true" t="shared" si="487" ref="G446:G507">SUM(E446:F446)</f>
        <v>145000</v>
      </c>
      <c r="H446" s="54">
        <v>-150</v>
      </c>
      <c r="I446" s="54">
        <f>SUM(G446:H446)</f>
        <v>144850</v>
      </c>
      <c r="J446" s="54"/>
      <c r="K446" s="54">
        <f>SUM(I446:J446)</f>
        <v>144850</v>
      </c>
      <c r="L446" s="54"/>
      <c r="M446" s="54">
        <f>SUM(K446:L446)</f>
        <v>144850</v>
      </c>
      <c r="N446" s="54"/>
      <c r="O446" s="54">
        <f>SUM(M446:N446)</f>
        <v>144850</v>
      </c>
      <c r="P446" s="54"/>
      <c r="Q446" s="54">
        <f>SUM(O446:P446)</f>
        <v>144850</v>
      </c>
      <c r="R446" s="54"/>
      <c r="S446" s="54">
        <f>SUM(Q446:R446)</f>
        <v>144850</v>
      </c>
      <c r="T446" s="54"/>
      <c r="U446" s="54">
        <f>SUM(S446:T446)</f>
        <v>144850</v>
      </c>
      <c r="V446" s="54"/>
      <c r="W446" s="54">
        <f>SUM(U446:V446)</f>
        <v>144850</v>
      </c>
      <c r="X446" s="54"/>
      <c r="Y446" s="54">
        <f>SUM(W446:X446)</f>
        <v>144850</v>
      </c>
      <c r="Z446" s="54"/>
      <c r="AA446" s="54">
        <f>SUM(Y446:Z446)</f>
        <v>144850</v>
      </c>
      <c r="AB446" s="54"/>
      <c r="AC446" s="54">
        <f>SUM(AA446:AB446)</f>
        <v>144850</v>
      </c>
      <c r="AD446" s="54"/>
      <c r="AE446" s="54">
        <f>SUM(AC446:AD446)</f>
        <v>144850</v>
      </c>
      <c r="AF446" s="54"/>
      <c r="AG446" s="54">
        <f>SUM(AE446:AF446)</f>
        <v>144850</v>
      </c>
      <c r="AH446" s="54"/>
      <c r="AI446" s="54">
        <f>SUM(AG446:AH446)</f>
        <v>144850</v>
      </c>
      <c r="AJ446" s="54"/>
      <c r="AK446" s="54">
        <f>SUM(AI446:AJ446)</f>
        <v>144850</v>
      </c>
    </row>
    <row r="447" spans="1:37" s="20" customFormat="1" ht="21" customHeight="1">
      <c r="A447" s="41"/>
      <c r="B447" s="55"/>
      <c r="C447" s="177">
        <v>4430</v>
      </c>
      <c r="D447" s="178" t="s">
        <v>357</v>
      </c>
      <c r="E447" s="179"/>
      <c r="F447" s="179"/>
      <c r="G447" s="179">
        <v>0</v>
      </c>
      <c r="H447" s="179">
        <v>150</v>
      </c>
      <c r="I447" s="179">
        <f>SUM(G447:H447)</f>
        <v>150</v>
      </c>
      <c r="J447" s="179"/>
      <c r="K447" s="179">
        <f>SUM(I447:J447)</f>
        <v>150</v>
      </c>
      <c r="L447" s="179"/>
      <c r="M447" s="179">
        <f>SUM(K447:L447)</f>
        <v>150</v>
      </c>
      <c r="N447" s="179"/>
      <c r="O447" s="179">
        <f>SUM(M447:N447)</f>
        <v>150</v>
      </c>
      <c r="P447" s="179"/>
      <c r="Q447" s="179">
        <f>SUM(O447:P447)</f>
        <v>150</v>
      </c>
      <c r="R447" s="179"/>
      <c r="S447" s="179">
        <f>SUM(Q447:R447)</f>
        <v>150</v>
      </c>
      <c r="T447" s="179"/>
      <c r="U447" s="179">
        <f>SUM(S447:T447)</f>
        <v>150</v>
      </c>
      <c r="V447" s="179"/>
      <c r="W447" s="179">
        <f>SUM(U447:V447)</f>
        <v>150</v>
      </c>
      <c r="X447" s="179"/>
      <c r="Y447" s="179">
        <f>SUM(W447:X447)</f>
        <v>150</v>
      </c>
      <c r="Z447" s="179"/>
      <c r="AA447" s="179">
        <f>SUM(Y447:Z447)</f>
        <v>150</v>
      </c>
      <c r="AB447" s="179"/>
      <c r="AC447" s="179">
        <f>SUM(AA447:AB447)</f>
        <v>150</v>
      </c>
      <c r="AD447" s="179"/>
      <c r="AE447" s="179">
        <f>SUM(AC447:AD447)</f>
        <v>150</v>
      </c>
      <c r="AF447" s="179"/>
      <c r="AG447" s="179">
        <f>SUM(AE447:AF447)</f>
        <v>150</v>
      </c>
      <c r="AH447" s="179"/>
      <c r="AI447" s="179">
        <f>SUM(AG447:AH447)</f>
        <v>150</v>
      </c>
      <c r="AJ447" s="179"/>
      <c r="AK447" s="179">
        <f>SUM(AI447:AJ447)</f>
        <v>150</v>
      </c>
    </row>
    <row r="448" spans="1:41" s="20" customFormat="1" ht="57" customHeight="1">
      <c r="A448" s="41"/>
      <c r="B448" s="55"/>
      <c r="C448" s="177">
        <v>6010</v>
      </c>
      <c r="D448" s="178" t="s">
        <v>202</v>
      </c>
      <c r="E448" s="179"/>
      <c r="F448" s="179"/>
      <c r="G448" s="179"/>
      <c r="H448" s="179"/>
      <c r="I448" s="179">
        <v>0</v>
      </c>
      <c r="J448" s="179">
        <v>119</v>
      </c>
      <c r="K448" s="179">
        <f>SUM(I448:J448)</f>
        <v>119</v>
      </c>
      <c r="L448" s="179"/>
      <c r="M448" s="179">
        <f>SUM(K448:L448)</f>
        <v>119</v>
      </c>
      <c r="N448" s="179"/>
      <c r="O448" s="179">
        <f>SUM(M448:N448)</f>
        <v>119</v>
      </c>
      <c r="P448" s="179"/>
      <c r="Q448" s="179">
        <f>SUM(O448:P448)</f>
        <v>119</v>
      </c>
      <c r="R448" s="179"/>
      <c r="S448" s="179">
        <f>SUM(Q448:R448)</f>
        <v>119</v>
      </c>
      <c r="T448" s="179"/>
      <c r="U448" s="179">
        <f>SUM(S448:T448)</f>
        <v>119</v>
      </c>
      <c r="V448" s="179"/>
      <c r="W448" s="179">
        <f>SUM(U448:V448)</f>
        <v>119</v>
      </c>
      <c r="X448" s="179"/>
      <c r="Y448" s="179">
        <f>SUM(W448:X448)</f>
        <v>119</v>
      </c>
      <c r="Z448" s="179"/>
      <c r="AA448" s="179">
        <f>SUM(Y448:Z448)</f>
        <v>119</v>
      </c>
      <c r="AB448" s="179"/>
      <c r="AC448" s="179">
        <f>SUM(AA448:AB448)</f>
        <v>119</v>
      </c>
      <c r="AD448" s="179"/>
      <c r="AE448" s="179">
        <f>SUM(AC448:AD448)</f>
        <v>119</v>
      </c>
      <c r="AF448" s="179">
        <v>47000</v>
      </c>
      <c r="AG448" s="179">
        <f>SUM(AE448:AF448)</f>
        <v>47119</v>
      </c>
      <c r="AH448" s="179">
        <v>-47000</v>
      </c>
      <c r="AI448" s="179">
        <f>SUM(AG448:AH448)</f>
        <v>119</v>
      </c>
      <c r="AJ448" s="179"/>
      <c r="AK448" s="179">
        <f>SUM(AI448:AJ448)</f>
        <v>119</v>
      </c>
      <c r="AN448" s="67"/>
      <c r="AO448" s="67"/>
    </row>
    <row r="449" spans="1:41" s="20" customFormat="1" ht="21" customHeight="1">
      <c r="A449" s="41"/>
      <c r="B449" s="55"/>
      <c r="C449" s="41">
        <v>6050</v>
      </c>
      <c r="D449" s="31" t="s">
        <v>69</v>
      </c>
      <c r="E449" s="54">
        <v>2470000</v>
      </c>
      <c r="F449" s="54">
        <f>-760000-290000-280000+10000</f>
        <v>-1320000</v>
      </c>
      <c r="G449" s="54">
        <f t="shared" si="487"/>
        <v>1150000</v>
      </c>
      <c r="H449" s="54"/>
      <c r="I449" s="54">
        <f>SUM(G449:H449)</f>
        <v>1150000</v>
      </c>
      <c r="J449" s="54"/>
      <c r="K449" s="54">
        <f>SUM(I449:J449)</f>
        <v>1150000</v>
      </c>
      <c r="L449" s="54">
        <f>-87000+15500</f>
        <v>-71500</v>
      </c>
      <c r="M449" s="54">
        <f>SUM(K449:L449)</f>
        <v>1078500</v>
      </c>
      <c r="N449" s="54"/>
      <c r="O449" s="54">
        <f>SUM(M449:N449)</f>
        <v>1078500</v>
      </c>
      <c r="P449" s="54"/>
      <c r="Q449" s="54">
        <f>SUM(O449:P449)</f>
        <v>1078500</v>
      </c>
      <c r="R449" s="54">
        <v>-32000</v>
      </c>
      <c r="S449" s="54">
        <f>SUM(Q449:R449)</f>
        <v>1046500</v>
      </c>
      <c r="T449" s="54"/>
      <c r="U449" s="54">
        <f>SUM(S449:T449)</f>
        <v>1046500</v>
      </c>
      <c r="V449" s="54">
        <v>-11800</v>
      </c>
      <c r="W449" s="54">
        <f>SUM(U449:V449)</f>
        <v>1034700</v>
      </c>
      <c r="X449" s="54"/>
      <c r="Y449" s="54">
        <f>SUM(W449:X449)</f>
        <v>1034700</v>
      </c>
      <c r="Z449" s="54"/>
      <c r="AA449" s="54">
        <f>SUM(Y449:Z449)</f>
        <v>1034700</v>
      </c>
      <c r="AB449" s="54"/>
      <c r="AC449" s="54">
        <f>SUM(AA449:AB449)</f>
        <v>1034700</v>
      </c>
      <c r="AD449" s="54"/>
      <c r="AE449" s="54">
        <f>SUM(AC449:AD449)</f>
        <v>1034700</v>
      </c>
      <c r="AF449" s="54"/>
      <c r="AG449" s="54">
        <f>SUM(AE449:AF449)</f>
        <v>1034700</v>
      </c>
      <c r="AH449" s="54"/>
      <c r="AI449" s="54">
        <f>SUM(AG449:AH449)</f>
        <v>1034700</v>
      </c>
      <c r="AJ449" s="54"/>
      <c r="AK449" s="54">
        <f>SUM(AI449:AJ449)</f>
        <v>1034700</v>
      </c>
      <c r="AN449" s="67"/>
      <c r="AO449" s="67"/>
    </row>
    <row r="450" spans="1:37" s="20" customFormat="1" ht="21" customHeight="1">
      <c r="A450" s="41"/>
      <c r="B450" s="55">
        <v>90002</v>
      </c>
      <c r="C450" s="41"/>
      <c r="D450" s="31" t="s">
        <v>358</v>
      </c>
      <c r="E450" s="54">
        <f aca="true" t="shared" si="488" ref="E450:AK450">SUM(E451)</f>
        <v>90000</v>
      </c>
      <c r="F450" s="54">
        <f t="shared" si="488"/>
        <v>0</v>
      </c>
      <c r="G450" s="54">
        <f t="shared" si="488"/>
        <v>90000</v>
      </c>
      <c r="H450" s="54">
        <f t="shared" si="488"/>
        <v>0</v>
      </c>
      <c r="I450" s="54">
        <f t="shared" si="488"/>
        <v>90000</v>
      </c>
      <c r="J450" s="54">
        <f t="shared" si="488"/>
        <v>0</v>
      </c>
      <c r="K450" s="54">
        <f t="shared" si="488"/>
        <v>90000</v>
      </c>
      <c r="L450" s="54">
        <f t="shared" si="488"/>
        <v>0</v>
      </c>
      <c r="M450" s="54">
        <f t="shared" si="488"/>
        <v>90000</v>
      </c>
      <c r="N450" s="54">
        <f t="shared" si="488"/>
        <v>0</v>
      </c>
      <c r="O450" s="54">
        <f t="shared" si="488"/>
        <v>90000</v>
      </c>
      <c r="P450" s="54">
        <f t="shared" si="488"/>
        <v>0</v>
      </c>
      <c r="Q450" s="54">
        <f t="shared" si="488"/>
        <v>90000</v>
      </c>
      <c r="R450" s="54">
        <f t="shared" si="488"/>
        <v>0</v>
      </c>
      <c r="S450" s="54">
        <f t="shared" si="488"/>
        <v>90000</v>
      </c>
      <c r="T450" s="54">
        <f t="shared" si="488"/>
        <v>0</v>
      </c>
      <c r="U450" s="54">
        <f t="shared" si="488"/>
        <v>90000</v>
      </c>
      <c r="V450" s="54">
        <f t="shared" si="488"/>
        <v>0</v>
      </c>
      <c r="W450" s="54">
        <f t="shared" si="488"/>
        <v>90000</v>
      </c>
      <c r="X450" s="54">
        <f t="shared" si="488"/>
        <v>0</v>
      </c>
      <c r="Y450" s="54">
        <f t="shared" si="488"/>
        <v>90000</v>
      </c>
      <c r="Z450" s="54">
        <f t="shared" si="488"/>
        <v>0</v>
      </c>
      <c r="AA450" s="54">
        <f t="shared" si="488"/>
        <v>90000</v>
      </c>
      <c r="AB450" s="54">
        <f t="shared" si="488"/>
        <v>0</v>
      </c>
      <c r="AC450" s="54">
        <f t="shared" si="488"/>
        <v>90000</v>
      </c>
      <c r="AD450" s="54">
        <f t="shared" si="488"/>
        <v>0</v>
      </c>
      <c r="AE450" s="54">
        <f t="shared" si="488"/>
        <v>90000</v>
      </c>
      <c r="AF450" s="54">
        <f t="shared" si="488"/>
        <v>0</v>
      </c>
      <c r="AG450" s="54">
        <f t="shared" si="488"/>
        <v>90000</v>
      </c>
      <c r="AH450" s="54">
        <f t="shared" si="488"/>
        <v>0</v>
      </c>
      <c r="AI450" s="54">
        <f t="shared" si="488"/>
        <v>90000</v>
      </c>
      <c r="AJ450" s="54">
        <f t="shared" si="488"/>
        <v>0</v>
      </c>
      <c r="AK450" s="54">
        <f t="shared" si="488"/>
        <v>90000</v>
      </c>
    </row>
    <row r="451" spans="1:41" s="20" customFormat="1" ht="21" customHeight="1">
      <c r="A451" s="41"/>
      <c r="B451" s="55"/>
      <c r="C451" s="41">
        <v>6050</v>
      </c>
      <c r="D451" s="31" t="s">
        <v>69</v>
      </c>
      <c r="E451" s="54">
        <v>90000</v>
      </c>
      <c r="F451" s="54"/>
      <c r="G451" s="54">
        <f t="shared" si="487"/>
        <v>90000</v>
      </c>
      <c r="H451" s="54"/>
      <c r="I451" s="54">
        <f>SUM(G451:H451)</f>
        <v>90000</v>
      </c>
      <c r="J451" s="54"/>
      <c r="K451" s="54">
        <f>SUM(I451:J451)</f>
        <v>90000</v>
      </c>
      <c r="L451" s="54"/>
      <c r="M451" s="54">
        <f>SUM(K451:L451)</f>
        <v>90000</v>
      </c>
      <c r="N451" s="54"/>
      <c r="O451" s="54">
        <f>SUM(M451:N451)</f>
        <v>90000</v>
      </c>
      <c r="P451" s="54"/>
      <c r="Q451" s="54">
        <f>SUM(O451:P451)</f>
        <v>90000</v>
      </c>
      <c r="R451" s="54"/>
      <c r="S451" s="54">
        <f>SUM(Q451:R451)</f>
        <v>90000</v>
      </c>
      <c r="T451" s="54"/>
      <c r="U451" s="54">
        <f>SUM(S451:T451)</f>
        <v>90000</v>
      </c>
      <c r="V451" s="54"/>
      <c r="W451" s="54">
        <f>SUM(U451:V451)</f>
        <v>90000</v>
      </c>
      <c r="X451" s="54"/>
      <c r="Y451" s="54">
        <f>SUM(W451:X451)</f>
        <v>90000</v>
      </c>
      <c r="Z451" s="54"/>
      <c r="AA451" s="54">
        <f>SUM(Y451:Z451)</f>
        <v>90000</v>
      </c>
      <c r="AB451" s="54"/>
      <c r="AC451" s="54">
        <f>SUM(AA451:AB451)</f>
        <v>90000</v>
      </c>
      <c r="AD451" s="54"/>
      <c r="AE451" s="54">
        <f>SUM(AC451:AD451)</f>
        <v>90000</v>
      </c>
      <c r="AF451" s="54"/>
      <c r="AG451" s="54">
        <f>SUM(AE451:AF451)</f>
        <v>90000</v>
      </c>
      <c r="AH451" s="54"/>
      <c r="AI451" s="54">
        <f>SUM(AG451:AH451)</f>
        <v>90000</v>
      </c>
      <c r="AJ451" s="54"/>
      <c r="AK451" s="54">
        <f>SUM(AI451:AJ451)</f>
        <v>90000</v>
      </c>
      <c r="AN451" s="67"/>
      <c r="AO451" s="67"/>
    </row>
    <row r="452" spans="1:37" s="20" customFormat="1" ht="21" customHeight="1">
      <c r="A452" s="41"/>
      <c r="B452" s="55" t="s">
        <v>106</v>
      </c>
      <c r="C452" s="58"/>
      <c r="D452" s="31" t="s">
        <v>107</v>
      </c>
      <c r="E452" s="54">
        <f aca="true" t="shared" si="489" ref="E452:AK452">SUM(E453:E453)</f>
        <v>744670</v>
      </c>
      <c r="F452" s="54">
        <f t="shared" si="489"/>
        <v>0</v>
      </c>
      <c r="G452" s="54">
        <f t="shared" si="489"/>
        <v>744670</v>
      </c>
      <c r="H452" s="54">
        <f t="shared" si="489"/>
        <v>0</v>
      </c>
      <c r="I452" s="54">
        <f t="shared" si="489"/>
        <v>744670</v>
      </c>
      <c r="J452" s="54">
        <f t="shared" si="489"/>
        <v>0</v>
      </c>
      <c r="K452" s="54">
        <f t="shared" si="489"/>
        <v>744670</v>
      </c>
      <c r="L452" s="54">
        <f t="shared" si="489"/>
        <v>0</v>
      </c>
      <c r="M452" s="54">
        <f t="shared" si="489"/>
        <v>744670</v>
      </c>
      <c r="N452" s="54">
        <f t="shared" si="489"/>
        <v>250</v>
      </c>
      <c r="O452" s="54">
        <f t="shared" si="489"/>
        <v>744920</v>
      </c>
      <c r="P452" s="54">
        <f t="shared" si="489"/>
        <v>0</v>
      </c>
      <c r="Q452" s="54">
        <f t="shared" si="489"/>
        <v>744920</v>
      </c>
      <c r="R452" s="54">
        <f t="shared" si="489"/>
        <v>0</v>
      </c>
      <c r="S452" s="54">
        <f t="shared" si="489"/>
        <v>744920</v>
      </c>
      <c r="T452" s="54">
        <f t="shared" si="489"/>
        <v>0</v>
      </c>
      <c r="U452" s="54">
        <f t="shared" si="489"/>
        <v>744920</v>
      </c>
      <c r="V452" s="54">
        <f t="shared" si="489"/>
        <v>0</v>
      </c>
      <c r="W452" s="54">
        <f t="shared" si="489"/>
        <v>744920</v>
      </c>
      <c r="X452" s="54">
        <f t="shared" si="489"/>
        <v>0</v>
      </c>
      <c r="Y452" s="54">
        <f t="shared" si="489"/>
        <v>744920</v>
      </c>
      <c r="Z452" s="54">
        <f t="shared" si="489"/>
        <v>0</v>
      </c>
      <c r="AA452" s="54">
        <f t="shared" si="489"/>
        <v>744920</v>
      </c>
      <c r="AB452" s="54">
        <f t="shared" si="489"/>
        <v>0</v>
      </c>
      <c r="AC452" s="54">
        <f t="shared" si="489"/>
        <v>744920</v>
      </c>
      <c r="AD452" s="54">
        <f t="shared" si="489"/>
        <v>-112</v>
      </c>
      <c r="AE452" s="54">
        <f t="shared" si="489"/>
        <v>744808</v>
      </c>
      <c r="AF452" s="54">
        <f t="shared" si="489"/>
        <v>-516</v>
      </c>
      <c r="AG452" s="54">
        <f t="shared" si="489"/>
        <v>744292</v>
      </c>
      <c r="AH452" s="54">
        <f t="shared" si="489"/>
        <v>30</v>
      </c>
      <c r="AI452" s="54">
        <f t="shared" si="489"/>
        <v>744322</v>
      </c>
      <c r="AJ452" s="54">
        <f t="shared" si="489"/>
        <v>0</v>
      </c>
      <c r="AK452" s="54">
        <f t="shared" si="489"/>
        <v>744322</v>
      </c>
    </row>
    <row r="453" spans="1:37" s="20" customFormat="1" ht="21" customHeight="1">
      <c r="A453" s="41"/>
      <c r="B453" s="55"/>
      <c r="C453" s="58">
        <v>4300</v>
      </c>
      <c r="D453" s="148" t="s">
        <v>75</v>
      </c>
      <c r="E453" s="54">
        <f>2240+742430</f>
        <v>744670</v>
      </c>
      <c r="F453" s="54"/>
      <c r="G453" s="54">
        <f t="shared" si="487"/>
        <v>744670</v>
      </c>
      <c r="H453" s="54"/>
      <c r="I453" s="54">
        <f>SUM(G453:H453)</f>
        <v>744670</v>
      </c>
      <c r="J453" s="54"/>
      <c r="K453" s="54">
        <f>SUM(I453:J453)</f>
        <v>744670</v>
      </c>
      <c r="L453" s="54"/>
      <c r="M453" s="54">
        <f>SUM(K453:L453)</f>
        <v>744670</v>
      </c>
      <c r="N453" s="54">
        <v>250</v>
      </c>
      <c r="O453" s="54">
        <f>SUM(M453:N453)</f>
        <v>744920</v>
      </c>
      <c r="P453" s="54"/>
      <c r="Q453" s="54">
        <f>SUM(O453:P453)</f>
        <v>744920</v>
      </c>
      <c r="R453" s="54"/>
      <c r="S453" s="54">
        <f>SUM(Q453:R453)</f>
        <v>744920</v>
      </c>
      <c r="T453" s="54"/>
      <c r="U453" s="54">
        <f>SUM(S453:T453)</f>
        <v>744920</v>
      </c>
      <c r="V453" s="54"/>
      <c r="W453" s="54">
        <f>SUM(U453:V453)</f>
        <v>744920</v>
      </c>
      <c r="X453" s="54"/>
      <c r="Y453" s="54">
        <f>SUM(W453:X453)</f>
        <v>744920</v>
      </c>
      <c r="Z453" s="54"/>
      <c r="AA453" s="54">
        <f>SUM(Y453:Z453)</f>
        <v>744920</v>
      </c>
      <c r="AB453" s="54"/>
      <c r="AC453" s="54">
        <f>SUM(AA453:AB453)</f>
        <v>744920</v>
      </c>
      <c r="AD453" s="54">
        <v>-112</v>
      </c>
      <c r="AE453" s="54">
        <f>SUM(AC453:AD453)</f>
        <v>744808</v>
      </c>
      <c r="AF453" s="54">
        <v>-516</v>
      </c>
      <c r="AG453" s="54">
        <f>SUM(AE453:AF453)</f>
        <v>744292</v>
      </c>
      <c r="AH453" s="54">
        <v>30</v>
      </c>
      <c r="AI453" s="54">
        <f>SUM(AG453:AH453)</f>
        <v>744322</v>
      </c>
      <c r="AJ453" s="54"/>
      <c r="AK453" s="54">
        <f>SUM(AI453:AJ453)</f>
        <v>744322</v>
      </c>
    </row>
    <row r="454" spans="1:37" s="20" customFormat="1" ht="21" customHeight="1">
      <c r="A454" s="41"/>
      <c r="B454" s="55" t="s">
        <v>108</v>
      </c>
      <c r="C454" s="58"/>
      <c r="D454" s="31" t="s">
        <v>123</v>
      </c>
      <c r="E454" s="54">
        <f aca="true" t="shared" si="490" ref="E454:W454">SUM(E455:E458)</f>
        <v>249240</v>
      </c>
      <c r="F454" s="54">
        <f t="shared" si="490"/>
        <v>0</v>
      </c>
      <c r="G454" s="54">
        <f t="shared" si="490"/>
        <v>249240</v>
      </c>
      <c r="H454" s="54">
        <f t="shared" si="490"/>
        <v>0</v>
      </c>
      <c r="I454" s="54">
        <f t="shared" si="490"/>
        <v>249240</v>
      </c>
      <c r="J454" s="54">
        <f t="shared" si="490"/>
        <v>0</v>
      </c>
      <c r="K454" s="54">
        <f t="shared" si="490"/>
        <v>249240</v>
      </c>
      <c r="L454" s="54">
        <f t="shared" si="490"/>
        <v>0</v>
      </c>
      <c r="M454" s="54">
        <f t="shared" si="490"/>
        <v>249240</v>
      </c>
      <c r="N454" s="54">
        <f t="shared" si="490"/>
        <v>-250</v>
      </c>
      <c r="O454" s="54">
        <f t="shared" si="490"/>
        <v>248990</v>
      </c>
      <c r="P454" s="54">
        <f t="shared" si="490"/>
        <v>0</v>
      </c>
      <c r="Q454" s="54">
        <f t="shared" si="490"/>
        <v>248990</v>
      </c>
      <c r="R454" s="54">
        <f t="shared" si="490"/>
        <v>-500</v>
      </c>
      <c r="S454" s="54">
        <f t="shared" si="490"/>
        <v>248490</v>
      </c>
      <c r="T454" s="54">
        <f t="shared" si="490"/>
        <v>0</v>
      </c>
      <c r="U454" s="54">
        <f t="shared" si="490"/>
        <v>248490</v>
      </c>
      <c r="V454" s="54">
        <f t="shared" si="490"/>
        <v>300</v>
      </c>
      <c r="W454" s="54">
        <f t="shared" si="490"/>
        <v>248790</v>
      </c>
      <c r="X454" s="54">
        <f aca="true" t="shared" si="491" ref="X454:AC454">SUM(X455:X458)</f>
        <v>0</v>
      </c>
      <c r="Y454" s="54">
        <f t="shared" si="491"/>
        <v>248790</v>
      </c>
      <c r="Z454" s="54">
        <f t="shared" si="491"/>
        <v>31727</v>
      </c>
      <c r="AA454" s="54">
        <f t="shared" si="491"/>
        <v>280517</v>
      </c>
      <c r="AB454" s="54">
        <f t="shared" si="491"/>
        <v>0</v>
      </c>
      <c r="AC454" s="54">
        <f t="shared" si="491"/>
        <v>280517</v>
      </c>
      <c r="AD454" s="54">
        <f aca="true" t="shared" si="492" ref="AD454:AI454">SUM(AD455:AD458)</f>
        <v>4190</v>
      </c>
      <c r="AE454" s="54">
        <f t="shared" si="492"/>
        <v>284707</v>
      </c>
      <c r="AF454" s="54">
        <f t="shared" si="492"/>
        <v>0</v>
      </c>
      <c r="AG454" s="54">
        <f t="shared" si="492"/>
        <v>284707</v>
      </c>
      <c r="AH454" s="54">
        <f t="shared" si="492"/>
        <v>16000</v>
      </c>
      <c r="AI454" s="54">
        <f t="shared" si="492"/>
        <v>300707</v>
      </c>
      <c r="AJ454" s="54">
        <f>SUM(AJ455:AJ458)</f>
        <v>0</v>
      </c>
      <c r="AK454" s="54">
        <f>SUM(AK455:AK458)</f>
        <v>300707</v>
      </c>
    </row>
    <row r="455" spans="1:37" s="20" customFormat="1" ht="21" customHeight="1">
      <c r="A455" s="41"/>
      <c r="B455" s="55"/>
      <c r="C455" s="41">
        <v>4210</v>
      </c>
      <c r="D455" s="31" t="s">
        <v>86</v>
      </c>
      <c r="E455" s="54">
        <f>26220+18000+6000+12000</f>
        <v>62220</v>
      </c>
      <c r="F455" s="54"/>
      <c r="G455" s="54">
        <f t="shared" si="487"/>
        <v>62220</v>
      </c>
      <c r="H455" s="54"/>
      <c r="I455" s="54">
        <f>SUM(G455:H455)</f>
        <v>62220</v>
      </c>
      <c r="J455" s="54"/>
      <c r="K455" s="54">
        <f>SUM(I455:J455)</f>
        <v>62220</v>
      </c>
      <c r="L455" s="54"/>
      <c r="M455" s="54">
        <f>SUM(K455:L455)</f>
        <v>62220</v>
      </c>
      <c r="N455" s="54">
        <v>-250</v>
      </c>
      <c r="O455" s="54">
        <f>SUM(M455:N455)</f>
        <v>61970</v>
      </c>
      <c r="P455" s="54"/>
      <c r="Q455" s="54">
        <f>SUM(O455:P455)</f>
        <v>61970</v>
      </c>
      <c r="R455" s="54">
        <v>-200</v>
      </c>
      <c r="S455" s="54">
        <f>SUM(Q455:R455)</f>
        <v>61770</v>
      </c>
      <c r="T455" s="54"/>
      <c r="U455" s="54">
        <f>SUM(S455:T455)</f>
        <v>61770</v>
      </c>
      <c r="V455" s="54">
        <v>300</v>
      </c>
      <c r="W455" s="54">
        <f>SUM(U455:V455)</f>
        <v>62070</v>
      </c>
      <c r="X455" s="54">
        <v>2800</v>
      </c>
      <c r="Y455" s="54">
        <f>SUM(W455:X455)</f>
        <v>64870</v>
      </c>
      <c r="Z455" s="54">
        <f>-100+500+2100+29600</f>
        <v>32100</v>
      </c>
      <c r="AA455" s="54">
        <f>SUM(Y455:Z455)</f>
        <v>96970</v>
      </c>
      <c r="AB455" s="54"/>
      <c r="AC455" s="54">
        <f>SUM(AA455:AB455)</f>
        <v>96970</v>
      </c>
      <c r="AD455" s="54">
        <v>4158</v>
      </c>
      <c r="AE455" s="54">
        <f>SUM(AC455:AD455)</f>
        <v>101128</v>
      </c>
      <c r="AF455" s="54"/>
      <c r="AG455" s="54">
        <f>SUM(AE455:AF455)</f>
        <v>101128</v>
      </c>
      <c r="AH455" s="54">
        <v>2000</v>
      </c>
      <c r="AI455" s="54">
        <f>SUM(AG455:AH455)</f>
        <v>103128</v>
      </c>
      <c r="AJ455" s="54"/>
      <c r="AK455" s="54">
        <f>SUM(AI455:AJ455)</f>
        <v>103128</v>
      </c>
    </row>
    <row r="456" spans="1:37" s="20" customFormat="1" ht="21" customHeight="1">
      <c r="A456" s="41"/>
      <c r="B456" s="55"/>
      <c r="C456" s="41">
        <v>4260</v>
      </c>
      <c r="D456" s="31" t="s">
        <v>88</v>
      </c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>
        <v>0</v>
      </c>
      <c r="AD456" s="54">
        <v>32</v>
      </c>
      <c r="AE456" s="54">
        <f>SUM(AC456:AD456)</f>
        <v>32</v>
      </c>
      <c r="AF456" s="54"/>
      <c r="AG456" s="54">
        <f>SUM(AE456:AF456)</f>
        <v>32</v>
      </c>
      <c r="AH456" s="54"/>
      <c r="AI456" s="54">
        <f>SUM(AG456:AH456)</f>
        <v>32</v>
      </c>
      <c r="AJ456" s="54"/>
      <c r="AK456" s="54">
        <f>SUM(AI456:AJ456)</f>
        <v>32</v>
      </c>
    </row>
    <row r="457" spans="1:37" s="20" customFormat="1" ht="21" customHeight="1">
      <c r="A457" s="41"/>
      <c r="B457" s="55"/>
      <c r="C457" s="41">
        <v>4270</v>
      </c>
      <c r="D457" s="31" t="s">
        <v>74</v>
      </c>
      <c r="E457" s="54">
        <v>5000</v>
      </c>
      <c r="F457" s="54"/>
      <c r="G457" s="54">
        <f t="shared" si="487"/>
        <v>5000</v>
      </c>
      <c r="H457" s="54"/>
      <c r="I457" s="54">
        <f>SUM(G457:H457)</f>
        <v>5000</v>
      </c>
      <c r="J457" s="54"/>
      <c r="K457" s="54">
        <f>SUM(I457:J457)</f>
        <v>5000</v>
      </c>
      <c r="L457" s="54"/>
      <c r="M457" s="54">
        <f>SUM(K457:L457)</f>
        <v>5000</v>
      </c>
      <c r="N457" s="54"/>
      <c r="O457" s="54">
        <f>SUM(M457:N457)</f>
        <v>5000</v>
      </c>
      <c r="P457" s="54"/>
      <c r="Q457" s="54">
        <f>SUM(O457:P457)</f>
        <v>5000</v>
      </c>
      <c r="R457" s="54"/>
      <c r="S457" s="54">
        <f>SUM(Q457:R457)</f>
        <v>5000</v>
      </c>
      <c r="T457" s="54"/>
      <c r="U457" s="54">
        <f>SUM(S457:T457)</f>
        <v>5000</v>
      </c>
      <c r="V457" s="54"/>
      <c r="W457" s="54">
        <f>SUM(U457:V457)</f>
        <v>5000</v>
      </c>
      <c r="X457" s="54">
        <v>-2800</v>
      </c>
      <c r="Y457" s="54">
        <f>SUM(W457:X457)</f>
        <v>2200</v>
      </c>
      <c r="Z457" s="54">
        <v>400</v>
      </c>
      <c r="AA457" s="54">
        <f>SUM(Y457:Z457)</f>
        <v>2600</v>
      </c>
      <c r="AB457" s="54"/>
      <c r="AC457" s="54">
        <f>SUM(AA457:AB457)</f>
        <v>2600</v>
      </c>
      <c r="AD457" s="54"/>
      <c r="AE457" s="54">
        <f>SUM(AC457:AD457)</f>
        <v>2600</v>
      </c>
      <c r="AF457" s="54"/>
      <c r="AG457" s="54">
        <f>SUM(AE457:AF457)</f>
        <v>2600</v>
      </c>
      <c r="AH457" s="54"/>
      <c r="AI457" s="54">
        <f>SUM(AG457:AH457)</f>
        <v>2600</v>
      </c>
      <c r="AJ457" s="54"/>
      <c r="AK457" s="54">
        <f>SUM(AI457:AJ457)</f>
        <v>2600</v>
      </c>
    </row>
    <row r="458" spans="1:37" s="20" customFormat="1" ht="21" customHeight="1">
      <c r="A458" s="41"/>
      <c r="B458" s="55"/>
      <c r="C458" s="41">
        <v>4300</v>
      </c>
      <c r="D458" s="31" t="s">
        <v>75</v>
      </c>
      <c r="E458" s="54">
        <f>6200+92820+32000+11000+20000+20000</f>
        <v>182020</v>
      </c>
      <c r="F458" s="54"/>
      <c r="G458" s="54">
        <f t="shared" si="487"/>
        <v>182020</v>
      </c>
      <c r="H458" s="54"/>
      <c r="I458" s="54">
        <f>SUM(G458:H458)</f>
        <v>182020</v>
      </c>
      <c r="J458" s="54"/>
      <c r="K458" s="54">
        <f>SUM(I458:J458)</f>
        <v>182020</v>
      </c>
      <c r="L458" s="54"/>
      <c r="M458" s="54">
        <f>SUM(K458:L458)</f>
        <v>182020</v>
      </c>
      <c r="N458" s="54"/>
      <c r="O458" s="54">
        <f>SUM(M458:N458)</f>
        <v>182020</v>
      </c>
      <c r="P458" s="54"/>
      <c r="Q458" s="54">
        <f>SUM(O458:P458)</f>
        <v>182020</v>
      </c>
      <c r="R458" s="54">
        <v>-300</v>
      </c>
      <c r="S458" s="54">
        <f>SUM(Q458:R458)</f>
        <v>181720</v>
      </c>
      <c r="T458" s="54"/>
      <c r="U458" s="54">
        <f>SUM(S458:T458)</f>
        <v>181720</v>
      </c>
      <c r="V458" s="54"/>
      <c r="W458" s="54">
        <f>SUM(U458:V458)</f>
        <v>181720</v>
      </c>
      <c r="X458" s="54"/>
      <c r="Y458" s="54">
        <f>SUM(W458:X458)</f>
        <v>181720</v>
      </c>
      <c r="Z458" s="54">
        <f>227-1000</f>
        <v>-773</v>
      </c>
      <c r="AA458" s="54">
        <f>SUM(Y458:Z458)</f>
        <v>180947</v>
      </c>
      <c r="AB458" s="54"/>
      <c r="AC458" s="54">
        <f>SUM(AA458:AB458)</f>
        <v>180947</v>
      </c>
      <c r="AD458" s="54"/>
      <c r="AE458" s="54">
        <f>SUM(AC458:AD458)</f>
        <v>180947</v>
      </c>
      <c r="AF458" s="54"/>
      <c r="AG458" s="54">
        <f>SUM(AE458:AF458)</f>
        <v>180947</v>
      </c>
      <c r="AH458" s="54">
        <v>14000</v>
      </c>
      <c r="AI458" s="54">
        <f>SUM(AG458:AH458)</f>
        <v>194947</v>
      </c>
      <c r="AJ458" s="54"/>
      <c r="AK458" s="54">
        <f>SUM(AI458:AJ458)</f>
        <v>194947</v>
      </c>
    </row>
    <row r="459" spans="1:37" s="20" customFormat="1" ht="21" customHeight="1">
      <c r="A459" s="41"/>
      <c r="B459" s="55" t="s">
        <v>359</v>
      </c>
      <c r="C459" s="58"/>
      <c r="D459" s="31" t="s">
        <v>360</v>
      </c>
      <c r="E459" s="54">
        <f aca="true" t="shared" si="493" ref="E459:AK459">SUM(E460)</f>
        <v>100000</v>
      </c>
      <c r="F459" s="54">
        <f t="shared" si="493"/>
        <v>10000</v>
      </c>
      <c r="G459" s="54">
        <f t="shared" si="493"/>
        <v>110000</v>
      </c>
      <c r="H459" s="54">
        <f t="shared" si="493"/>
        <v>0</v>
      </c>
      <c r="I459" s="54">
        <f t="shared" si="493"/>
        <v>110000</v>
      </c>
      <c r="J459" s="54">
        <f t="shared" si="493"/>
        <v>0</v>
      </c>
      <c r="K459" s="54">
        <f t="shared" si="493"/>
        <v>110000</v>
      </c>
      <c r="L459" s="54">
        <f t="shared" si="493"/>
        <v>21000</v>
      </c>
      <c r="M459" s="54">
        <f t="shared" si="493"/>
        <v>131000</v>
      </c>
      <c r="N459" s="54">
        <f t="shared" si="493"/>
        <v>0</v>
      </c>
      <c r="O459" s="54">
        <f t="shared" si="493"/>
        <v>131000</v>
      </c>
      <c r="P459" s="54">
        <f t="shared" si="493"/>
        <v>0</v>
      </c>
      <c r="Q459" s="54">
        <f t="shared" si="493"/>
        <v>131000</v>
      </c>
      <c r="R459" s="54">
        <f t="shared" si="493"/>
        <v>0</v>
      </c>
      <c r="S459" s="54">
        <f t="shared" si="493"/>
        <v>131000</v>
      </c>
      <c r="T459" s="54">
        <f t="shared" si="493"/>
        <v>0</v>
      </c>
      <c r="U459" s="54">
        <f t="shared" si="493"/>
        <v>131000</v>
      </c>
      <c r="V459" s="54">
        <f t="shared" si="493"/>
        <v>0</v>
      </c>
      <c r="W459" s="54">
        <f t="shared" si="493"/>
        <v>131000</v>
      </c>
      <c r="X459" s="54">
        <f t="shared" si="493"/>
        <v>0</v>
      </c>
      <c r="Y459" s="54">
        <f t="shared" si="493"/>
        <v>131000</v>
      </c>
      <c r="Z459" s="54">
        <f t="shared" si="493"/>
        <v>0</v>
      </c>
      <c r="AA459" s="54">
        <f t="shared" si="493"/>
        <v>131000</v>
      </c>
      <c r="AB459" s="54">
        <f t="shared" si="493"/>
        <v>0</v>
      </c>
      <c r="AC459" s="54">
        <f t="shared" si="493"/>
        <v>131000</v>
      </c>
      <c r="AD459" s="54">
        <f t="shared" si="493"/>
        <v>0</v>
      </c>
      <c r="AE459" s="54">
        <f t="shared" si="493"/>
        <v>131000</v>
      </c>
      <c r="AF459" s="54">
        <f t="shared" si="493"/>
        <v>0</v>
      </c>
      <c r="AG459" s="54">
        <f t="shared" si="493"/>
        <v>131000</v>
      </c>
      <c r="AH459" s="54">
        <f t="shared" si="493"/>
        <v>0</v>
      </c>
      <c r="AI459" s="54">
        <f t="shared" si="493"/>
        <v>131000</v>
      </c>
      <c r="AJ459" s="54">
        <f t="shared" si="493"/>
        <v>0</v>
      </c>
      <c r="AK459" s="54">
        <f t="shared" si="493"/>
        <v>131000</v>
      </c>
    </row>
    <row r="460" spans="1:37" s="20" customFormat="1" ht="21" customHeight="1">
      <c r="A460" s="41"/>
      <c r="B460" s="55"/>
      <c r="C460" s="58">
        <v>4300</v>
      </c>
      <c r="D460" s="148" t="s">
        <v>75</v>
      </c>
      <c r="E460" s="54">
        <v>100000</v>
      </c>
      <c r="F460" s="54">
        <v>10000</v>
      </c>
      <c r="G460" s="54">
        <f t="shared" si="487"/>
        <v>110000</v>
      </c>
      <c r="H460" s="54"/>
      <c r="I460" s="54">
        <f>SUM(G460:H460)</f>
        <v>110000</v>
      </c>
      <c r="J460" s="54"/>
      <c r="K460" s="54">
        <f>SUM(I460:J460)</f>
        <v>110000</v>
      </c>
      <c r="L460" s="54">
        <v>21000</v>
      </c>
      <c r="M460" s="54">
        <f>SUM(K460:L460)</f>
        <v>131000</v>
      </c>
      <c r="N460" s="54"/>
      <c r="O460" s="54">
        <f>SUM(M460:N460)</f>
        <v>131000</v>
      </c>
      <c r="P460" s="54"/>
      <c r="Q460" s="54">
        <f>SUM(O460:P460)</f>
        <v>131000</v>
      </c>
      <c r="R460" s="54"/>
      <c r="S460" s="54">
        <f>SUM(Q460:R460)</f>
        <v>131000</v>
      </c>
      <c r="T460" s="54"/>
      <c r="U460" s="54">
        <f>SUM(S460:T460)</f>
        <v>131000</v>
      </c>
      <c r="V460" s="54"/>
      <c r="W460" s="54">
        <f>SUM(U460:V460)</f>
        <v>131000</v>
      </c>
      <c r="X460" s="54"/>
      <c r="Y460" s="54">
        <f>SUM(W460:X460)</f>
        <v>131000</v>
      </c>
      <c r="Z460" s="54"/>
      <c r="AA460" s="54">
        <f>SUM(Y460:Z460)</f>
        <v>131000</v>
      </c>
      <c r="AB460" s="54"/>
      <c r="AC460" s="54">
        <f>SUM(AA460:AB460)</f>
        <v>131000</v>
      </c>
      <c r="AD460" s="54"/>
      <c r="AE460" s="54">
        <f>SUM(AC460:AD460)</f>
        <v>131000</v>
      </c>
      <c r="AF460" s="54"/>
      <c r="AG460" s="54">
        <f>SUM(AE460:AF460)</f>
        <v>131000</v>
      </c>
      <c r="AH460" s="54"/>
      <c r="AI460" s="54">
        <f>SUM(AG460:AH460)</f>
        <v>131000</v>
      </c>
      <c r="AJ460" s="54"/>
      <c r="AK460" s="54">
        <f>SUM(AI460:AJ460)</f>
        <v>131000</v>
      </c>
    </row>
    <row r="461" spans="1:37" s="20" customFormat="1" ht="21" customHeight="1">
      <c r="A461" s="41"/>
      <c r="B461" s="55" t="s">
        <v>109</v>
      </c>
      <c r="C461" s="58"/>
      <c r="D461" s="31" t="s">
        <v>110</v>
      </c>
      <c r="E461" s="54">
        <f aca="true" t="shared" si="494" ref="E461:J461">SUM(E464:E467)</f>
        <v>1986000</v>
      </c>
      <c r="F461" s="54">
        <f t="shared" si="494"/>
        <v>-1000000</v>
      </c>
      <c r="G461" s="54">
        <f t="shared" si="494"/>
        <v>986000</v>
      </c>
      <c r="H461" s="54">
        <f t="shared" si="494"/>
        <v>0</v>
      </c>
      <c r="I461" s="54">
        <f t="shared" si="494"/>
        <v>986000</v>
      </c>
      <c r="J461" s="54">
        <f t="shared" si="494"/>
        <v>0</v>
      </c>
      <c r="K461" s="54">
        <f aca="true" t="shared" si="495" ref="K461:W461">SUM(K462:K467)</f>
        <v>986000</v>
      </c>
      <c r="L461" s="54">
        <f t="shared" si="495"/>
        <v>0</v>
      </c>
      <c r="M461" s="54">
        <f t="shared" si="495"/>
        <v>986000</v>
      </c>
      <c r="N461" s="54">
        <f t="shared" si="495"/>
        <v>0</v>
      </c>
      <c r="O461" s="54">
        <f t="shared" si="495"/>
        <v>986000</v>
      </c>
      <c r="P461" s="54">
        <f t="shared" si="495"/>
        <v>0</v>
      </c>
      <c r="Q461" s="54">
        <f t="shared" si="495"/>
        <v>986000</v>
      </c>
      <c r="R461" s="54">
        <f t="shared" si="495"/>
        <v>1000</v>
      </c>
      <c r="S461" s="54">
        <f t="shared" si="495"/>
        <v>987000</v>
      </c>
      <c r="T461" s="54">
        <f t="shared" si="495"/>
        <v>0</v>
      </c>
      <c r="U461" s="54">
        <f t="shared" si="495"/>
        <v>987000</v>
      </c>
      <c r="V461" s="54">
        <f t="shared" si="495"/>
        <v>0</v>
      </c>
      <c r="W461" s="54">
        <f t="shared" si="495"/>
        <v>987000</v>
      </c>
      <c r="X461" s="54">
        <f aca="true" t="shared" si="496" ref="X461:AC461">SUM(X462:X467)</f>
        <v>0</v>
      </c>
      <c r="Y461" s="54">
        <f t="shared" si="496"/>
        <v>987000</v>
      </c>
      <c r="Z461" s="54">
        <f t="shared" si="496"/>
        <v>918600</v>
      </c>
      <c r="AA461" s="54">
        <f t="shared" si="496"/>
        <v>1905600</v>
      </c>
      <c r="AB461" s="54">
        <f t="shared" si="496"/>
        <v>0</v>
      </c>
      <c r="AC461" s="54">
        <f t="shared" si="496"/>
        <v>1905600</v>
      </c>
      <c r="AD461" s="54">
        <f aca="true" t="shared" si="497" ref="AD461:AI461">SUM(AD462:AD467)</f>
        <v>-1000</v>
      </c>
      <c r="AE461" s="54">
        <f t="shared" si="497"/>
        <v>1904600</v>
      </c>
      <c r="AF461" s="54">
        <f t="shared" si="497"/>
        <v>0</v>
      </c>
      <c r="AG461" s="54">
        <f t="shared" si="497"/>
        <v>1904600</v>
      </c>
      <c r="AH461" s="54">
        <f t="shared" si="497"/>
        <v>5000</v>
      </c>
      <c r="AI461" s="54">
        <f t="shared" si="497"/>
        <v>1909600</v>
      </c>
      <c r="AJ461" s="54">
        <f>SUM(AJ462:AJ467)</f>
        <v>0</v>
      </c>
      <c r="AK461" s="54">
        <f>SUM(AK462:AK467)</f>
        <v>1909600</v>
      </c>
    </row>
    <row r="462" spans="1:39" s="20" customFormat="1" ht="21" customHeight="1">
      <c r="A462" s="41"/>
      <c r="B462" s="55"/>
      <c r="C462" s="58">
        <v>4170</v>
      </c>
      <c r="D462" s="31" t="s">
        <v>161</v>
      </c>
      <c r="E462" s="54"/>
      <c r="F462" s="54"/>
      <c r="G462" s="54"/>
      <c r="H462" s="54"/>
      <c r="I462" s="54"/>
      <c r="J462" s="54"/>
      <c r="K462" s="54">
        <v>0</v>
      </c>
      <c r="L462" s="54">
        <v>1500</v>
      </c>
      <c r="M462" s="54">
        <f>SUM(K462:L462)</f>
        <v>1500</v>
      </c>
      <c r="N462" s="54"/>
      <c r="O462" s="54">
        <f>SUM(M462:N462)</f>
        <v>1500</v>
      </c>
      <c r="P462" s="54"/>
      <c r="Q462" s="54">
        <f>SUM(O462:P462)</f>
        <v>1500</v>
      </c>
      <c r="R462" s="54"/>
      <c r="S462" s="54">
        <f>SUM(Q462:R462)</f>
        <v>1500</v>
      </c>
      <c r="T462" s="54"/>
      <c r="U462" s="54">
        <f>SUM(S462:T462)</f>
        <v>1500</v>
      </c>
      <c r="V462" s="54"/>
      <c r="W462" s="54">
        <f>SUM(U462:V462)</f>
        <v>1500</v>
      </c>
      <c r="X462" s="54"/>
      <c r="Y462" s="54">
        <f>SUM(W462:X462)</f>
        <v>1500</v>
      </c>
      <c r="Z462" s="54"/>
      <c r="AA462" s="54">
        <f>SUM(Y462:Z462)</f>
        <v>1500</v>
      </c>
      <c r="AB462" s="54"/>
      <c r="AC462" s="54">
        <f>SUM(AA462:AB462)</f>
        <v>1500</v>
      </c>
      <c r="AD462" s="54"/>
      <c r="AE462" s="54">
        <f>SUM(AC462:AD462)</f>
        <v>1500</v>
      </c>
      <c r="AF462" s="54"/>
      <c r="AG462" s="54">
        <f>SUM(AE462:AF462)</f>
        <v>1500</v>
      </c>
      <c r="AH462" s="54"/>
      <c r="AI462" s="54">
        <f>SUM(AG462:AH462)</f>
        <v>1500</v>
      </c>
      <c r="AJ462" s="54"/>
      <c r="AK462" s="54">
        <f aca="true" t="shared" si="498" ref="AK462:AK467">SUM(AI462:AJ462)</f>
        <v>1500</v>
      </c>
      <c r="AL462" s="67"/>
      <c r="AM462" s="67"/>
    </row>
    <row r="463" spans="1:39" s="20" customFormat="1" ht="21" customHeight="1">
      <c r="A463" s="41"/>
      <c r="B463" s="55"/>
      <c r="C463" s="58">
        <v>4210</v>
      </c>
      <c r="D463" s="31" t="s">
        <v>68</v>
      </c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>
        <v>0</v>
      </c>
      <c r="AJ463" s="54">
        <v>500</v>
      </c>
      <c r="AK463" s="54">
        <f t="shared" si="498"/>
        <v>500</v>
      </c>
      <c r="AL463" s="67"/>
      <c r="AM463" s="67"/>
    </row>
    <row r="464" spans="1:37" s="20" customFormat="1" ht="21" customHeight="1">
      <c r="A464" s="41"/>
      <c r="B464" s="140"/>
      <c r="C464" s="41">
        <v>4260</v>
      </c>
      <c r="D464" s="31" t="s">
        <v>88</v>
      </c>
      <c r="E464" s="54">
        <v>750000</v>
      </c>
      <c r="F464" s="54">
        <v>-200000</v>
      </c>
      <c r="G464" s="54">
        <f t="shared" si="487"/>
        <v>550000</v>
      </c>
      <c r="H464" s="54"/>
      <c r="I464" s="54">
        <f>SUM(G464:H464)</f>
        <v>550000</v>
      </c>
      <c r="J464" s="54"/>
      <c r="K464" s="54">
        <f>SUM(I464:J464)</f>
        <v>550000</v>
      </c>
      <c r="L464" s="54">
        <v>-110</v>
      </c>
      <c r="M464" s="54">
        <f>SUM(K464:L464)</f>
        <v>549890</v>
      </c>
      <c r="N464" s="54"/>
      <c r="O464" s="54">
        <f>SUM(M464:N464)</f>
        <v>549890</v>
      </c>
      <c r="P464" s="54"/>
      <c r="Q464" s="54">
        <f>SUM(O464:P464)</f>
        <v>549890</v>
      </c>
      <c r="R464" s="54"/>
      <c r="S464" s="54">
        <f>SUM(Q464:R464)</f>
        <v>549890</v>
      </c>
      <c r="T464" s="54"/>
      <c r="U464" s="54">
        <f>SUM(S464:T464)</f>
        <v>549890</v>
      </c>
      <c r="V464" s="54"/>
      <c r="W464" s="54">
        <f>SUM(U464:V464)</f>
        <v>549890</v>
      </c>
      <c r="X464" s="54"/>
      <c r="Y464" s="54">
        <f>SUM(W464:X464)</f>
        <v>549890</v>
      </c>
      <c r="Z464" s="54">
        <v>200000</v>
      </c>
      <c r="AA464" s="54">
        <f>SUM(Y464:Z464)</f>
        <v>749890</v>
      </c>
      <c r="AB464" s="54"/>
      <c r="AC464" s="54">
        <f>SUM(AA464:AB464)</f>
        <v>749890</v>
      </c>
      <c r="AD464" s="54"/>
      <c r="AE464" s="54">
        <f>SUM(AC464:AD464)</f>
        <v>749890</v>
      </c>
      <c r="AF464" s="54"/>
      <c r="AG464" s="54">
        <f>SUM(AE464:AF464)</f>
        <v>749890</v>
      </c>
      <c r="AH464" s="54">
        <v>5000</v>
      </c>
      <c r="AI464" s="54">
        <f>SUM(AG464:AH464)</f>
        <v>754890</v>
      </c>
      <c r="AJ464" s="54"/>
      <c r="AK464" s="54">
        <f t="shared" si="498"/>
        <v>754890</v>
      </c>
    </row>
    <row r="465" spans="1:37" s="20" customFormat="1" ht="21" customHeight="1">
      <c r="A465" s="41"/>
      <c r="B465" s="140"/>
      <c r="C465" s="41">
        <v>4270</v>
      </c>
      <c r="D465" s="31" t="s">
        <v>74</v>
      </c>
      <c r="E465" s="54">
        <v>210000</v>
      </c>
      <c r="F465" s="54">
        <v>-20000</v>
      </c>
      <c r="G465" s="54">
        <f t="shared" si="487"/>
        <v>190000</v>
      </c>
      <c r="H465" s="54"/>
      <c r="I465" s="54">
        <f>SUM(G465:H465)</f>
        <v>190000</v>
      </c>
      <c r="J465" s="54"/>
      <c r="K465" s="54">
        <f>SUM(I465:J465)</f>
        <v>190000</v>
      </c>
      <c r="L465" s="54">
        <v>-1500</v>
      </c>
      <c r="M465" s="54">
        <f>SUM(K465:L465)</f>
        <v>188500</v>
      </c>
      <c r="N465" s="54"/>
      <c r="O465" s="54">
        <f>SUM(M465:N465)</f>
        <v>188500</v>
      </c>
      <c r="P465" s="54"/>
      <c r="Q465" s="54">
        <f>SUM(O465:P465)</f>
        <v>188500</v>
      </c>
      <c r="R465" s="54"/>
      <c r="S465" s="54">
        <f>SUM(Q465:R465)</f>
        <v>188500</v>
      </c>
      <c r="T465" s="54"/>
      <c r="U465" s="54">
        <f>SUM(S465:T465)</f>
        <v>188500</v>
      </c>
      <c r="V465" s="54"/>
      <c r="W465" s="54">
        <f>SUM(U465:V465)</f>
        <v>188500</v>
      </c>
      <c r="X465" s="54"/>
      <c r="Y465" s="54">
        <f>SUM(W465:X465)</f>
        <v>188500</v>
      </c>
      <c r="Z465" s="54">
        <v>70000</v>
      </c>
      <c r="AA465" s="54">
        <f>SUM(Y465:Z465)</f>
        <v>258500</v>
      </c>
      <c r="AB465" s="54"/>
      <c r="AC465" s="54">
        <f>SUM(AA465:AB465)</f>
        <v>258500</v>
      </c>
      <c r="AD465" s="54"/>
      <c r="AE465" s="54">
        <f>SUM(AC465:AD465)</f>
        <v>258500</v>
      </c>
      <c r="AF465" s="54"/>
      <c r="AG465" s="54">
        <f>SUM(AE465:AF465)</f>
        <v>258500</v>
      </c>
      <c r="AH465" s="54"/>
      <c r="AI465" s="54">
        <f>SUM(AG465:AH465)</f>
        <v>258500</v>
      </c>
      <c r="AJ465" s="54"/>
      <c r="AK465" s="54">
        <f t="shared" si="498"/>
        <v>258500</v>
      </c>
    </row>
    <row r="466" spans="1:37" s="20" customFormat="1" ht="21" customHeight="1">
      <c r="A466" s="41"/>
      <c r="B466" s="140"/>
      <c r="C466" s="41">
        <v>4300</v>
      </c>
      <c r="D466" s="31" t="s">
        <v>75</v>
      </c>
      <c r="E466" s="54">
        <f>3000+50000</f>
        <v>53000</v>
      </c>
      <c r="F466" s="54">
        <v>-20000</v>
      </c>
      <c r="G466" s="54">
        <f t="shared" si="487"/>
        <v>33000</v>
      </c>
      <c r="H466" s="54"/>
      <c r="I466" s="54">
        <f>SUM(G466:H466)</f>
        <v>33000</v>
      </c>
      <c r="J466" s="54"/>
      <c r="K466" s="54">
        <f>SUM(I466:J466)</f>
        <v>33000</v>
      </c>
      <c r="L466" s="54"/>
      <c r="M466" s="54">
        <f>SUM(K466:L466)</f>
        <v>33000</v>
      </c>
      <c r="N466" s="54"/>
      <c r="O466" s="54">
        <f>SUM(M466:N466)</f>
        <v>33000</v>
      </c>
      <c r="P466" s="54"/>
      <c r="Q466" s="54">
        <f>SUM(O466:P466)</f>
        <v>33000</v>
      </c>
      <c r="R466" s="54">
        <v>1000</v>
      </c>
      <c r="S466" s="54">
        <f>SUM(Q466:R466)</f>
        <v>34000</v>
      </c>
      <c r="T466" s="54"/>
      <c r="U466" s="54">
        <f>SUM(S466:T466)</f>
        <v>34000</v>
      </c>
      <c r="V466" s="54"/>
      <c r="W466" s="54">
        <f>SUM(U466:V466)</f>
        <v>34000</v>
      </c>
      <c r="X466" s="54"/>
      <c r="Y466" s="54">
        <f>SUM(W466:X466)</f>
        <v>34000</v>
      </c>
      <c r="Z466" s="54">
        <v>1600</v>
      </c>
      <c r="AA466" s="54">
        <f>SUM(Y466:Z466)</f>
        <v>35600</v>
      </c>
      <c r="AB466" s="54"/>
      <c r="AC466" s="54">
        <f>SUM(AA466:AB466)</f>
        <v>35600</v>
      </c>
      <c r="AD466" s="54">
        <v>-1000</v>
      </c>
      <c r="AE466" s="54">
        <f>SUM(AC466:AD466)</f>
        <v>34600</v>
      </c>
      <c r="AF466" s="54"/>
      <c r="AG466" s="54">
        <f>SUM(AE466:AF466)</f>
        <v>34600</v>
      </c>
      <c r="AH466" s="54"/>
      <c r="AI466" s="54">
        <f>SUM(AG466:AH466)</f>
        <v>34600</v>
      </c>
      <c r="AJ466" s="54">
        <v>-500</v>
      </c>
      <c r="AK466" s="54">
        <f t="shared" si="498"/>
        <v>34100</v>
      </c>
    </row>
    <row r="467" spans="1:41" s="20" customFormat="1" ht="21" customHeight="1">
      <c r="A467" s="41"/>
      <c r="B467" s="140"/>
      <c r="C467" s="41">
        <v>6050</v>
      </c>
      <c r="D467" s="31" t="s">
        <v>69</v>
      </c>
      <c r="E467" s="54">
        <v>973000</v>
      </c>
      <c r="F467" s="54">
        <f>-115000-520000-65000-50000-50000+20000+20000</f>
        <v>-760000</v>
      </c>
      <c r="G467" s="54">
        <f t="shared" si="487"/>
        <v>213000</v>
      </c>
      <c r="H467" s="54"/>
      <c r="I467" s="54">
        <f>SUM(G467:H467)</f>
        <v>213000</v>
      </c>
      <c r="J467" s="54"/>
      <c r="K467" s="54">
        <f>SUM(I467:J467)</f>
        <v>213000</v>
      </c>
      <c r="L467" s="54">
        <f>110-7900+7900</f>
        <v>110</v>
      </c>
      <c r="M467" s="54">
        <f>SUM(K467:L467)</f>
        <v>213110</v>
      </c>
      <c r="N467" s="54"/>
      <c r="O467" s="54">
        <f>SUM(M467:N467)</f>
        <v>213110</v>
      </c>
      <c r="P467" s="54"/>
      <c r="Q467" s="54">
        <f>SUM(O467:P467)</f>
        <v>213110</v>
      </c>
      <c r="R467" s="54"/>
      <c r="S467" s="54">
        <f>SUM(Q467:R467)</f>
        <v>213110</v>
      </c>
      <c r="T467" s="54"/>
      <c r="U467" s="54">
        <f>SUM(S467:T467)</f>
        <v>213110</v>
      </c>
      <c r="V467" s="54"/>
      <c r="W467" s="54">
        <f>SUM(U467:V467)</f>
        <v>213110</v>
      </c>
      <c r="X467" s="54"/>
      <c r="Y467" s="54">
        <f>SUM(W467:X467)</f>
        <v>213110</v>
      </c>
      <c r="Z467" s="54">
        <f>-9000-24000+680000-680000+680000</f>
        <v>647000</v>
      </c>
      <c r="AA467" s="54">
        <f>SUM(Y467:Z467)</f>
        <v>860110</v>
      </c>
      <c r="AB467" s="54"/>
      <c r="AC467" s="54">
        <f>SUM(AA467:AB467)</f>
        <v>860110</v>
      </c>
      <c r="AD467" s="54"/>
      <c r="AE467" s="54">
        <f>SUM(AC467:AD467)</f>
        <v>860110</v>
      </c>
      <c r="AF467" s="54"/>
      <c r="AG467" s="54">
        <f>SUM(AE467:AF467)</f>
        <v>860110</v>
      </c>
      <c r="AH467" s="54"/>
      <c r="AI467" s="54">
        <f>SUM(AG467:AH467)</f>
        <v>860110</v>
      </c>
      <c r="AJ467" s="54"/>
      <c r="AK467" s="54">
        <f t="shared" si="498"/>
        <v>860110</v>
      </c>
      <c r="AN467" s="67"/>
      <c r="AO467" s="67"/>
    </row>
    <row r="468" spans="1:37" s="20" customFormat="1" ht="21" customHeight="1">
      <c r="A468" s="41"/>
      <c r="B468" s="55" t="s">
        <v>361</v>
      </c>
      <c r="C468" s="58"/>
      <c r="D468" s="31" t="s">
        <v>6</v>
      </c>
      <c r="E468" s="54">
        <f aca="true" t="shared" si="499" ref="E468:Q468">SUM(E470:E472)</f>
        <v>88000</v>
      </c>
      <c r="F468" s="54">
        <f t="shared" si="499"/>
        <v>0</v>
      </c>
      <c r="G468" s="54">
        <f t="shared" si="499"/>
        <v>88000</v>
      </c>
      <c r="H468" s="54">
        <f t="shared" si="499"/>
        <v>0</v>
      </c>
      <c r="I468" s="54">
        <f t="shared" si="499"/>
        <v>88000</v>
      </c>
      <c r="J468" s="54">
        <f t="shared" si="499"/>
        <v>-45000</v>
      </c>
      <c r="K468" s="54">
        <f t="shared" si="499"/>
        <v>43000</v>
      </c>
      <c r="L468" s="54">
        <f t="shared" si="499"/>
        <v>0</v>
      </c>
      <c r="M468" s="54">
        <f t="shared" si="499"/>
        <v>43000</v>
      </c>
      <c r="N468" s="54">
        <f t="shared" si="499"/>
        <v>0</v>
      </c>
      <c r="O468" s="54">
        <f t="shared" si="499"/>
        <v>43000</v>
      </c>
      <c r="P468" s="54">
        <f t="shared" si="499"/>
        <v>0</v>
      </c>
      <c r="Q468" s="54">
        <f t="shared" si="499"/>
        <v>43000</v>
      </c>
      <c r="R468" s="54">
        <f>SUM(R470:R472)</f>
        <v>0</v>
      </c>
      <c r="S468" s="54">
        <f>SUM(S470:S472)</f>
        <v>43000</v>
      </c>
      <c r="T468" s="54">
        <f>SUM(T470:T472)</f>
        <v>0</v>
      </c>
      <c r="U468" s="54">
        <f aca="true" t="shared" si="500" ref="U468:AA468">SUM(U469:U472)</f>
        <v>43000</v>
      </c>
      <c r="V468" s="54">
        <f t="shared" si="500"/>
        <v>11800</v>
      </c>
      <c r="W468" s="54">
        <f t="shared" si="500"/>
        <v>54800</v>
      </c>
      <c r="X468" s="54">
        <f t="shared" si="500"/>
        <v>0</v>
      </c>
      <c r="Y468" s="54">
        <f t="shared" si="500"/>
        <v>54800</v>
      </c>
      <c r="Z468" s="54">
        <f t="shared" si="500"/>
        <v>0</v>
      </c>
      <c r="AA468" s="54">
        <f t="shared" si="500"/>
        <v>54800</v>
      </c>
      <c r="AB468" s="54">
        <f aca="true" t="shared" si="501" ref="AB468:AG468">SUM(AB469:AB472)</f>
        <v>0</v>
      </c>
      <c r="AC468" s="54">
        <f t="shared" si="501"/>
        <v>54800</v>
      </c>
      <c r="AD468" s="54">
        <f t="shared" si="501"/>
        <v>0</v>
      </c>
      <c r="AE468" s="54">
        <f t="shared" si="501"/>
        <v>54800</v>
      </c>
      <c r="AF468" s="54">
        <f t="shared" si="501"/>
        <v>0</v>
      </c>
      <c r="AG468" s="54">
        <f t="shared" si="501"/>
        <v>54800</v>
      </c>
      <c r="AH468" s="54">
        <f>SUM(AH469:AH472)</f>
        <v>-5000</v>
      </c>
      <c r="AI468" s="54">
        <f>SUM(AI469:AI472)</f>
        <v>49800</v>
      </c>
      <c r="AJ468" s="54">
        <f>SUM(AJ469:AJ472)</f>
        <v>0</v>
      </c>
      <c r="AK468" s="54">
        <f>SUM(AK469:AK472)</f>
        <v>49800</v>
      </c>
    </row>
    <row r="469" spans="1:37" s="20" customFormat="1" ht="21" customHeight="1">
      <c r="A469" s="41"/>
      <c r="B469" s="55"/>
      <c r="C469" s="58">
        <v>4210</v>
      </c>
      <c r="D469" s="31" t="s">
        <v>68</v>
      </c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>
        <v>0</v>
      </c>
      <c r="V469" s="54">
        <v>11800</v>
      </c>
      <c r="W469" s="54">
        <f>SUM(U469:V469)</f>
        <v>11800</v>
      </c>
      <c r="X469" s="54"/>
      <c r="Y469" s="54">
        <f>SUM(W469:X469)</f>
        <v>11800</v>
      </c>
      <c r="Z469" s="54"/>
      <c r="AA469" s="54">
        <f>SUM(Y469:Z469)</f>
        <v>11800</v>
      </c>
      <c r="AB469" s="54"/>
      <c r="AC469" s="54">
        <f>SUM(AA469:AB469)</f>
        <v>11800</v>
      </c>
      <c r="AD469" s="54"/>
      <c r="AE469" s="54">
        <f>SUM(AC469:AD469)</f>
        <v>11800</v>
      </c>
      <c r="AF469" s="54"/>
      <c r="AG469" s="54">
        <f>SUM(AE469:AF469)</f>
        <v>11800</v>
      </c>
      <c r="AH469" s="54"/>
      <c r="AI469" s="54">
        <f>SUM(AG469:AH469)</f>
        <v>11800</v>
      </c>
      <c r="AJ469" s="54"/>
      <c r="AK469" s="54">
        <f>SUM(AI469:AJ469)</f>
        <v>11800</v>
      </c>
    </row>
    <row r="470" spans="1:37" s="20" customFormat="1" ht="21" customHeight="1">
      <c r="A470" s="41"/>
      <c r="B470" s="140"/>
      <c r="C470" s="41">
        <v>4260</v>
      </c>
      <c r="D470" s="31" t="s">
        <v>88</v>
      </c>
      <c r="E470" s="54">
        <v>7000</v>
      </c>
      <c r="F470" s="54"/>
      <c r="G470" s="54">
        <f t="shared" si="487"/>
        <v>7000</v>
      </c>
      <c r="H470" s="54"/>
      <c r="I470" s="54">
        <f>SUM(G470:H470)</f>
        <v>7000</v>
      </c>
      <c r="J470" s="54"/>
      <c r="K470" s="54">
        <f>SUM(I470:J470)</f>
        <v>7000</v>
      </c>
      <c r="L470" s="54"/>
      <c r="M470" s="54">
        <f>SUM(K470:L470)</f>
        <v>7000</v>
      </c>
      <c r="N470" s="54"/>
      <c r="O470" s="54">
        <f>SUM(M470:N470)</f>
        <v>7000</v>
      </c>
      <c r="P470" s="54"/>
      <c r="Q470" s="54">
        <f>SUM(O470:P470)</f>
        <v>7000</v>
      </c>
      <c r="R470" s="54"/>
      <c r="S470" s="54">
        <f>SUM(Q470:R470)</f>
        <v>7000</v>
      </c>
      <c r="T470" s="54"/>
      <c r="U470" s="54">
        <f>SUM(S470:T470)</f>
        <v>7000</v>
      </c>
      <c r="V470" s="54"/>
      <c r="W470" s="54">
        <f>SUM(U470:V470)</f>
        <v>7000</v>
      </c>
      <c r="X470" s="54"/>
      <c r="Y470" s="54">
        <f>SUM(W470:X470)</f>
        <v>7000</v>
      </c>
      <c r="Z470" s="54"/>
      <c r="AA470" s="54">
        <f>SUM(Y470:Z470)</f>
        <v>7000</v>
      </c>
      <c r="AB470" s="54"/>
      <c r="AC470" s="54">
        <f>SUM(AA470:AB470)</f>
        <v>7000</v>
      </c>
      <c r="AD470" s="54"/>
      <c r="AE470" s="54">
        <f>SUM(AC470:AD470)</f>
        <v>7000</v>
      </c>
      <c r="AF470" s="54"/>
      <c r="AG470" s="54">
        <f>SUM(AE470:AF470)</f>
        <v>7000</v>
      </c>
      <c r="AH470" s="54">
        <v>-3000</v>
      </c>
      <c r="AI470" s="54">
        <f>SUM(AG470:AH470)</f>
        <v>4000</v>
      </c>
      <c r="AJ470" s="54"/>
      <c r="AK470" s="54">
        <f>SUM(AI470:AJ470)</f>
        <v>4000</v>
      </c>
    </row>
    <row r="471" spans="1:37" s="20" customFormat="1" ht="21" customHeight="1">
      <c r="A471" s="41"/>
      <c r="B471" s="140"/>
      <c r="C471" s="58">
        <v>4300</v>
      </c>
      <c r="D471" s="148" t="s">
        <v>75</v>
      </c>
      <c r="E471" s="54">
        <f>45000+8000+26000</f>
        <v>79000</v>
      </c>
      <c r="F471" s="54"/>
      <c r="G471" s="54">
        <f t="shared" si="487"/>
        <v>79000</v>
      </c>
      <c r="H471" s="54"/>
      <c r="I471" s="54">
        <f>SUM(G471:H471)</f>
        <v>79000</v>
      </c>
      <c r="J471" s="54">
        <v>-45000</v>
      </c>
      <c r="K471" s="54">
        <f>SUM(I471:J471)</f>
        <v>34000</v>
      </c>
      <c r="L471" s="54"/>
      <c r="M471" s="54">
        <f>SUM(K471:L471)</f>
        <v>34000</v>
      </c>
      <c r="N471" s="54"/>
      <c r="O471" s="54">
        <f>SUM(M471:N471)</f>
        <v>34000</v>
      </c>
      <c r="P471" s="54"/>
      <c r="Q471" s="54">
        <f>SUM(O471:P471)</f>
        <v>34000</v>
      </c>
      <c r="R471" s="54"/>
      <c r="S471" s="54">
        <f>SUM(Q471:R471)</f>
        <v>34000</v>
      </c>
      <c r="T471" s="54"/>
      <c r="U471" s="54">
        <f>SUM(S471:T471)</f>
        <v>34000</v>
      </c>
      <c r="V471" s="54"/>
      <c r="W471" s="54">
        <f>SUM(U471:V471)</f>
        <v>34000</v>
      </c>
      <c r="X471" s="54"/>
      <c r="Y471" s="54">
        <f>SUM(W471:X471)</f>
        <v>34000</v>
      </c>
      <c r="Z471" s="54"/>
      <c r="AA471" s="54">
        <f>SUM(Y471:Z471)</f>
        <v>34000</v>
      </c>
      <c r="AB471" s="54"/>
      <c r="AC471" s="54">
        <f>SUM(AA471:AB471)</f>
        <v>34000</v>
      </c>
      <c r="AD471" s="54"/>
      <c r="AE471" s="54">
        <f>SUM(AC471:AD471)</f>
        <v>34000</v>
      </c>
      <c r="AF471" s="54"/>
      <c r="AG471" s="54">
        <f>SUM(AE471:AF471)</f>
        <v>34000</v>
      </c>
      <c r="AH471" s="54"/>
      <c r="AI471" s="54">
        <f>SUM(AG471:AH471)</f>
        <v>34000</v>
      </c>
      <c r="AJ471" s="54"/>
      <c r="AK471" s="54">
        <f>SUM(AI471:AJ471)</f>
        <v>34000</v>
      </c>
    </row>
    <row r="472" spans="1:37" s="20" customFormat="1" ht="24">
      <c r="A472" s="41"/>
      <c r="B472" s="140"/>
      <c r="C472" s="58">
        <v>4390</v>
      </c>
      <c r="D472" s="31" t="s">
        <v>337</v>
      </c>
      <c r="E472" s="54">
        <v>2000</v>
      </c>
      <c r="F472" s="54"/>
      <c r="G472" s="54">
        <f t="shared" si="487"/>
        <v>2000</v>
      </c>
      <c r="H472" s="54"/>
      <c r="I472" s="54">
        <f>SUM(G472:H472)</f>
        <v>2000</v>
      </c>
      <c r="J472" s="54"/>
      <c r="K472" s="54">
        <f>SUM(I472:J472)</f>
        <v>2000</v>
      </c>
      <c r="L472" s="54"/>
      <c r="M472" s="54">
        <f>SUM(K472:L472)</f>
        <v>2000</v>
      </c>
      <c r="N472" s="54"/>
      <c r="O472" s="54">
        <f>SUM(M472:N472)</f>
        <v>2000</v>
      </c>
      <c r="P472" s="54"/>
      <c r="Q472" s="54">
        <f>SUM(O472:P472)</f>
        <v>2000</v>
      </c>
      <c r="R472" s="54"/>
      <c r="S472" s="54">
        <f>SUM(Q472:R472)</f>
        <v>2000</v>
      </c>
      <c r="T472" s="54"/>
      <c r="U472" s="54">
        <f>SUM(S472:T472)</f>
        <v>2000</v>
      </c>
      <c r="V472" s="54"/>
      <c r="W472" s="54">
        <f>SUM(U472:V472)</f>
        <v>2000</v>
      </c>
      <c r="X472" s="54"/>
      <c r="Y472" s="54">
        <f>SUM(W472:X472)</f>
        <v>2000</v>
      </c>
      <c r="Z472" s="54"/>
      <c r="AA472" s="54">
        <f>SUM(Y472:Z472)</f>
        <v>2000</v>
      </c>
      <c r="AB472" s="54"/>
      <c r="AC472" s="54">
        <f>SUM(AA472:AB472)</f>
        <v>2000</v>
      </c>
      <c r="AD472" s="54"/>
      <c r="AE472" s="54">
        <f>SUM(AC472:AD472)</f>
        <v>2000</v>
      </c>
      <c r="AF472" s="54"/>
      <c r="AG472" s="54">
        <f>SUM(AE472:AF472)</f>
        <v>2000</v>
      </c>
      <c r="AH472" s="54">
        <v>-2000</v>
      </c>
      <c r="AI472" s="54">
        <f>SUM(AG472:AH472)</f>
        <v>0</v>
      </c>
      <c r="AJ472" s="54"/>
      <c r="AK472" s="54">
        <f>SUM(AI472:AJ472)</f>
        <v>0</v>
      </c>
    </row>
    <row r="473" spans="1:37" s="5" customFormat="1" ht="33" customHeight="1">
      <c r="A473" s="27" t="s">
        <v>61</v>
      </c>
      <c r="B473" s="28"/>
      <c r="C473" s="29"/>
      <c r="D473" s="30" t="s">
        <v>111</v>
      </c>
      <c r="E473" s="134">
        <f aca="true" t="shared" si="502" ref="E473:W473">SUM(E474,E482,E484,E486,E488)</f>
        <v>2653147</v>
      </c>
      <c r="F473" s="134">
        <f t="shared" si="502"/>
        <v>128000</v>
      </c>
      <c r="G473" s="134">
        <f t="shared" si="502"/>
        <v>2781147</v>
      </c>
      <c r="H473" s="134">
        <f t="shared" si="502"/>
        <v>0</v>
      </c>
      <c r="I473" s="134">
        <f t="shared" si="502"/>
        <v>2781147</v>
      </c>
      <c r="J473" s="134">
        <f t="shared" si="502"/>
        <v>7400</v>
      </c>
      <c r="K473" s="134">
        <f t="shared" si="502"/>
        <v>2788547</v>
      </c>
      <c r="L473" s="134">
        <f t="shared" si="502"/>
        <v>2500</v>
      </c>
      <c r="M473" s="134">
        <f t="shared" si="502"/>
        <v>2791047</v>
      </c>
      <c r="N473" s="134">
        <f t="shared" si="502"/>
        <v>0</v>
      </c>
      <c r="O473" s="134">
        <f t="shared" si="502"/>
        <v>2791047</v>
      </c>
      <c r="P473" s="134">
        <f t="shared" si="502"/>
        <v>0</v>
      </c>
      <c r="Q473" s="134">
        <f t="shared" si="502"/>
        <v>2791047</v>
      </c>
      <c r="R473" s="134">
        <f t="shared" si="502"/>
        <v>0</v>
      </c>
      <c r="S473" s="134">
        <f t="shared" si="502"/>
        <v>2791047</v>
      </c>
      <c r="T473" s="134">
        <f t="shared" si="502"/>
        <v>0</v>
      </c>
      <c r="U473" s="134">
        <f t="shared" si="502"/>
        <v>2791047</v>
      </c>
      <c r="V473" s="134">
        <f t="shared" si="502"/>
        <v>0</v>
      </c>
      <c r="W473" s="134">
        <f t="shared" si="502"/>
        <v>2791047</v>
      </c>
      <c r="X473" s="134">
        <f aca="true" t="shared" si="503" ref="X473:AC473">SUM(X474,X482,X484,X486,X488)</f>
        <v>0</v>
      </c>
      <c r="Y473" s="134">
        <f t="shared" si="503"/>
        <v>2791047</v>
      </c>
      <c r="Z473" s="134">
        <f t="shared" si="503"/>
        <v>-55140</v>
      </c>
      <c r="AA473" s="134">
        <f t="shared" si="503"/>
        <v>2735907</v>
      </c>
      <c r="AB473" s="134">
        <f t="shared" si="503"/>
        <v>0</v>
      </c>
      <c r="AC473" s="134">
        <f t="shared" si="503"/>
        <v>2735907</v>
      </c>
      <c r="AD473" s="134">
        <f aca="true" t="shared" si="504" ref="AD473:AI473">SUM(AD474,AD482,AD484,AD486,AD488)</f>
        <v>-2113</v>
      </c>
      <c r="AE473" s="134">
        <f t="shared" si="504"/>
        <v>2733794</v>
      </c>
      <c r="AF473" s="134">
        <f t="shared" si="504"/>
        <v>50</v>
      </c>
      <c r="AG473" s="134">
        <f t="shared" si="504"/>
        <v>2733844</v>
      </c>
      <c r="AH473" s="134">
        <f t="shared" si="504"/>
        <v>1301</v>
      </c>
      <c r="AI473" s="134">
        <f t="shared" si="504"/>
        <v>2735145</v>
      </c>
      <c r="AJ473" s="134">
        <f>SUM(AJ474,AJ482,AJ484,AJ486,AJ488)</f>
        <v>0</v>
      </c>
      <c r="AK473" s="134">
        <f>SUM(AK474,AK482,AK484,AK486,AK488)</f>
        <v>2735145</v>
      </c>
    </row>
    <row r="474" spans="1:37" s="20" customFormat="1" ht="21.75" customHeight="1">
      <c r="A474" s="41"/>
      <c r="B474" s="55" t="s">
        <v>112</v>
      </c>
      <c r="C474" s="58"/>
      <c r="D474" s="31" t="s">
        <v>122</v>
      </c>
      <c r="E474" s="54">
        <f aca="true" t="shared" si="505" ref="E474:W474">SUM(E475:E481)</f>
        <v>838410</v>
      </c>
      <c r="F474" s="54">
        <f t="shared" si="505"/>
        <v>128000</v>
      </c>
      <c r="G474" s="54">
        <f t="shared" si="505"/>
        <v>966410</v>
      </c>
      <c r="H474" s="54">
        <f t="shared" si="505"/>
        <v>0</v>
      </c>
      <c r="I474" s="54">
        <f t="shared" si="505"/>
        <v>966410</v>
      </c>
      <c r="J474" s="54">
        <f t="shared" si="505"/>
        <v>4000</v>
      </c>
      <c r="K474" s="54">
        <f t="shared" si="505"/>
        <v>970410</v>
      </c>
      <c r="L474" s="54">
        <f t="shared" si="505"/>
        <v>2500</v>
      </c>
      <c r="M474" s="54">
        <f t="shared" si="505"/>
        <v>972910</v>
      </c>
      <c r="N474" s="54">
        <f t="shared" si="505"/>
        <v>0</v>
      </c>
      <c r="O474" s="54">
        <f t="shared" si="505"/>
        <v>972910</v>
      </c>
      <c r="P474" s="54">
        <f t="shared" si="505"/>
        <v>0</v>
      </c>
      <c r="Q474" s="54">
        <f t="shared" si="505"/>
        <v>972910</v>
      </c>
      <c r="R474" s="54">
        <f t="shared" si="505"/>
        <v>0</v>
      </c>
      <c r="S474" s="54">
        <f t="shared" si="505"/>
        <v>972910</v>
      </c>
      <c r="T474" s="54">
        <f t="shared" si="505"/>
        <v>0</v>
      </c>
      <c r="U474" s="54">
        <f t="shared" si="505"/>
        <v>972910</v>
      </c>
      <c r="V474" s="54">
        <f t="shared" si="505"/>
        <v>0</v>
      </c>
      <c r="W474" s="54">
        <f t="shared" si="505"/>
        <v>972910</v>
      </c>
      <c r="X474" s="54">
        <f aca="true" t="shared" si="506" ref="X474:AC474">SUM(X475:X481)</f>
        <v>0</v>
      </c>
      <c r="Y474" s="54">
        <f t="shared" si="506"/>
        <v>972910</v>
      </c>
      <c r="Z474" s="54">
        <f t="shared" si="506"/>
        <v>10860</v>
      </c>
      <c r="AA474" s="54">
        <f t="shared" si="506"/>
        <v>983770</v>
      </c>
      <c r="AB474" s="54">
        <f t="shared" si="506"/>
        <v>0</v>
      </c>
      <c r="AC474" s="54">
        <f t="shared" si="506"/>
        <v>983770</v>
      </c>
      <c r="AD474" s="54">
        <f aca="true" t="shared" si="507" ref="AD474:AI474">SUM(AD475:AD481)</f>
        <v>-2113</v>
      </c>
      <c r="AE474" s="54">
        <f t="shared" si="507"/>
        <v>981657</v>
      </c>
      <c r="AF474" s="54">
        <f t="shared" si="507"/>
        <v>50</v>
      </c>
      <c r="AG474" s="54">
        <f t="shared" si="507"/>
        <v>981707</v>
      </c>
      <c r="AH474" s="54">
        <f t="shared" si="507"/>
        <v>1301</v>
      </c>
      <c r="AI474" s="54">
        <f t="shared" si="507"/>
        <v>983008</v>
      </c>
      <c r="AJ474" s="54">
        <f>SUM(AJ475:AJ481)</f>
        <v>0</v>
      </c>
      <c r="AK474" s="54">
        <f>SUM(AK475:AK481)</f>
        <v>983008</v>
      </c>
    </row>
    <row r="475" spans="1:43" s="20" customFormat="1" ht="24">
      <c r="A475" s="41"/>
      <c r="B475" s="55"/>
      <c r="C475" s="58">
        <v>2480</v>
      </c>
      <c r="D475" s="31" t="s">
        <v>362</v>
      </c>
      <c r="E475" s="54">
        <v>725435</v>
      </c>
      <c r="F475" s="54">
        <f>-10000-5000-10000-10000-15000+83000-5000</f>
        <v>28000</v>
      </c>
      <c r="G475" s="54">
        <f t="shared" si="487"/>
        <v>753435</v>
      </c>
      <c r="H475" s="54"/>
      <c r="I475" s="54">
        <f aca="true" t="shared" si="508" ref="I475:I481">SUM(G475:H475)</f>
        <v>753435</v>
      </c>
      <c r="J475" s="54">
        <v>4000</v>
      </c>
      <c r="K475" s="54">
        <f aca="true" t="shared" si="509" ref="K475:K481">SUM(I475:J475)</f>
        <v>757435</v>
      </c>
      <c r="L475" s="54"/>
      <c r="M475" s="54">
        <f aca="true" t="shared" si="510" ref="M475:M481">SUM(K475:L475)</f>
        <v>757435</v>
      </c>
      <c r="N475" s="54"/>
      <c r="O475" s="54">
        <f aca="true" t="shared" si="511" ref="O475:O481">SUM(M475:N475)</f>
        <v>757435</v>
      </c>
      <c r="P475" s="54"/>
      <c r="Q475" s="54">
        <f aca="true" t="shared" si="512" ref="Q475:Q481">SUM(O475:P475)</f>
        <v>757435</v>
      </c>
      <c r="R475" s="54"/>
      <c r="S475" s="54">
        <f aca="true" t="shared" si="513" ref="S475:S481">SUM(Q475:R475)</f>
        <v>757435</v>
      </c>
      <c r="T475" s="54"/>
      <c r="U475" s="54">
        <f aca="true" t="shared" si="514" ref="U475:U481">SUM(S475:T475)</f>
        <v>757435</v>
      </c>
      <c r="V475" s="54"/>
      <c r="W475" s="54">
        <f aca="true" t="shared" si="515" ref="W475:W481">SUM(U475:V475)</f>
        <v>757435</v>
      </c>
      <c r="X475" s="54"/>
      <c r="Y475" s="54">
        <f aca="true" t="shared" si="516" ref="Y475:Y481">SUM(W475:X475)</f>
        <v>757435</v>
      </c>
      <c r="Z475" s="54"/>
      <c r="AA475" s="54">
        <f aca="true" t="shared" si="517" ref="AA475:AA481">SUM(Y475:Z475)</f>
        <v>757435</v>
      </c>
      <c r="AB475" s="54"/>
      <c r="AC475" s="54">
        <f aca="true" t="shared" si="518" ref="AC475:AC481">SUM(AA475:AB475)</f>
        <v>757435</v>
      </c>
      <c r="AD475" s="54"/>
      <c r="AE475" s="54">
        <f aca="true" t="shared" si="519" ref="AE475:AE481">SUM(AC475:AD475)</f>
        <v>757435</v>
      </c>
      <c r="AF475" s="54"/>
      <c r="AG475" s="54">
        <f aca="true" t="shared" si="520" ref="AG475:AG481">SUM(AE475:AF475)</f>
        <v>757435</v>
      </c>
      <c r="AH475" s="54"/>
      <c r="AI475" s="54">
        <f aca="true" t="shared" si="521" ref="AI475:AI481">SUM(AG475:AH475)</f>
        <v>757435</v>
      </c>
      <c r="AJ475" s="54"/>
      <c r="AK475" s="54">
        <f aca="true" t="shared" si="522" ref="AK475:AK481">SUM(AI475:AJ475)</f>
        <v>757435</v>
      </c>
      <c r="AP475" s="67"/>
      <c r="AQ475" s="67"/>
    </row>
    <row r="476" spans="1:43" s="20" customFormat="1" ht="19.5" customHeight="1">
      <c r="A476" s="41"/>
      <c r="B476" s="55"/>
      <c r="C476" s="58">
        <v>4170</v>
      </c>
      <c r="D476" s="31" t="s">
        <v>161</v>
      </c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>
        <v>0</v>
      </c>
      <c r="AH476" s="54">
        <v>1300</v>
      </c>
      <c r="AI476" s="54">
        <f t="shared" si="521"/>
        <v>1300</v>
      </c>
      <c r="AJ476" s="54"/>
      <c r="AK476" s="54">
        <f t="shared" si="522"/>
        <v>1300</v>
      </c>
      <c r="AL476" s="67"/>
      <c r="AM476" s="67"/>
      <c r="AP476" s="67"/>
      <c r="AQ476" s="67"/>
    </row>
    <row r="477" spans="1:37" s="20" customFormat="1" ht="21" customHeight="1">
      <c r="A477" s="41"/>
      <c r="B477" s="55"/>
      <c r="C477" s="41">
        <v>4210</v>
      </c>
      <c r="D477" s="31" t="s">
        <v>86</v>
      </c>
      <c r="E477" s="54">
        <v>33580</v>
      </c>
      <c r="F477" s="54"/>
      <c r="G477" s="54">
        <f t="shared" si="487"/>
        <v>33580</v>
      </c>
      <c r="H477" s="54"/>
      <c r="I477" s="54">
        <f t="shared" si="508"/>
        <v>33580</v>
      </c>
      <c r="J477" s="54"/>
      <c r="K477" s="54">
        <f t="shared" si="509"/>
        <v>33580</v>
      </c>
      <c r="L477" s="54"/>
      <c r="M477" s="54">
        <f t="shared" si="510"/>
        <v>33580</v>
      </c>
      <c r="N477" s="54">
        <v>50</v>
      </c>
      <c r="O477" s="54">
        <f t="shared" si="511"/>
        <v>33630</v>
      </c>
      <c r="P477" s="54"/>
      <c r="Q477" s="54">
        <f t="shared" si="512"/>
        <v>33630</v>
      </c>
      <c r="R477" s="54"/>
      <c r="S477" s="54">
        <f t="shared" si="513"/>
        <v>33630</v>
      </c>
      <c r="T477" s="54"/>
      <c r="U477" s="54">
        <f t="shared" si="514"/>
        <v>33630</v>
      </c>
      <c r="V477" s="54">
        <v>-5280</v>
      </c>
      <c r="W477" s="54">
        <f t="shared" si="515"/>
        <v>28350</v>
      </c>
      <c r="X477" s="54"/>
      <c r="Y477" s="54">
        <f t="shared" si="516"/>
        <v>28350</v>
      </c>
      <c r="Z477" s="54">
        <f>1000-2000-900+167</f>
        <v>-1733</v>
      </c>
      <c r="AA477" s="54">
        <f t="shared" si="517"/>
        <v>26617</v>
      </c>
      <c r="AB477" s="54"/>
      <c r="AC477" s="54">
        <f t="shared" si="518"/>
        <v>26617</v>
      </c>
      <c r="AD477" s="54">
        <v>5446</v>
      </c>
      <c r="AE477" s="54">
        <f t="shared" si="519"/>
        <v>32063</v>
      </c>
      <c r="AF477" s="54"/>
      <c r="AG477" s="54">
        <f t="shared" si="520"/>
        <v>32063</v>
      </c>
      <c r="AH477" s="54">
        <f>534-61</f>
        <v>473</v>
      </c>
      <c r="AI477" s="54">
        <f t="shared" si="521"/>
        <v>32536</v>
      </c>
      <c r="AJ477" s="54"/>
      <c r="AK477" s="54">
        <f t="shared" si="522"/>
        <v>32536</v>
      </c>
    </row>
    <row r="478" spans="1:37" s="20" customFormat="1" ht="21" customHeight="1">
      <c r="A478" s="41"/>
      <c r="B478" s="55"/>
      <c r="C478" s="41">
        <v>4260</v>
      </c>
      <c r="D478" s="31" t="s">
        <v>88</v>
      </c>
      <c r="E478" s="54">
        <v>12650</v>
      </c>
      <c r="F478" s="54"/>
      <c r="G478" s="54">
        <f t="shared" si="487"/>
        <v>12650</v>
      </c>
      <c r="H478" s="54"/>
      <c r="I478" s="54">
        <f t="shared" si="508"/>
        <v>12650</v>
      </c>
      <c r="J478" s="54"/>
      <c r="K478" s="54">
        <f t="shared" si="509"/>
        <v>12650</v>
      </c>
      <c r="L478" s="54"/>
      <c r="M478" s="54">
        <f t="shared" si="510"/>
        <v>12650</v>
      </c>
      <c r="N478" s="54">
        <f>-50+1990</f>
        <v>1940</v>
      </c>
      <c r="O478" s="54">
        <f t="shared" si="511"/>
        <v>14590</v>
      </c>
      <c r="P478" s="54"/>
      <c r="Q478" s="54">
        <f t="shared" si="512"/>
        <v>14590</v>
      </c>
      <c r="R478" s="54">
        <v>500</v>
      </c>
      <c r="S478" s="54">
        <f t="shared" si="513"/>
        <v>15090</v>
      </c>
      <c r="T478" s="54"/>
      <c r="U478" s="54">
        <f t="shared" si="514"/>
        <v>15090</v>
      </c>
      <c r="V478" s="54"/>
      <c r="W478" s="54">
        <f t="shared" si="515"/>
        <v>15090</v>
      </c>
      <c r="X478" s="54"/>
      <c r="Y478" s="54">
        <f t="shared" si="516"/>
        <v>15090</v>
      </c>
      <c r="Z478" s="54"/>
      <c r="AA478" s="54">
        <f t="shared" si="517"/>
        <v>15090</v>
      </c>
      <c r="AB478" s="54"/>
      <c r="AC478" s="54">
        <f t="shared" si="518"/>
        <v>15090</v>
      </c>
      <c r="AD478" s="54">
        <v>691</v>
      </c>
      <c r="AE478" s="54">
        <f t="shared" si="519"/>
        <v>15781</v>
      </c>
      <c r="AF478" s="54">
        <f>450-400</f>
        <v>50</v>
      </c>
      <c r="AG478" s="54">
        <f t="shared" si="520"/>
        <v>15831</v>
      </c>
      <c r="AH478" s="54">
        <f>1362-534</f>
        <v>828</v>
      </c>
      <c r="AI478" s="54">
        <f t="shared" si="521"/>
        <v>16659</v>
      </c>
      <c r="AJ478" s="54"/>
      <c r="AK478" s="54">
        <f t="shared" si="522"/>
        <v>16659</v>
      </c>
    </row>
    <row r="479" spans="1:37" s="20" customFormat="1" ht="21" customHeight="1">
      <c r="A479" s="41"/>
      <c r="B479" s="55"/>
      <c r="C479" s="41">
        <v>4270</v>
      </c>
      <c r="D479" s="31" t="s">
        <v>74</v>
      </c>
      <c r="E479" s="54">
        <v>56770</v>
      </c>
      <c r="F479" s="54">
        <v>100000</v>
      </c>
      <c r="G479" s="54">
        <f t="shared" si="487"/>
        <v>156770</v>
      </c>
      <c r="H479" s="54"/>
      <c r="I479" s="54">
        <f t="shared" si="508"/>
        <v>156770</v>
      </c>
      <c r="J479" s="54"/>
      <c r="K479" s="54">
        <f t="shared" si="509"/>
        <v>156770</v>
      </c>
      <c r="L479" s="54">
        <v>2500</v>
      </c>
      <c r="M479" s="54">
        <f t="shared" si="510"/>
        <v>159270</v>
      </c>
      <c r="N479" s="54">
        <v>-1990</v>
      </c>
      <c r="O479" s="54">
        <f t="shared" si="511"/>
        <v>157280</v>
      </c>
      <c r="P479" s="54"/>
      <c r="Q479" s="54">
        <f t="shared" si="512"/>
        <v>157280</v>
      </c>
      <c r="R479" s="54">
        <v>-500</v>
      </c>
      <c r="S479" s="54">
        <f t="shared" si="513"/>
        <v>156780</v>
      </c>
      <c r="T479" s="54"/>
      <c r="U479" s="54">
        <f t="shared" si="514"/>
        <v>156780</v>
      </c>
      <c r="V479" s="54">
        <v>5069</v>
      </c>
      <c r="W479" s="54">
        <f t="shared" si="515"/>
        <v>161849</v>
      </c>
      <c r="X479" s="54"/>
      <c r="Y479" s="54">
        <f t="shared" si="516"/>
        <v>161849</v>
      </c>
      <c r="Z479" s="54">
        <f>2000-127+10000</f>
        <v>11873</v>
      </c>
      <c r="AA479" s="54">
        <f t="shared" si="517"/>
        <v>173722</v>
      </c>
      <c r="AB479" s="54"/>
      <c r="AC479" s="54">
        <f t="shared" si="518"/>
        <v>173722</v>
      </c>
      <c r="AD479" s="54">
        <v>-4630</v>
      </c>
      <c r="AE479" s="54">
        <f t="shared" si="519"/>
        <v>169092</v>
      </c>
      <c r="AF479" s="54"/>
      <c r="AG479" s="54">
        <f t="shared" si="520"/>
        <v>169092</v>
      </c>
      <c r="AH479" s="54">
        <v>-1300</v>
      </c>
      <c r="AI479" s="54">
        <f t="shared" si="521"/>
        <v>167792</v>
      </c>
      <c r="AJ479" s="54">
        <v>-115</v>
      </c>
      <c r="AK479" s="54">
        <f t="shared" si="522"/>
        <v>167677</v>
      </c>
    </row>
    <row r="480" spans="1:37" s="20" customFormat="1" ht="21" customHeight="1">
      <c r="A480" s="41"/>
      <c r="B480" s="55"/>
      <c r="C480" s="58">
        <v>4300</v>
      </c>
      <c r="D480" s="148" t="s">
        <v>75</v>
      </c>
      <c r="E480" s="54">
        <v>8340</v>
      </c>
      <c r="F480" s="54"/>
      <c r="G480" s="54">
        <f t="shared" si="487"/>
        <v>8340</v>
      </c>
      <c r="H480" s="54"/>
      <c r="I480" s="54">
        <f t="shared" si="508"/>
        <v>8340</v>
      </c>
      <c r="J480" s="54"/>
      <c r="K480" s="54">
        <f t="shared" si="509"/>
        <v>8340</v>
      </c>
      <c r="L480" s="54"/>
      <c r="M480" s="54">
        <f t="shared" si="510"/>
        <v>8340</v>
      </c>
      <c r="N480" s="54"/>
      <c r="O480" s="54">
        <f t="shared" si="511"/>
        <v>8340</v>
      </c>
      <c r="P480" s="54"/>
      <c r="Q480" s="54">
        <f t="shared" si="512"/>
        <v>8340</v>
      </c>
      <c r="R480" s="54"/>
      <c r="S480" s="54">
        <f t="shared" si="513"/>
        <v>8340</v>
      </c>
      <c r="T480" s="54"/>
      <c r="U480" s="54">
        <f t="shared" si="514"/>
        <v>8340</v>
      </c>
      <c r="V480" s="54">
        <v>211</v>
      </c>
      <c r="W480" s="54">
        <f t="shared" si="515"/>
        <v>8551</v>
      </c>
      <c r="X480" s="54"/>
      <c r="Y480" s="54">
        <f t="shared" si="516"/>
        <v>8551</v>
      </c>
      <c r="Z480" s="54">
        <v>720</v>
      </c>
      <c r="AA480" s="54">
        <f t="shared" si="517"/>
        <v>9271</v>
      </c>
      <c r="AB480" s="54"/>
      <c r="AC480" s="54">
        <f t="shared" si="518"/>
        <v>9271</v>
      </c>
      <c r="AD480" s="54">
        <v>-3620</v>
      </c>
      <c r="AE480" s="54">
        <f t="shared" si="519"/>
        <v>5651</v>
      </c>
      <c r="AF480" s="54"/>
      <c r="AG480" s="54">
        <f t="shared" si="520"/>
        <v>5651</v>
      </c>
      <c r="AH480" s="54"/>
      <c r="AI480" s="54">
        <f t="shared" si="521"/>
        <v>5651</v>
      </c>
      <c r="AJ480" s="54">
        <v>115</v>
      </c>
      <c r="AK480" s="54">
        <f t="shared" si="522"/>
        <v>5766</v>
      </c>
    </row>
    <row r="481" spans="1:37" s="20" customFormat="1" ht="21" customHeight="1">
      <c r="A481" s="41"/>
      <c r="B481" s="55"/>
      <c r="C481" s="58">
        <v>4430</v>
      </c>
      <c r="D481" s="148" t="s">
        <v>87</v>
      </c>
      <c r="E481" s="54">
        <v>1635</v>
      </c>
      <c r="F481" s="54"/>
      <c r="G481" s="54">
        <f t="shared" si="487"/>
        <v>1635</v>
      </c>
      <c r="H481" s="54"/>
      <c r="I481" s="54">
        <f t="shared" si="508"/>
        <v>1635</v>
      </c>
      <c r="J481" s="54"/>
      <c r="K481" s="54">
        <f t="shared" si="509"/>
        <v>1635</v>
      </c>
      <c r="L481" s="54"/>
      <c r="M481" s="54">
        <f t="shared" si="510"/>
        <v>1635</v>
      </c>
      <c r="N481" s="54"/>
      <c r="O481" s="54">
        <f t="shared" si="511"/>
        <v>1635</v>
      </c>
      <c r="P481" s="54"/>
      <c r="Q481" s="54">
        <f t="shared" si="512"/>
        <v>1635</v>
      </c>
      <c r="R481" s="54"/>
      <c r="S481" s="54">
        <f t="shared" si="513"/>
        <v>1635</v>
      </c>
      <c r="T481" s="54"/>
      <c r="U481" s="54">
        <f t="shared" si="514"/>
        <v>1635</v>
      </c>
      <c r="V481" s="54"/>
      <c r="W481" s="54">
        <f t="shared" si="515"/>
        <v>1635</v>
      </c>
      <c r="X481" s="54"/>
      <c r="Y481" s="54">
        <f t="shared" si="516"/>
        <v>1635</v>
      </c>
      <c r="Z481" s="54"/>
      <c r="AA481" s="54">
        <f t="shared" si="517"/>
        <v>1635</v>
      </c>
      <c r="AB481" s="54"/>
      <c r="AC481" s="54">
        <f t="shared" si="518"/>
        <v>1635</v>
      </c>
      <c r="AD481" s="54"/>
      <c r="AE481" s="54">
        <f t="shared" si="519"/>
        <v>1635</v>
      </c>
      <c r="AF481" s="54"/>
      <c r="AG481" s="54">
        <f t="shared" si="520"/>
        <v>1635</v>
      </c>
      <c r="AH481" s="54"/>
      <c r="AI481" s="54">
        <f t="shared" si="521"/>
        <v>1635</v>
      </c>
      <c r="AJ481" s="54"/>
      <c r="AK481" s="54">
        <f t="shared" si="522"/>
        <v>1635</v>
      </c>
    </row>
    <row r="482" spans="1:37" s="20" customFormat="1" ht="21" customHeight="1">
      <c r="A482" s="41"/>
      <c r="B482" s="55" t="s">
        <v>62</v>
      </c>
      <c r="C482" s="58"/>
      <c r="D482" s="31" t="s">
        <v>63</v>
      </c>
      <c r="E482" s="54">
        <f aca="true" t="shared" si="523" ref="E482:AK482">E483</f>
        <v>1091087</v>
      </c>
      <c r="F482" s="54">
        <f t="shared" si="523"/>
        <v>0</v>
      </c>
      <c r="G482" s="54">
        <f t="shared" si="523"/>
        <v>1091087</v>
      </c>
      <c r="H482" s="54">
        <f t="shared" si="523"/>
        <v>0</v>
      </c>
      <c r="I482" s="54">
        <f t="shared" si="523"/>
        <v>1091087</v>
      </c>
      <c r="J482" s="54">
        <f t="shared" si="523"/>
        <v>0</v>
      </c>
      <c r="K482" s="54">
        <f t="shared" si="523"/>
        <v>1091087</v>
      </c>
      <c r="L482" s="54">
        <f t="shared" si="523"/>
        <v>0</v>
      </c>
      <c r="M482" s="54">
        <f t="shared" si="523"/>
        <v>1091087</v>
      </c>
      <c r="N482" s="54">
        <f t="shared" si="523"/>
        <v>0</v>
      </c>
      <c r="O482" s="54">
        <f t="shared" si="523"/>
        <v>1091087</v>
      </c>
      <c r="P482" s="54">
        <f t="shared" si="523"/>
        <v>0</v>
      </c>
      <c r="Q482" s="54">
        <f t="shared" si="523"/>
        <v>1091087</v>
      </c>
      <c r="R482" s="54">
        <f t="shared" si="523"/>
        <v>0</v>
      </c>
      <c r="S482" s="54">
        <f t="shared" si="523"/>
        <v>1091087</v>
      </c>
      <c r="T482" s="54">
        <f t="shared" si="523"/>
        <v>0</v>
      </c>
      <c r="U482" s="54">
        <f t="shared" si="523"/>
        <v>1091087</v>
      </c>
      <c r="V482" s="54">
        <f t="shared" si="523"/>
        <v>0</v>
      </c>
      <c r="W482" s="54">
        <f t="shared" si="523"/>
        <v>1091087</v>
      </c>
      <c r="X482" s="54">
        <f t="shared" si="523"/>
        <v>0</v>
      </c>
      <c r="Y482" s="54">
        <f t="shared" si="523"/>
        <v>1091087</v>
      </c>
      <c r="Z482" s="54">
        <f t="shared" si="523"/>
        <v>0</v>
      </c>
      <c r="AA482" s="54">
        <f t="shared" si="523"/>
        <v>1091087</v>
      </c>
      <c r="AB482" s="54">
        <f t="shared" si="523"/>
        <v>0</v>
      </c>
      <c r="AC482" s="54">
        <f t="shared" si="523"/>
        <v>1091087</v>
      </c>
      <c r="AD482" s="54">
        <f t="shared" si="523"/>
        <v>0</v>
      </c>
      <c r="AE482" s="54">
        <f t="shared" si="523"/>
        <v>1091087</v>
      </c>
      <c r="AF482" s="54">
        <f t="shared" si="523"/>
        <v>0</v>
      </c>
      <c r="AG482" s="54">
        <f t="shared" si="523"/>
        <v>1091087</v>
      </c>
      <c r="AH482" s="54">
        <f t="shared" si="523"/>
        <v>0</v>
      </c>
      <c r="AI482" s="54">
        <f t="shared" si="523"/>
        <v>1091087</v>
      </c>
      <c r="AJ482" s="54">
        <f t="shared" si="523"/>
        <v>0</v>
      </c>
      <c r="AK482" s="54">
        <f t="shared" si="523"/>
        <v>1091087</v>
      </c>
    </row>
    <row r="483" spans="1:43" s="20" customFormat="1" ht="24">
      <c r="A483" s="41"/>
      <c r="B483" s="55"/>
      <c r="C483" s="58">
        <v>2480</v>
      </c>
      <c r="D483" s="31" t="s">
        <v>362</v>
      </c>
      <c r="E483" s="54">
        <f>60000+1031087</f>
        <v>1091087</v>
      </c>
      <c r="F483" s="54"/>
      <c r="G483" s="54">
        <f t="shared" si="487"/>
        <v>1091087</v>
      </c>
      <c r="H483" s="54"/>
      <c r="I483" s="54">
        <f>SUM(G483:H483)</f>
        <v>1091087</v>
      </c>
      <c r="J483" s="54"/>
      <c r="K483" s="54">
        <f>SUM(I483:J483)</f>
        <v>1091087</v>
      </c>
      <c r="L483" s="54"/>
      <c r="M483" s="54">
        <f>SUM(K483:L483)</f>
        <v>1091087</v>
      </c>
      <c r="N483" s="54"/>
      <c r="O483" s="54">
        <f>SUM(M483:N483)</f>
        <v>1091087</v>
      </c>
      <c r="P483" s="54"/>
      <c r="Q483" s="54">
        <f>SUM(O483:P483)</f>
        <v>1091087</v>
      </c>
      <c r="R483" s="54"/>
      <c r="S483" s="54">
        <f>SUM(Q483:R483)</f>
        <v>1091087</v>
      </c>
      <c r="T483" s="54"/>
      <c r="U483" s="54">
        <f>SUM(S483:T483)</f>
        <v>1091087</v>
      </c>
      <c r="V483" s="54"/>
      <c r="W483" s="54">
        <f>SUM(U483:V483)</f>
        <v>1091087</v>
      </c>
      <c r="X483" s="54"/>
      <c r="Y483" s="54">
        <f>SUM(W483:X483)</f>
        <v>1091087</v>
      </c>
      <c r="Z483" s="54"/>
      <c r="AA483" s="54">
        <f>SUM(Y483:Z483)</f>
        <v>1091087</v>
      </c>
      <c r="AB483" s="54"/>
      <c r="AC483" s="54">
        <f>SUM(AA483:AB483)</f>
        <v>1091087</v>
      </c>
      <c r="AD483" s="54"/>
      <c r="AE483" s="54">
        <f>SUM(AC483:AD483)</f>
        <v>1091087</v>
      </c>
      <c r="AF483" s="54"/>
      <c r="AG483" s="54">
        <f>SUM(AE483:AF483)</f>
        <v>1091087</v>
      </c>
      <c r="AH483" s="54"/>
      <c r="AI483" s="54">
        <f>SUM(AG483:AH483)</f>
        <v>1091087</v>
      </c>
      <c r="AJ483" s="54"/>
      <c r="AK483" s="54">
        <f>SUM(AI483:AJ483)</f>
        <v>1091087</v>
      </c>
      <c r="AP483" s="67"/>
      <c r="AQ483" s="67"/>
    </row>
    <row r="484" spans="1:37" s="20" customFormat="1" ht="21" customHeight="1">
      <c r="A484" s="41"/>
      <c r="B484" s="55" t="s">
        <v>113</v>
      </c>
      <c r="C484" s="58"/>
      <c r="D484" s="31" t="s">
        <v>114</v>
      </c>
      <c r="E484" s="54">
        <f aca="true" t="shared" si="524" ref="E484:AK484">E485</f>
        <v>686000</v>
      </c>
      <c r="F484" s="54">
        <f t="shared" si="524"/>
        <v>0</v>
      </c>
      <c r="G484" s="54">
        <f t="shared" si="524"/>
        <v>686000</v>
      </c>
      <c r="H484" s="54">
        <f t="shared" si="524"/>
        <v>0</v>
      </c>
      <c r="I484" s="54">
        <f t="shared" si="524"/>
        <v>686000</v>
      </c>
      <c r="J484" s="54">
        <f t="shared" si="524"/>
        <v>3400</v>
      </c>
      <c r="K484" s="54">
        <f t="shared" si="524"/>
        <v>689400</v>
      </c>
      <c r="L484" s="54">
        <f t="shared" si="524"/>
        <v>0</v>
      </c>
      <c r="M484" s="54">
        <f t="shared" si="524"/>
        <v>689400</v>
      </c>
      <c r="N484" s="54">
        <f t="shared" si="524"/>
        <v>0</v>
      </c>
      <c r="O484" s="54">
        <f t="shared" si="524"/>
        <v>689400</v>
      </c>
      <c r="P484" s="54">
        <f t="shared" si="524"/>
        <v>0</v>
      </c>
      <c r="Q484" s="54">
        <f t="shared" si="524"/>
        <v>689400</v>
      </c>
      <c r="R484" s="54">
        <f t="shared" si="524"/>
        <v>0</v>
      </c>
      <c r="S484" s="54">
        <f t="shared" si="524"/>
        <v>689400</v>
      </c>
      <c r="T484" s="54">
        <f t="shared" si="524"/>
        <v>0</v>
      </c>
      <c r="U484" s="54">
        <f t="shared" si="524"/>
        <v>689400</v>
      </c>
      <c r="V484" s="54">
        <f t="shared" si="524"/>
        <v>0</v>
      </c>
      <c r="W484" s="54">
        <f t="shared" si="524"/>
        <v>689400</v>
      </c>
      <c r="X484" s="54">
        <f t="shared" si="524"/>
        <v>0</v>
      </c>
      <c r="Y484" s="54">
        <f t="shared" si="524"/>
        <v>689400</v>
      </c>
      <c r="Z484" s="54">
        <f t="shared" si="524"/>
        <v>-66000</v>
      </c>
      <c r="AA484" s="54">
        <f t="shared" si="524"/>
        <v>623400</v>
      </c>
      <c r="AB484" s="54">
        <f t="shared" si="524"/>
        <v>0</v>
      </c>
      <c r="AC484" s="54">
        <f t="shared" si="524"/>
        <v>623400</v>
      </c>
      <c r="AD484" s="54">
        <f t="shared" si="524"/>
        <v>0</v>
      </c>
      <c r="AE484" s="54">
        <f t="shared" si="524"/>
        <v>623400</v>
      </c>
      <c r="AF484" s="54">
        <f t="shared" si="524"/>
        <v>0</v>
      </c>
      <c r="AG484" s="54">
        <f t="shared" si="524"/>
        <v>623400</v>
      </c>
      <c r="AH484" s="54">
        <f t="shared" si="524"/>
        <v>0</v>
      </c>
      <c r="AI484" s="54">
        <f t="shared" si="524"/>
        <v>623400</v>
      </c>
      <c r="AJ484" s="54">
        <f t="shared" si="524"/>
        <v>0</v>
      </c>
      <c r="AK484" s="54">
        <f t="shared" si="524"/>
        <v>623400</v>
      </c>
    </row>
    <row r="485" spans="1:43" s="20" customFormat="1" ht="25.5" customHeight="1">
      <c r="A485" s="41"/>
      <c r="B485" s="55"/>
      <c r="C485" s="58">
        <v>2480</v>
      </c>
      <c r="D485" s="31" t="s">
        <v>362</v>
      </c>
      <c r="E485" s="54">
        <v>686000</v>
      </c>
      <c r="F485" s="54"/>
      <c r="G485" s="54">
        <f t="shared" si="487"/>
        <v>686000</v>
      </c>
      <c r="H485" s="54"/>
      <c r="I485" s="54">
        <f>SUM(G485:H485)</f>
        <v>686000</v>
      </c>
      <c r="J485" s="54">
        <v>3400</v>
      </c>
      <c r="K485" s="54">
        <f>SUM(I485:J485)</f>
        <v>689400</v>
      </c>
      <c r="L485" s="54"/>
      <c r="M485" s="54">
        <f>SUM(K485:L485)</f>
        <v>689400</v>
      </c>
      <c r="N485" s="54"/>
      <c r="O485" s="54">
        <f>SUM(M485:N485)</f>
        <v>689400</v>
      </c>
      <c r="P485" s="54"/>
      <c r="Q485" s="54">
        <f>SUM(O485:P485)</f>
        <v>689400</v>
      </c>
      <c r="R485" s="54"/>
      <c r="S485" s="54">
        <f>SUM(Q485:R485)</f>
        <v>689400</v>
      </c>
      <c r="T485" s="54"/>
      <c r="U485" s="54">
        <f>SUM(S485:T485)</f>
        <v>689400</v>
      </c>
      <c r="V485" s="54"/>
      <c r="W485" s="54">
        <f>SUM(U485:V485)</f>
        <v>689400</v>
      </c>
      <c r="X485" s="54"/>
      <c r="Y485" s="54">
        <f>SUM(W485:X485)</f>
        <v>689400</v>
      </c>
      <c r="Z485" s="54">
        <f>-96000+15000+15000</f>
        <v>-66000</v>
      </c>
      <c r="AA485" s="54">
        <f>SUM(Y485:Z485)</f>
        <v>623400</v>
      </c>
      <c r="AB485" s="54"/>
      <c r="AC485" s="54">
        <f>SUM(AA485:AB485)</f>
        <v>623400</v>
      </c>
      <c r="AD485" s="54"/>
      <c r="AE485" s="54">
        <f>SUM(AC485:AD485)</f>
        <v>623400</v>
      </c>
      <c r="AF485" s="54"/>
      <c r="AG485" s="54">
        <f>SUM(AE485:AF485)</f>
        <v>623400</v>
      </c>
      <c r="AH485" s="54"/>
      <c r="AI485" s="54">
        <f>SUM(AG485:AH485)</f>
        <v>623400</v>
      </c>
      <c r="AJ485" s="54"/>
      <c r="AK485" s="54">
        <f>SUM(AI485:AJ485)</f>
        <v>623400</v>
      </c>
      <c r="AP485" s="67"/>
      <c r="AQ485" s="67"/>
    </row>
    <row r="486" spans="1:37" s="20" customFormat="1" ht="21" customHeight="1">
      <c r="A486" s="41"/>
      <c r="B486" s="55">
        <v>92120</v>
      </c>
      <c r="C486" s="58"/>
      <c r="D486" s="31" t="s">
        <v>363</v>
      </c>
      <c r="E486" s="54">
        <f aca="true" t="shared" si="525" ref="E486:AK486">SUM(E487)</f>
        <v>22650</v>
      </c>
      <c r="F486" s="54">
        <f t="shared" si="525"/>
        <v>0</v>
      </c>
      <c r="G486" s="54">
        <f t="shared" si="525"/>
        <v>22650</v>
      </c>
      <c r="H486" s="54">
        <f t="shared" si="525"/>
        <v>0</v>
      </c>
      <c r="I486" s="54">
        <f t="shared" si="525"/>
        <v>22650</v>
      </c>
      <c r="J486" s="54">
        <f t="shared" si="525"/>
        <v>0</v>
      </c>
      <c r="K486" s="54">
        <f t="shared" si="525"/>
        <v>22650</v>
      </c>
      <c r="L486" s="54">
        <f t="shared" si="525"/>
        <v>0</v>
      </c>
      <c r="M486" s="54">
        <f t="shared" si="525"/>
        <v>22650</v>
      </c>
      <c r="N486" s="54">
        <f t="shared" si="525"/>
        <v>0</v>
      </c>
      <c r="O486" s="54">
        <f t="shared" si="525"/>
        <v>22650</v>
      </c>
      <c r="P486" s="54">
        <f t="shared" si="525"/>
        <v>0</v>
      </c>
      <c r="Q486" s="54">
        <f t="shared" si="525"/>
        <v>22650</v>
      </c>
      <c r="R486" s="54">
        <f t="shared" si="525"/>
        <v>0</v>
      </c>
      <c r="S486" s="54">
        <f t="shared" si="525"/>
        <v>22650</v>
      </c>
      <c r="T486" s="54">
        <f t="shared" si="525"/>
        <v>0</v>
      </c>
      <c r="U486" s="54">
        <f t="shared" si="525"/>
        <v>22650</v>
      </c>
      <c r="V486" s="54">
        <f t="shared" si="525"/>
        <v>0</v>
      </c>
      <c r="W486" s="54">
        <f t="shared" si="525"/>
        <v>22650</v>
      </c>
      <c r="X486" s="54">
        <f t="shared" si="525"/>
        <v>0</v>
      </c>
      <c r="Y486" s="54">
        <f t="shared" si="525"/>
        <v>22650</v>
      </c>
      <c r="Z486" s="54">
        <f t="shared" si="525"/>
        <v>0</v>
      </c>
      <c r="AA486" s="54">
        <f t="shared" si="525"/>
        <v>22650</v>
      </c>
      <c r="AB486" s="54">
        <f t="shared" si="525"/>
        <v>0</v>
      </c>
      <c r="AC486" s="54">
        <f t="shared" si="525"/>
        <v>22650</v>
      </c>
      <c r="AD486" s="54">
        <f t="shared" si="525"/>
        <v>0</v>
      </c>
      <c r="AE486" s="54">
        <f t="shared" si="525"/>
        <v>22650</v>
      </c>
      <c r="AF486" s="54">
        <f t="shared" si="525"/>
        <v>0</v>
      </c>
      <c r="AG486" s="54">
        <f t="shared" si="525"/>
        <v>22650</v>
      </c>
      <c r="AH486" s="54">
        <f t="shared" si="525"/>
        <v>0</v>
      </c>
      <c r="AI486" s="54">
        <f t="shared" si="525"/>
        <v>22650</v>
      </c>
      <c r="AJ486" s="54">
        <f t="shared" si="525"/>
        <v>0</v>
      </c>
      <c r="AK486" s="54">
        <f t="shared" si="525"/>
        <v>22650</v>
      </c>
    </row>
    <row r="487" spans="1:43" s="20" customFormat="1" ht="60">
      <c r="A487" s="41"/>
      <c r="B487" s="55"/>
      <c r="C487" s="58">
        <v>2720</v>
      </c>
      <c r="D487" s="31" t="s">
        <v>364</v>
      </c>
      <c r="E487" s="54">
        <v>22650</v>
      </c>
      <c r="F487" s="54"/>
      <c r="G487" s="54">
        <f t="shared" si="487"/>
        <v>22650</v>
      </c>
      <c r="H487" s="54"/>
      <c r="I487" s="54">
        <f>SUM(G487:H487)</f>
        <v>22650</v>
      </c>
      <c r="J487" s="54"/>
      <c r="K487" s="54">
        <f>SUM(I487:J487)</f>
        <v>22650</v>
      </c>
      <c r="L487" s="54"/>
      <c r="M487" s="54">
        <f>SUM(K487:L487)</f>
        <v>22650</v>
      </c>
      <c r="N487" s="54"/>
      <c r="O487" s="54">
        <f>SUM(M487:N487)</f>
        <v>22650</v>
      </c>
      <c r="P487" s="54"/>
      <c r="Q487" s="54">
        <f>SUM(O487:P487)</f>
        <v>22650</v>
      </c>
      <c r="R487" s="54"/>
      <c r="S487" s="54">
        <f>SUM(Q487:R487)</f>
        <v>22650</v>
      </c>
      <c r="T487" s="54"/>
      <c r="U487" s="54">
        <f>SUM(S487:T487)</f>
        <v>22650</v>
      </c>
      <c r="V487" s="54"/>
      <c r="W487" s="54">
        <f>SUM(U487:V487)</f>
        <v>22650</v>
      </c>
      <c r="X487" s="54"/>
      <c r="Y487" s="54">
        <f>SUM(W487:X487)</f>
        <v>22650</v>
      </c>
      <c r="Z487" s="54"/>
      <c r="AA487" s="54">
        <f>SUM(Y487:Z487)</f>
        <v>22650</v>
      </c>
      <c r="AB487" s="54"/>
      <c r="AC487" s="54">
        <f>SUM(AA487:AB487)</f>
        <v>22650</v>
      </c>
      <c r="AD487" s="54"/>
      <c r="AE487" s="54">
        <f>SUM(AC487:AD487)</f>
        <v>22650</v>
      </c>
      <c r="AF487" s="54"/>
      <c r="AG487" s="54">
        <f>SUM(AE487:AF487)</f>
        <v>22650</v>
      </c>
      <c r="AH487" s="54"/>
      <c r="AI487" s="54">
        <f>SUM(AG487:AH487)</f>
        <v>22650</v>
      </c>
      <c r="AJ487" s="54"/>
      <c r="AK487" s="54">
        <f>SUM(AI487:AJ487)</f>
        <v>22650</v>
      </c>
      <c r="AP487" s="67"/>
      <c r="AQ487" s="67"/>
    </row>
    <row r="488" spans="1:37" s="20" customFormat="1" ht="21" customHeight="1">
      <c r="A488" s="41"/>
      <c r="B488" s="55">
        <v>92195</v>
      </c>
      <c r="C488" s="58"/>
      <c r="D488" s="31" t="s">
        <v>6</v>
      </c>
      <c r="E488" s="54">
        <f aca="true" t="shared" si="526" ref="E488:AK488">SUM(E489)</f>
        <v>15000</v>
      </c>
      <c r="F488" s="54">
        <f t="shared" si="526"/>
        <v>0</v>
      </c>
      <c r="G488" s="54">
        <f t="shared" si="526"/>
        <v>15000</v>
      </c>
      <c r="H488" s="54">
        <f t="shared" si="526"/>
        <v>0</v>
      </c>
      <c r="I488" s="54">
        <f t="shared" si="526"/>
        <v>15000</v>
      </c>
      <c r="J488" s="54">
        <f t="shared" si="526"/>
        <v>0</v>
      </c>
      <c r="K488" s="54">
        <f t="shared" si="526"/>
        <v>15000</v>
      </c>
      <c r="L488" s="54">
        <f t="shared" si="526"/>
        <v>0</v>
      </c>
      <c r="M488" s="54">
        <f t="shared" si="526"/>
        <v>15000</v>
      </c>
      <c r="N488" s="54">
        <f t="shared" si="526"/>
        <v>0</v>
      </c>
      <c r="O488" s="54">
        <f t="shared" si="526"/>
        <v>15000</v>
      </c>
      <c r="P488" s="54">
        <f t="shared" si="526"/>
        <v>0</v>
      </c>
      <c r="Q488" s="54">
        <f t="shared" si="526"/>
        <v>15000</v>
      </c>
      <c r="R488" s="54">
        <f t="shared" si="526"/>
        <v>0</v>
      </c>
      <c r="S488" s="54">
        <f t="shared" si="526"/>
        <v>15000</v>
      </c>
      <c r="T488" s="54">
        <f t="shared" si="526"/>
        <v>0</v>
      </c>
      <c r="U488" s="54">
        <f t="shared" si="526"/>
        <v>15000</v>
      </c>
      <c r="V488" s="54">
        <f t="shared" si="526"/>
        <v>0</v>
      </c>
      <c r="W488" s="54">
        <f t="shared" si="526"/>
        <v>15000</v>
      </c>
      <c r="X488" s="54">
        <f t="shared" si="526"/>
        <v>0</v>
      </c>
      <c r="Y488" s="54">
        <f t="shared" si="526"/>
        <v>15000</v>
      </c>
      <c r="Z488" s="54">
        <f t="shared" si="526"/>
        <v>0</v>
      </c>
      <c r="AA488" s="54">
        <f t="shared" si="526"/>
        <v>15000</v>
      </c>
      <c r="AB488" s="54">
        <f t="shared" si="526"/>
        <v>0</v>
      </c>
      <c r="AC488" s="54">
        <f t="shared" si="526"/>
        <v>15000</v>
      </c>
      <c r="AD488" s="54">
        <f t="shared" si="526"/>
        <v>0</v>
      </c>
      <c r="AE488" s="54">
        <f t="shared" si="526"/>
        <v>15000</v>
      </c>
      <c r="AF488" s="54">
        <f t="shared" si="526"/>
        <v>0</v>
      </c>
      <c r="AG488" s="54">
        <f t="shared" si="526"/>
        <v>15000</v>
      </c>
      <c r="AH488" s="54">
        <f t="shared" si="526"/>
        <v>0</v>
      </c>
      <c r="AI488" s="54">
        <f t="shared" si="526"/>
        <v>15000</v>
      </c>
      <c r="AJ488" s="54">
        <f t="shared" si="526"/>
        <v>0</v>
      </c>
      <c r="AK488" s="54">
        <f t="shared" si="526"/>
        <v>15000</v>
      </c>
    </row>
    <row r="489" spans="1:37" s="20" customFormat="1" ht="21" customHeight="1">
      <c r="A489" s="41"/>
      <c r="B489" s="55"/>
      <c r="C489" s="58">
        <v>4300</v>
      </c>
      <c r="D489" s="148" t="s">
        <v>75</v>
      </c>
      <c r="E489" s="54">
        <v>15000</v>
      </c>
      <c r="F489" s="54"/>
      <c r="G489" s="54">
        <f t="shared" si="487"/>
        <v>15000</v>
      </c>
      <c r="H489" s="54"/>
      <c r="I489" s="54">
        <f>SUM(G489:H489)</f>
        <v>15000</v>
      </c>
      <c r="J489" s="54"/>
      <c r="K489" s="54">
        <f>SUM(I489:J489)</f>
        <v>15000</v>
      </c>
      <c r="L489" s="54"/>
      <c r="M489" s="54">
        <f>SUM(K489:L489)</f>
        <v>15000</v>
      </c>
      <c r="N489" s="54"/>
      <c r="O489" s="54">
        <f>SUM(M489:N489)</f>
        <v>15000</v>
      </c>
      <c r="P489" s="54"/>
      <c r="Q489" s="54">
        <f>SUM(O489:P489)</f>
        <v>15000</v>
      </c>
      <c r="R489" s="54"/>
      <c r="S489" s="54">
        <f>SUM(Q489:R489)</f>
        <v>15000</v>
      </c>
      <c r="T489" s="54"/>
      <c r="U489" s="54">
        <f>SUM(S489:T489)</f>
        <v>15000</v>
      </c>
      <c r="V489" s="54"/>
      <c r="W489" s="54">
        <f>SUM(U489:V489)</f>
        <v>15000</v>
      </c>
      <c r="X489" s="54"/>
      <c r="Y489" s="54">
        <f>SUM(W489:X489)</f>
        <v>15000</v>
      </c>
      <c r="Z489" s="54"/>
      <c r="AA489" s="54">
        <f>SUM(Y489:Z489)</f>
        <v>15000</v>
      </c>
      <c r="AB489" s="54"/>
      <c r="AC489" s="54">
        <f>SUM(AA489:AB489)</f>
        <v>15000</v>
      </c>
      <c r="AD489" s="54"/>
      <c r="AE489" s="54">
        <f>SUM(AC489:AD489)</f>
        <v>15000</v>
      </c>
      <c r="AF489" s="54"/>
      <c r="AG489" s="54">
        <f>SUM(AE489:AF489)</f>
        <v>15000</v>
      </c>
      <c r="AH489" s="54"/>
      <c r="AI489" s="54">
        <f>SUM(AG489:AH489)</f>
        <v>15000</v>
      </c>
      <c r="AJ489" s="54"/>
      <c r="AK489" s="54">
        <f>SUM(AI489:AJ489)</f>
        <v>15000</v>
      </c>
    </row>
    <row r="490" spans="1:37" s="5" customFormat="1" ht="21" customHeight="1">
      <c r="A490" s="27" t="s">
        <v>115</v>
      </c>
      <c r="B490" s="28"/>
      <c r="C490" s="29"/>
      <c r="D490" s="30" t="s">
        <v>64</v>
      </c>
      <c r="E490" s="134">
        <f aca="true" t="shared" si="527" ref="E490:W490">SUM(E498,E494,E491)</f>
        <v>1388290</v>
      </c>
      <c r="F490" s="134">
        <f t="shared" si="527"/>
        <v>170000</v>
      </c>
      <c r="G490" s="134">
        <f t="shared" si="527"/>
        <v>1558290</v>
      </c>
      <c r="H490" s="134">
        <f t="shared" si="527"/>
        <v>447000</v>
      </c>
      <c r="I490" s="134">
        <f t="shared" si="527"/>
        <v>2005290</v>
      </c>
      <c r="J490" s="134">
        <f t="shared" si="527"/>
        <v>302800</v>
      </c>
      <c r="K490" s="134">
        <f t="shared" si="527"/>
        <v>2308090</v>
      </c>
      <c r="L490" s="134">
        <f t="shared" si="527"/>
        <v>0</v>
      </c>
      <c r="M490" s="134">
        <f t="shared" si="527"/>
        <v>2308090</v>
      </c>
      <c r="N490" s="134">
        <f t="shared" si="527"/>
        <v>0</v>
      </c>
      <c r="O490" s="134">
        <f t="shared" si="527"/>
        <v>2308090</v>
      </c>
      <c r="P490" s="134">
        <f t="shared" si="527"/>
        <v>0</v>
      </c>
      <c r="Q490" s="134">
        <f t="shared" si="527"/>
        <v>2308090</v>
      </c>
      <c r="R490" s="134">
        <f t="shared" si="527"/>
        <v>25000</v>
      </c>
      <c r="S490" s="134">
        <f t="shared" si="527"/>
        <v>2333090</v>
      </c>
      <c r="T490" s="134">
        <f t="shared" si="527"/>
        <v>0</v>
      </c>
      <c r="U490" s="134">
        <f t="shared" si="527"/>
        <v>2333090</v>
      </c>
      <c r="V490" s="134">
        <f t="shared" si="527"/>
        <v>0</v>
      </c>
      <c r="W490" s="134">
        <f t="shared" si="527"/>
        <v>2333090</v>
      </c>
      <c r="X490" s="134">
        <f>SUM(X498,X494,X491)</f>
        <v>0</v>
      </c>
      <c r="Y490" s="134">
        <f aca="true" t="shared" si="528" ref="Y490:AE490">SUM(Y498,Y494,Y491,)</f>
        <v>2333090</v>
      </c>
      <c r="Z490" s="134">
        <f t="shared" si="528"/>
        <v>24080</v>
      </c>
      <c r="AA490" s="134">
        <f t="shared" si="528"/>
        <v>2357170</v>
      </c>
      <c r="AB490" s="134">
        <f t="shared" si="528"/>
        <v>0</v>
      </c>
      <c r="AC490" s="134">
        <f t="shared" si="528"/>
        <v>2357170</v>
      </c>
      <c r="AD490" s="134">
        <f t="shared" si="528"/>
        <v>-2560</v>
      </c>
      <c r="AE490" s="134">
        <f t="shared" si="528"/>
        <v>2354610</v>
      </c>
      <c r="AF490" s="134">
        <f aca="true" t="shared" si="529" ref="AF490:AK490">SUM(AF498,AF494,AF491,)</f>
        <v>-32</v>
      </c>
      <c r="AG490" s="134">
        <f t="shared" si="529"/>
        <v>2354578</v>
      </c>
      <c r="AH490" s="134">
        <f t="shared" si="529"/>
        <v>-277</v>
      </c>
      <c r="AI490" s="134">
        <f t="shared" si="529"/>
        <v>2354301</v>
      </c>
      <c r="AJ490" s="134">
        <f t="shared" si="529"/>
        <v>0</v>
      </c>
      <c r="AK490" s="134">
        <f t="shared" si="529"/>
        <v>2354301</v>
      </c>
    </row>
    <row r="491" spans="1:37" s="20" customFormat="1" ht="21" customHeight="1">
      <c r="A491" s="41"/>
      <c r="B491" s="140">
        <v>92601</v>
      </c>
      <c r="C491" s="58"/>
      <c r="D491" s="31" t="s">
        <v>192</v>
      </c>
      <c r="E491" s="54">
        <f aca="true" t="shared" si="530" ref="E491:W491">SUM(E492,E493)</f>
        <v>50000</v>
      </c>
      <c r="F491" s="54">
        <f t="shared" si="530"/>
        <v>820000</v>
      </c>
      <c r="G491" s="54">
        <f t="shared" si="530"/>
        <v>870000</v>
      </c>
      <c r="H491" s="54">
        <f t="shared" si="530"/>
        <v>0</v>
      </c>
      <c r="I491" s="54">
        <f t="shared" si="530"/>
        <v>870000</v>
      </c>
      <c r="J491" s="54">
        <f t="shared" si="530"/>
        <v>0</v>
      </c>
      <c r="K491" s="54">
        <f t="shared" si="530"/>
        <v>870000</v>
      </c>
      <c r="L491" s="54">
        <f t="shared" si="530"/>
        <v>0</v>
      </c>
      <c r="M491" s="54">
        <f t="shared" si="530"/>
        <v>870000</v>
      </c>
      <c r="N491" s="54">
        <f t="shared" si="530"/>
        <v>0</v>
      </c>
      <c r="O491" s="54">
        <f t="shared" si="530"/>
        <v>870000</v>
      </c>
      <c r="P491" s="54">
        <f t="shared" si="530"/>
        <v>0</v>
      </c>
      <c r="Q491" s="54">
        <f t="shared" si="530"/>
        <v>870000</v>
      </c>
      <c r="R491" s="54">
        <f t="shared" si="530"/>
        <v>25000</v>
      </c>
      <c r="S491" s="54">
        <f t="shared" si="530"/>
        <v>895000</v>
      </c>
      <c r="T491" s="54">
        <f t="shared" si="530"/>
        <v>0</v>
      </c>
      <c r="U491" s="54">
        <f t="shared" si="530"/>
        <v>895000</v>
      </c>
      <c r="V491" s="54">
        <f t="shared" si="530"/>
        <v>0</v>
      </c>
      <c r="W491" s="54">
        <f t="shared" si="530"/>
        <v>895000</v>
      </c>
      <c r="X491" s="54">
        <f aca="true" t="shared" si="531" ref="X491:AC491">SUM(X492,X493)</f>
        <v>0</v>
      </c>
      <c r="Y491" s="54">
        <f t="shared" si="531"/>
        <v>895000</v>
      </c>
      <c r="Z491" s="54">
        <f t="shared" si="531"/>
        <v>25000</v>
      </c>
      <c r="AA491" s="54">
        <f t="shared" si="531"/>
        <v>920000</v>
      </c>
      <c r="AB491" s="54">
        <f t="shared" si="531"/>
        <v>0</v>
      </c>
      <c r="AC491" s="54">
        <f t="shared" si="531"/>
        <v>920000</v>
      </c>
      <c r="AD491" s="54">
        <f aca="true" t="shared" si="532" ref="AD491:AI491">SUM(AD492,AD493)</f>
        <v>0</v>
      </c>
      <c r="AE491" s="54">
        <f t="shared" si="532"/>
        <v>920000</v>
      </c>
      <c r="AF491" s="54">
        <f t="shared" si="532"/>
        <v>0</v>
      </c>
      <c r="AG491" s="54">
        <f t="shared" si="532"/>
        <v>920000</v>
      </c>
      <c r="AH491" s="54">
        <f t="shared" si="532"/>
        <v>0</v>
      </c>
      <c r="AI491" s="54">
        <f t="shared" si="532"/>
        <v>920000</v>
      </c>
      <c r="AJ491" s="54">
        <f>SUM(AJ492,AJ493)</f>
        <v>0</v>
      </c>
      <c r="AK491" s="54">
        <f>SUM(AK492,AK493)</f>
        <v>920000</v>
      </c>
    </row>
    <row r="492" spans="1:37" s="20" customFormat="1" ht="21" customHeight="1">
      <c r="A492" s="41"/>
      <c r="B492" s="140"/>
      <c r="C492" s="58">
        <v>4270</v>
      </c>
      <c r="D492" s="31" t="s">
        <v>74</v>
      </c>
      <c r="E492" s="54">
        <v>50000</v>
      </c>
      <c r="F492" s="54">
        <v>20000</v>
      </c>
      <c r="G492" s="54">
        <f t="shared" si="487"/>
        <v>70000</v>
      </c>
      <c r="H492" s="54"/>
      <c r="I492" s="54">
        <f>SUM(G492:H492)</f>
        <v>70000</v>
      </c>
      <c r="J492" s="54"/>
      <c r="K492" s="54">
        <f>SUM(I492:J492)</f>
        <v>70000</v>
      </c>
      <c r="L492" s="54"/>
      <c r="M492" s="54">
        <f>SUM(K492:L492)</f>
        <v>70000</v>
      </c>
      <c r="N492" s="54"/>
      <c r="O492" s="54">
        <f>SUM(M492:N492)</f>
        <v>70000</v>
      </c>
      <c r="P492" s="54"/>
      <c r="Q492" s="54">
        <f>SUM(O492:P492)</f>
        <v>70000</v>
      </c>
      <c r="R492" s="54"/>
      <c r="S492" s="54">
        <f>SUM(Q492:R492)</f>
        <v>70000</v>
      </c>
      <c r="T492" s="54"/>
      <c r="U492" s="54">
        <f>SUM(S492:T492)</f>
        <v>70000</v>
      </c>
      <c r="V492" s="54"/>
      <c r="W492" s="54">
        <f>SUM(U492:V492)</f>
        <v>70000</v>
      </c>
      <c r="X492" s="54"/>
      <c r="Y492" s="54">
        <f>SUM(W492:X492)</f>
        <v>70000</v>
      </c>
      <c r="Z492" s="54"/>
      <c r="AA492" s="54">
        <f>SUM(Y492:Z492)</f>
        <v>70000</v>
      </c>
      <c r="AB492" s="54"/>
      <c r="AC492" s="54">
        <f>SUM(AA492:AB492)</f>
        <v>70000</v>
      </c>
      <c r="AD492" s="54">
        <f>-68700+68700</f>
        <v>0</v>
      </c>
      <c r="AE492" s="54">
        <f>SUM(AC492:AD492)</f>
        <v>70000</v>
      </c>
      <c r="AF492" s="54">
        <f>-68700+68700</f>
        <v>0</v>
      </c>
      <c r="AG492" s="54">
        <f>SUM(AE492:AF492)</f>
        <v>70000</v>
      </c>
      <c r="AH492" s="54"/>
      <c r="AI492" s="54">
        <f>SUM(AG492:AH492)</f>
        <v>70000</v>
      </c>
      <c r="AJ492" s="54"/>
      <c r="AK492" s="54">
        <f>SUM(AI492:AJ492)</f>
        <v>70000</v>
      </c>
    </row>
    <row r="493" spans="1:41" s="20" customFormat="1" ht="24">
      <c r="A493" s="41"/>
      <c r="B493" s="140"/>
      <c r="C493" s="58">
        <v>6050</v>
      </c>
      <c r="D493" s="31" t="s">
        <v>69</v>
      </c>
      <c r="E493" s="54">
        <v>0</v>
      </c>
      <c r="F493" s="54">
        <f>450000+350000</f>
        <v>800000</v>
      </c>
      <c r="G493" s="54">
        <f>SUM(E493:F493)</f>
        <v>800000</v>
      </c>
      <c r="H493" s="54"/>
      <c r="I493" s="54">
        <f>SUM(G493:H493)</f>
        <v>800000</v>
      </c>
      <c r="J493" s="54"/>
      <c r="K493" s="54">
        <f>SUM(I493:J493)</f>
        <v>800000</v>
      </c>
      <c r="L493" s="54"/>
      <c r="M493" s="54">
        <f>SUM(K493:L493)</f>
        <v>800000</v>
      </c>
      <c r="N493" s="54"/>
      <c r="O493" s="54">
        <f>SUM(M493:N493)</f>
        <v>800000</v>
      </c>
      <c r="P493" s="54"/>
      <c r="Q493" s="54">
        <f>SUM(O493:P493)</f>
        <v>800000</v>
      </c>
      <c r="R493" s="54">
        <v>25000</v>
      </c>
      <c r="S493" s="54">
        <f>SUM(Q493:R493)</f>
        <v>825000</v>
      </c>
      <c r="T493" s="54"/>
      <c r="U493" s="54">
        <f>SUM(S493:T493)</f>
        <v>825000</v>
      </c>
      <c r="V493" s="54"/>
      <c r="W493" s="54">
        <f>SUM(U493:V493)</f>
        <v>825000</v>
      </c>
      <c r="X493" s="54"/>
      <c r="Y493" s="54">
        <f>SUM(W493:X493)</f>
        <v>825000</v>
      </c>
      <c r="Z493" s="54">
        <v>25000</v>
      </c>
      <c r="AA493" s="54">
        <f>SUM(Y493:Z493)</f>
        <v>850000</v>
      </c>
      <c r="AB493" s="54"/>
      <c r="AC493" s="54">
        <f>SUM(AA493:AB493)</f>
        <v>850000</v>
      </c>
      <c r="AD493" s="54">
        <f>-350000+350000</f>
        <v>0</v>
      </c>
      <c r="AE493" s="54">
        <f>SUM(AC493:AD493)</f>
        <v>850000</v>
      </c>
      <c r="AF493" s="54">
        <f>-350000+350000</f>
        <v>0</v>
      </c>
      <c r="AG493" s="54">
        <f>SUM(AE493:AF493)</f>
        <v>850000</v>
      </c>
      <c r="AH493" s="54"/>
      <c r="AI493" s="54">
        <f>SUM(AG493:AH493)</f>
        <v>850000</v>
      </c>
      <c r="AJ493" s="54"/>
      <c r="AK493" s="54">
        <f>SUM(AI493:AJ493)</f>
        <v>850000</v>
      </c>
      <c r="AN493" s="67"/>
      <c r="AO493" s="67"/>
    </row>
    <row r="494" spans="1:37" s="20" customFormat="1" ht="23.25" customHeight="1">
      <c r="A494" s="41"/>
      <c r="B494" s="140">
        <v>92604</v>
      </c>
      <c r="C494" s="58"/>
      <c r="D494" s="31" t="s">
        <v>164</v>
      </c>
      <c r="E494" s="54">
        <f aca="true" t="shared" si="533" ref="E494:W494">SUM(E495:E497)</f>
        <v>910000</v>
      </c>
      <c r="F494" s="54">
        <f t="shared" si="533"/>
        <v>-350000</v>
      </c>
      <c r="G494" s="54">
        <f t="shared" si="533"/>
        <v>560000</v>
      </c>
      <c r="H494" s="54">
        <f t="shared" si="533"/>
        <v>0</v>
      </c>
      <c r="I494" s="54">
        <f t="shared" si="533"/>
        <v>560000</v>
      </c>
      <c r="J494" s="54">
        <f t="shared" si="533"/>
        <v>300000</v>
      </c>
      <c r="K494" s="54">
        <f t="shared" si="533"/>
        <v>860000</v>
      </c>
      <c r="L494" s="54">
        <f t="shared" si="533"/>
        <v>0</v>
      </c>
      <c r="M494" s="54">
        <f t="shared" si="533"/>
        <v>860000</v>
      </c>
      <c r="N494" s="54">
        <f t="shared" si="533"/>
        <v>0</v>
      </c>
      <c r="O494" s="54">
        <f t="shared" si="533"/>
        <v>860000</v>
      </c>
      <c r="P494" s="54">
        <f t="shared" si="533"/>
        <v>0</v>
      </c>
      <c r="Q494" s="54">
        <f t="shared" si="533"/>
        <v>860000</v>
      </c>
      <c r="R494" s="54">
        <f t="shared" si="533"/>
        <v>0</v>
      </c>
      <c r="S494" s="54">
        <f t="shared" si="533"/>
        <v>860000</v>
      </c>
      <c r="T494" s="54">
        <f t="shared" si="533"/>
        <v>0</v>
      </c>
      <c r="U494" s="54">
        <f t="shared" si="533"/>
        <v>860000</v>
      </c>
      <c r="V494" s="54">
        <f t="shared" si="533"/>
        <v>0</v>
      </c>
      <c r="W494" s="54">
        <f t="shared" si="533"/>
        <v>860000</v>
      </c>
      <c r="X494" s="54">
        <f aca="true" t="shared" si="534" ref="X494:AC494">SUM(X495:X497)</f>
        <v>0</v>
      </c>
      <c r="Y494" s="54">
        <f t="shared" si="534"/>
        <v>860000</v>
      </c>
      <c r="Z494" s="54">
        <f t="shared" si="534"/>
        <v>0</v>
      </c>
      <c r="AA494" s="54">
        <f t="shared" si="534"/>
        <v>860000</v>
      </c>
      <c r="AB494" s="54">
        <f t="shared" si="534"/>
        <v>0</v>
      </c>
      <c r="AC494" s="54">
        <f t="shared" si="534"/>
        <v>860000</v>
      </c>
      <c r="AD494" s="54">
        <f aca="true" t="shared" si="535" ref="AD494:AI494">SUM(AD495:AD497)</f>
        <v>0</v>
      </c>
      <c r="AE494" s="54">
        <f t="shared" si="535"/>
        <v>860000</v>
      </c>
      <c r="AF494" s="54">
        <f t="shared" si="535"/>
        <v>0</v>
      </c>
      <c r="AG494" s="54">
        <f t="shared" si="535"/>
        <v>860000</v>
      </c>
      <c r="AH494" s="54">
        <f t="shared" si="535"/>
        <v>0</v>
      </c>
      <c r="AI494" s="54">
        <f t="shared" si="535"/>
        <v>860000</v>
      </c>
      <c r="AJ494" s="54">
        <f>SUM(AJ495:AJ497)</f>
        <v>0</v>
      </c>
      <c r="AK494" s="54">
        <f>SUM(AK495:AK497)</f>
        <v>860000</v>
      </c>
    </row>
    <row r="495" spans="1:37" s="20" customFormat="1" ht="26.25" customHeight="1">
      <c r="A495" s="41"/>
      <c r="B495" s="140"/>
      <c r="C495" s="58">
        <v>4270</v>
      </c>
      <c r="D495" s="31" t="s">
        <v>74</v>
      </c>
      <c r="E495" s="54">
        <v>10000</v>
      </c>
      <c r="F495" s="54"/>
      <c r="G495" s="54">
        <f t="shared" si="487"/>
        <v>10000</v>
      </c>
      <c r="H495" s="54"/>
      <c r="I495" s="54">
        <f>SUM(G495:H495)</f>
        <v>10000</v>
      </c>
      <c r="J495" s="54"/>
      <c r="K495" s="54">
        <f>SUM(I495:J495)</f>
        <v>10000</v>
      </c>
      <c r="L495" s="54"/>
      <c r="M495" s="54">
        <f>SUM(K495:L495)</f>
        <v>10000</v>
      </c>
      <c r="N495" s="54"/>
      <c r="O495" s="54">
        <f>SUM(M495:N495)</f>
        <v>10000</v>
      </c>
      <c r="P495" s="54"/>
      <c r="Q495" s="54">
        <f>SUM(O495:P495)</f>
        <v>10000</v>
      </c>
      <c r="R495" s="54"/>
      <c r="S495" s="54">
        <f>SUM(Q495:R495)</f>
        <v>10000</v>
      </c>
      <c r="T495" s="54"/>
      <c r="U495" s="54">
        <f>SUM(S495:T495)</f>
        <v>10000</v>
      </c>
      <c r="V495" s="54"/>
      <c r="W495" s="54">
        <f>SUM(U495:V495)</f>
        <v>10000</v>
      </c>
      <c r="X495" s="54"/>
      <c r="Y495" s="54">
        <f>SUM(W495:X495)</f>
        <v>10000</v>
      </c>
      <c r="Z495" s="54"/>
      <c r="AA495" s="54">
        <f>SUM(Y495:Z495)</f>
        <v>10000</v>
      </c>
      <c r="AB495" s="54"/>
      <c r="AC495" s="54">
        <f>SUM(AA495:AB495)</f>
        <v>10000</v>
      </c>
      <c r="AD495" s="54"/>
      <c r="AE495" s="54">
        <f>SUM(AC495:AD495)</f>
        <v>10000</v>
      </c>
      <c r="AF495" s="54"/>
      <c r="AG495" s="54">
        <f>SUM(AE495:AF495)</f>
        <v>10000</v>
      </c>
      <c r="AH495" s="54"/>
      <c r="AI495" s="54">
        <f>SUM(AG495:AH495)</f>
        <v>10000</v>
      </c>
      <c r="AJ495" s="54"/>
      <c r="AK495" s="54">
        <f>SUM(AI495:AJ495)</f>
        <v>10000</v>
      </c>
    </row>
    <row r="496" spans="1:37" s="20" customFormat="1" ht="20.25" customHeight="1">
      <c r="A496" s="41"/>
      <c r="B496" s="140"/>
      <c r="C496" s="58">
        <v>4300</v>
      </c>
      <c r="D496" s="148" t="s">
        <v>75</v>
      </c>
      <c r="E496" s="54">
        <f>20000+80000</f>
        <v>100000</v>
      </c>
      <c r="F496" s="54"/>
      <c r="G496" s="54">
        <f t="shared" si="487"/>
        <v>100000</v>
      </c>
      <c r="H496" s="54"/>
      <c r="I496" s="54">
        <f>SUM(G496:H496)</f>
        <v>100000</v>
      </c>
      <c r="J496" s="54"/>
      <c r="K496" s="54">
        <f>SUM(I496:J496)</f>
        <v>100000</v>
      </c>
      <c r="L496" s="54"/>
      <c r="M496" s="54">
        <f>SUM(K496:L496)</f>
        <v>100000</v>
      </c>
      <c r="N496" s="54"/>
      <c r="O496" s="54">
        <f>SUM(M496:N496)</f>
        <v>100000</v>
      </c>
      <c r="P496" s="54"/>
      <c r="Q496" s="54">
        <f>SUM(O496:P496)</f>
        <v>100000</v>
      </c>
      <c r="R496" s="54"/>
      <c r="S496" s="54">
        <f>SUM(Q496:R496)</f>
        <v>100000</v>
      </c>
      <c r="T496" s="54"/>
      <c r="U496" s="54">
        <f>SUM(S496:T496)</f>
        <v>100000</v>
      </c>
      <c r="V496" s="54"/>
      <c r="W496" s="54">
        <f>SUM(U496:V496)</f>
        <v>100000</v>
      </c>
      <c r="X496" s="54"/>
      <c r="Y496" s="54">
        <f>SUM(W496:X496)</f>
        <v>100000</v>
      </c>
      <c r="Z496" s="54"/>
      <c r="AA496" s="54">
        <f>SUM(Y496:Z496)</f>
        <v>100000</v>
      </c>
      <c r="AB496" s="54"/>
      <c r="AC496" s="54">
        <f>SUM(AA496:AB496)</f>
        <v>100000</v>
      </c>
      <c r="AD496" s="54"/>
      <c r="AE496" s="54">
        <f>SUM(AC496:AD496)</f>
        <v>100000</v>
      </c>
      <c r="AF496" s="54"/>
      <c r="AG496" s="54">
        <f>SUM(AE496:AF496)</f>
        <v>100000</v>
      </c>
      <c r="AH496" s="54"/>
      <c r="AI496" s="54">
        <f>SUM(AG496:AH496)</f>
        <v>100000</v>
      </c>
      <c r="AJ496" s="54"/>
      <c r="AK496" s="54">
        <f>SUM(AI496:AJ496)</f>
        <v>100000</v>
      </c>
    </row>
    <row r="497" spans="1:41" s="20" customFormat="1" ht="60">
      <c r="A497" s="41"/>
      <c r="B497" s="140"/>
      <c r="C497" s="58">
        <v>6010</v>
      </c>
      <c r="D497" s="31" t="s">
        <v>202</v>
      </c>
      <c r="E497" s="54">
        <v>800000</v>
      </c>
      <c r="F497" s="54">
        <v>-350000</v>
      </c>
      <c r="G497" s="54">
        <f t="shared" si="487"/>
        <v>450000</v>
      </c>
      <c r="H497" s="54"/>
      <c r="I497" s="54">
        <f>SUM(G497:H497)</f>
        <v>450000</v>
      </c>
      <c r="J497" s="54">
        <v>300000</v>
      </c>
      <c r="K497" s="54">
        <f>SUM(I497:J497)</f>
        <v>750000</v>
      </c>
      <c r="L497" s="54"/>
      <c r="M497" s="54">
        <f>SUM(K497:L497)</f>
        <v>750000</v>
      </c>
      <c r="N497" s="54"/>
      <c r="O497" s="54">
        <f>SUM(M497:N497)</f>
        <v>750000</v>
      </c>
      <c r="P497" s="54"/>
      <c r="Q497" s="54">
        <f>SUM(O497:P497)</f>
        <v>750000</v>
      </c>
      <c r="R497" s="54"/>
      <c r="S497" s="54">
        <f>SUM(Q497:R497)</f>
        <v>750000</v>
      </c>
      <c r="T497" s="54"/>
      <c r="U497" s="54">
        <f>SUM(S497:T497)</f>
        <v>750000</v>
      </c>
      <c r="V497" s="54"/>
      <c r="W497" s="54">
        <f>SUM(U497:V497)</f>
        <v>750000</v>
      </c>
      <c r="X497" s="54"/>
      <c r="Y497" s="54">
        <f>SUM(W497:X497)</f>
        <v>750000</v>
      </c>
      <c r="Z497" s="54"/>
      <c r="AA497" s="54">
        <f>SUM(Y497:Z497)</f>
        <v>750000</v>
      </c>
      <c r="AB497" s="54"/>
      <c r="AC497" s="54">
        <f>SUM(AA497:AB497)</f>
        <v>750000</v>
      </c>
      <c r="AD497" s="54">
        <f>-330000+330000</f>
        <v>0</v>
      </c>
      <c r="AE497" s="54">
        <f>SUM(AC497:AD497)</f>
        <v>750000</v>
      </c>
      <c r="AF497" s="54">
        <f>-330000+330000</f>
        <v>0</v>
      </c>
      <c r="AG497" s="54">
        <f>SUM(AE497:AF497)</f>
        <v>750000</v>
      </c>
      <c r="AH497" s="54">
        <f>-330000+330000</f>
        <v>0</v>
      </c>
      <c r="AI497" s="54">
        <f>SUM(AG497:AH497)</f>
        <v>750000</v>
      </c>
      <c r="AJ497" s="54">
        <f>-330000+330000</f>
        <v>0</v>
      </c>
      <c r="AK497" s="54">
        <f>SUM(AI497:AJ497)</f>
        <v>750000</v>
      </c>
      <c r="AN497" s="67"/>
      <c r="AO497" s="67"/>
    </row>
    <row r="498" spans="1:37" s="20" customFormat="1" ht="24">
      <c r="A498" s="58"/>
      <c r="B498" s="149">
        <v>92605</v>
      </c>
      <c r="C498" s="58"/>
      <c r="D498" s="31" t="s">
        <v>65</v>
      </c>
      <c r="E498" s="54">
        <f aca="true" t="shared" si="536" ref="E498:W498">SUM(E499:E507)</f>
        <v>428290</v>
      </c>
      <c r="F498" s="54">
        <f t="shared" si="536"/>
        <v>-300000</v>
      </c>
      <c r="G498" s="54">
        <f t="shared" si="536"/>
        <v>128290</v>
      </c>
      <c r="H498" s="54">
        <f t="shared" si="536"/>
        <v>447000</v>
      </c>
      <c r="I498" s="54">
        <f t="shared" si="536"/>
        <v>575290</v>
      </c>
      <c r="J498" s="54">
        <f t="shared" si="536"/>
        <v>2800</v>
      </c>
      <c r="K498" s="54">
        <f t="shared" si="536"/>
        <v>578090</v>
      </c>
      <c r="L498" s="54">
        <f t="shared" si="536"/>
        <v>0</v>
      </c>
      <c r="M498" s="54">
        <f t="shared" si="536"/>
        <v>578090</v>
      </c>
      <c r="N498" s="54">
        <f t="shared" si="536"/>
        <v>0</v>
      </c>
      <c r="O498" s="54">
        <f t="shared" si="536"/>
        <v>578090</v>
      </c>
      <c r="P498" s="54">
        <f t="shared" si="536"/>
        <v>0</v>
      </c>
      <c r="Q498" s="54">
        <f t="shared" si="536"/>
        <v>578090</v>
      </c>
      <c r="R498" s="54">
        <f t="shared" si="536"/>
        <v>0</v>
      </c>
      <c r="S498" s="54">
        <f t="shared" si="536"/>
        <v>578090</v>
      </c>
      <c r="T498" s="54">
        <f t="shared" si="536"/>
        <v>0</v>
      </c>
      <c r="U498" s="54">
        <f t="shared" si="536"/>
        <v>578090</v>
      </c>
      <c r="V498" s="54">
        <f t="shared" si="536"/>
        <v>0</v>
      </c>
      <c r="W498" s="54">
        <f t="shared" si="536"/>
        <v>578090</v>
      </c>
      <c r="X498" s="54">
        <f aca="true" t="shared" si="537" ref="X498:AC498">SUM(X499:X507)</f>
        <v>0</v>
      </c>
      <c r="Y498" s="54">
        <f t="shared" si="537"/>
        <v>578090</v>
      </c>
      <c r="Z498" s="54">
        <f t="shared" si="537"/>
        <v>-920</v>
      </c>
      <c r="AA498" s="54">
        <f t="shared" si="537"/>
        <v>577170</v>
      </c>
      <c r="AB498" s="54">
        <f t="shared" si="537"/>
        <v>0</v>
      </c>
      <c r="AC498" s="54">
        <f t="shared" si="537"/>
        <v>577170</v>
      </c>
      <c r="AD498" s="54">
        <f aca="true" t="shared" si="538" ref="AD498:AI498">SUM(AD499:AD507)</f>
        <v>-2560</v>
      </c>
      <c r="AE498" s="54">
        <f t="shared" si="538"/>
        <v>574610</v>
      </c>
      <c r="AF498" s="54">
        <f t="shared" si="538"/>
        <v>-32</v>
      </c>
      <c r="AG498" s="54">
        <f t="shared" si="538"/>
        <v>574578</v>
      </c>
      <c r="AH498" s="54">
        <f t="shared" si="538"/>
        <v>-277</v>
      </c>
      <c r="AI498" s="54">
        <f t="shared" si="538"/>
        <v>574301</v>
      </c>
      <c r="AJ498" s="54">
        <f>SUM(AJ499:AJ507)</f>
        <v>0</v>
      </c>
      <c r="AK498" s="54">
        <f>SUM(AK499:AK507)</f>
        <v>574301</v>
      </c>
    </row>
    <row r="499" spans="1:43" s="20" customFormat="1" ht="36">
      <c r="A499" s="58"/>
      <c r="B499" s="149"/>
      <c r="C499" s="58">
        <v>2820</v>
      </c>
      <c r="D499" s="31" t="s">
        <v>198</v>
      </c>
      <c r="E499" s="54">
        <v>300000</v>
      </c>
      <c r="F499" s="54">
        <v>-300000</v>
      </c>
      <c r="G499" s="54">
        <f t="shared" si="487"/>
        <v>0</v>
      </c>
      <c r="H499" s="54">
        <v>447000</v>
      </c>
      <c r="I499" s="54">
        <f aca="true" t="shared" si="539" ref="I499:I507">SUM(G499:H499)</f>
        <v>447000</v>
      </c>
      <c r="J499" s="54"/>
      <c r="K499" s="54">
        <f aca="true" t="shared" si="540" ref="K499:K507">SUM(I499:J499)</f>
        <v>447000</v>
      </c>
      <c r="L499" s="54"/>
      <c r="M499" s="54">
        <f aca="true" t="shared" si="541" ref="M499:M507">SUM(K499:L499)</f>
        <v>447000</v>
      </c>
      <c r="N499" s="54"/>
      <c r="O499" s="54">
        <f aca="true" t="shared" si="542" ref="O499:O507">SUM(M499:N499)</f>
        <v>447000</v>
      </c>
      <c r="P499" s="54"/>
      <c r="Q499" s="54">
        <f aca="true" t="shared" si="543" ref="Q499:Q507">SUM(O499:P499)</f>
        <v>447000</v>
      </c>
      <c r="R499" s="54"/>
      <c r="S499" s="54">
        <f aca="true" t="shared" si="544" ref="S499:S507">SUM(Q499:R499)</f>
        <v>447000</v>
      </c>
      <c r="T499" s="54"/>
      <c r="U499" s="54">
        <f aca="true" t="shared" si="545" ref="U499:U507">SUM(S499:T499)</f>
        <v>447000</v>
      </c>
      <c r="V499" s="54"/>
      <c r="W499" s="54">
        <f aca="true" t="shared" si="546" ref="W499:W507">SUM(U499:V499)</f>
        <v>447000</v>
      </c>
      <c r="X499" s="54"/>
      <c r="Y499" s="54">
        <f aca="true" t="shared" si="547" ref="Y499:Y507">SUM(W499:X499)</f>
        <v>447000</v>
      </c>
      <c r="Z499" s="54"/>
      <c r="AA499" s="54">
        <f aca="true" t="shared" si="548" ref="AA499:AA507">SUM(Y499:Z499)</f>
        <v>447000</v>
      </c>
      <c r="AB499" s="54"/>
      <c r="AC499" s="54">
        <f aca="true" t="shared" si="549" ref="AC499:AC507">SUM(AA499:AB499)</f>
        <v>447000</v>
      </c>
      <c r="AD499" s="54"/>
      <c r="AE499" s="54">
        <f aca="true" t="shared" si="550" ref="AE499:AE507">SUM(AC499:AD499)</f>
        <v>447000</v>
      </c>
      <c r="AF499" s="54"/>
      <c r="AG499" s="54">
        <f aca="true" t="shared" si="551" ref="AG499:AG507">SUM(AE499:AF499)</f>
        <v>447000</v>
      </c>
      <c r="AH499" s="54"/>
      <c r="AI499" s="54">
        <f aca="true" t="shared" si="552" ref="AI499:AI507">SUM(AG499:AH499)</f>
        <v>447000</v>
      </c>
      <c r="AJ499" s="54"/>
      <c r="AK499" s="54">
        <f aca="true" t="shared" si="553" ref="AK499:AK507">SUM(AI499:AJ499)</f>
        <v>447000</v>
      </c>
      <c r="AP499" s="67"/>
      <c r="AQ499" s="67"/>
    </row>
    <row r="500" spans="1:37" s="20" customFormat="1" ht="24">
      <c r="A500" s="58"/>
      <c r="B500" s="149"/>
      <c r="C500" s="58">
        <v>3020</v>
      </c>
      <c r="D500" s="31" t="s">
        <v>334</v>
      </c>
      <c r="E500" s="54"/>
      <c r="F500" s="54"/>
      <c r="G500" s="54"/>
      <c r="H500" s="54"/>
      <c r="I500" s="54"/>
      <c r="J500" s="54"/>
      <c r="K500" s="54"/>
      <c r="L500" s="54"/>
      <c r="M500" s="54">
        <v>0</v>
      </c>
      <c r="N500" s="54">
        <v>1500</v>
      </c>
      <c r="O500" s="54">
        <f t="shared" si="542"/>
        <v>1500</v>
      </c>
      <c r="P500" s="54"/>
      <c r="Q500" s="54">
        <f t="shared" si="543"/>
        <v>1500</v>
      </c>
      <c r="R500" s="54"/>
      <c r="S500" s="54">
        <f t="shared" si="544"/>
        <v>1500</v>
      </c>
      <c r="T500" s="54"/>
      <c r="U500" s="54">
        <f t="shared" si="545"/>
        <v>1500</v>
      </c>
      <c r="V500" s="54">
        <v>600</v>
      </c>
      <c r="W500" s="54">
        <f t="shared" si="546"/>
        <v>2100</v>
      </c>
      <c r="X500" s="54"/>
      <c r="Y500" s="54">
        <f t="shared" si="547"/>
        <v>2100</v>
      </c>
      <c r="Z500" s="54"/>
      <c r="AA500" s="54">
        <f t="shared" si="548"/>
        <v>2100</v>
      </c>
      <c r="AB500" s="54"/>
      <c r="AC500" s="54">
        <f t="shared" si="549"/>
        <v>2100</v>
      </c>
      <c r="AD500" s="54"/>
      <c r="AE500" s="54">
        <f t="shared" si="550"/>
        <v>2100</v>
      </c>
      <c r="AF500" s="54"/>
      <c r="AG500" s="54">
        <f t="shared" si="551"/>
        <v>2100</v>
      </c>
      <c r="AH500" s="54"/>
      <c r="AI500" s="54">
        <f t="shared" si="552"/>
        <v>2100</v>
      </c>
      <c r="AJ500" s="54"/>
      <c r="AK500" s="54">
        <f t="shared" si="553"/>
        <v>2100</v>
      </c>
    </row>
    <row r="501" spans="1:37" s="20" customFormat="1" ht="18" customHeight="1">
      <c r="A501" s="58"/>
      <c r="B501" s="149"/>
      <c r="C501" s="58">
        <v>3250</v>
      </c>
      <c r="D501" s="31" t="s">
        <v>365</v>
      </c>
      <c r="E501" s="54">
        <v>50000</v>
      </c>
      <c r="F501" s="54"/>
      <c r="G501" s="54">
        <f t="shared" si="487"/>
        <v>50000</v>
      </c>
      <c r="H501" s="54"/>
      <c r="I501" s="54">
        <f t="shared" si="539"/>
        <v>50000</v>
      </c>
      <c r="J501" s="54"/>
      <c r="K501" s="54">
        <f t="shared" si="540"/>
        <v>50000</v>
      </c>
      <c r="L501" s="54"/>
      <c r="M501" s="54">
        <f t="shared" si="541"/>
        <v>50000</v>
      </c>
      <c r="N501" s="54"/>
      <c r="O501" s="54">
        <f t="shared" si="542"/>
        <v>50000</v>
      </c>
      <c r="P501" s="54"/>
      <c r="Q501" s="54">
        <f t="shared" si="543"/>
        <v>50000</v>
      </c>
      <c r="R501" s="54"/>
      <c r="S501" s="54">
        <f t="shared" si="544"/>
        <v>50000</v>
      </c>
      <c r="T501" s="54"/>
      <c r="U501" s="54">
        <f t="shared" si="545"/>
        <v>50000</v>
      </c>
      <c r="V501" s="54"/>
      <c r="W501" s="54">
        <f t="shared" si="546"/>
        <v>50000</v>
      </c>
      <c r="X501" s="54"/>
      <c r="Y501" s="54">
        <f t="shared" si="547"/>
        <v>50000</v>
      </c>
      <c r="Z501" s="54"/>
      <c r="AA501" s="54">
        <f t="shared" si="548"/>
        <v>50000</v>
      </c>
      <c r="AB501" s="54"/>
      <c r="AC501" s="54">
        <f t="shared" si="549"/>
        <v>50000</v>
      </c>
      <c r="AD501" s="54"/>
      <c r="AE501" s="54">
        <f t="shared" si="550"/>
        <v>50000</v>
      </c>
      <c r="AF501" s="54"/>
      <c r="AG501" s="54">
        <f t="shared" si="551"/>
        <v>50000</v>
      </c>
      <c r="AH501" s="54"/>
      <c r="AI501" s="54">
        <f t="shared" si="552"/>
        <v>50000</v>
      </c>
      <c r="AJ501" s="54">
        <v>-2340</v>
      </c>
      <c r="AK501" s="54">
        <f t="shared" si="553"/>
        <v>47660</v>
      </c>
    </row>
    <row r="502" spans="1:39" s="20" customFormat="1" ht="19.5" customHeight="1">
      <c r="A502" s="58"/>
      <c r="B502" s="149"/>
      <c r="C502" s="58">
        <v>4110</v>
      </c>
      <c r="D502" s="31" t="s">
        <v>81</v>
      </c>
      <c r="E502" s="54">
        <v>1000</v>
      </c>
      <c r="F502" s="54"/>
      <c r="G502" s="54">
        <f t="shared" si="487"/>
        <v>1000</v>
      </c>
      <c r="H502" s="54"/>
      <c r="I502" s="54">
        <f t="shared" si="539"/>
        <v>1000</v>
      </c>
      <c r="J502" s="54"/>
      <c r="K502" s="54">
        <f t="shared" si="540"/>
        <v>1000</v>
      </c>
      <c r="L502" s="54"/>
      <c r="M502" s="54">
        <f t="shared" si="541"/>
        <v>1000</v>
      </c>
      <c r="N502" s="54"/>
      <c r="O502" s="54">
        <f t="shared" si="542"/>
        <v>1000</v>
      </c>
      <c r="P502" s="54"/>
      <c r="Q502" s="54">
        <f t="shared" si="543"/>
        <v>1000</v>
      </c>
      <c r="R502" s="54"/>
      <c r="S502" s="54">
        <f t="shared" si="544"/>
        <v>1000</v>
      </c>
      <c r="T502" s="54"/>
      <c r="U502" s="54">
        <f t="shared" si="545"/>
        <v>1000</v>
      </c>
      <c r="V502" s="54"/>
      <c r="W502" s="54">
        <f t="shared" si="546"/>
        <v>1000</v>
      </c>
      <c r="X502" s="54"/>
      <c r="Y502" s="54">
        <f t="shared" si="547"/>
        <v>1000</v>
      </c>
      <c r="Z502" s="54"/>
      <c r="AA502" s="54">
        <f t="shared" si="548"/>
        <v>1000</v>
      </c>
      <c r="AB502" s="54"/>
      <c r="AC502" s="54">
        <f t="shared" si="549"/>
        <v>1000</v>
      </c>
      <c r="AD502" s="54"/>
      <c r="AE502" s="54">
        <f t="shared" si="550"/>
        <v>1000</v>
      </c>
      <c r="AF502" s="54"/>
      <c r="AG502" s="54">
        <f t="shared" si="551"/>
        <v>1000</v>
      </c>
      <c r="AH502" s="54"/>
      <c r="AI502" s="54">
        <f t="shared" si="552"/>
        <v>1000</v>
      </c>
      <c r="AJ502" s="54"/>
      <c r="AK502" s="54">
        <f t="shared" si="553"/>
        <v>1000</v>
      </c>
      <c r="AL502" s="67"/>
      <c r="AM502" s="67"/>
    </row>
    <row r="503" spans="1:39" s="20" customFormat="1" ht="17.25" customHeight="1">
      <c r="A503" s="58"/>
      <c r="B503" s="149"/>
      <c r="C503" s="58">
        <v>4120</v>
      </c>
      <c r="D503" s="31" t="s">
        <v>82</v>
      </c>
      <c r="E503" s="54">
        <v>100</v>
      </c>
      <c r="F503" s="54"/>
      <c r="G503" s="54">
        <f t="shared" si="487"/>
        <v>100</v>
      </c>
      <c r="H503" s="54"/>
      <c r="I503" s="54">
        <f t="shared" si="539"/>
        <v>100</v>
      </c>
      <c r="J503" s="54"/>
      <c r="K503" s="54">
        <f t="shared" si="540"/>
        <v>100</v>
      </c>
      <c r="L503" s="54"/>
      <c r="M503" s="54">
        <f t="shared" si="541"/>
        <v>100</v>
      </c>
      <c r="N503" s="54"/>
      <c r="O503" s="54">
        <f t="shared" si="542"/>
        <v>100</v>
      </c>
      <c r="P503" s="54"/>
      <c r="Q503" s="54">
        <f t="shared" si="543"/>
        <v>100</v>
      </c>
      <c r="R503" s="54"/>
      <c r="S503" s="54">
        <f t="shared" si="544"/>
        <v>100</v>
      </c>
      <c r="T503" s="54"/>
      <c r="U503" s="54">
        <f t="shared" si="545"/>
        <v>100</v>
      </c>
      <c r="V503" s="54"/>
      <c r="W503" s="54">
        <f t="shared" si="546"/>
        <v>100</v>
      </c>
      <c r="X503" s="54"/>
      <c r="Y503" s="54">
        <f t="shared" si="547"/>
        <v>100</v>
      </c>
      <c r="Z503" s="54"/>
      <c r="AA503" s="54">
        <f t="shared" si="548"/>
        <v>100</v>
      </c>
      <c r="AB503" s="54"/>
      <c r="AC503" s="54">
        <f t="shared" si="549"/>
        <v>100</v>
      </c>
      <c r="AD503" s="54"/>
      <c r="AE503" s="54">
        <f t="shared" si="550"/>
        <v>100</v>
      </c>
      <c r="AF503" s="54"/>
      <c r="AG503" s="54">
        <f t="shared" si="551"/>
        <v>100</v>
      </c>
      <c r="AH503" s="54"/>
      <c r="AI503" s="54">
        <f t="shared" si="552"/>
        <v>100</v>
      </c>
      <c r="AJ503" s="54"/>
      <c r="AK503" s="54">
        <f t="shared" si="553"/>
        <v>100</v>
      </c>
      <c r="AL503" s="67"/>
      <c r="AM503" s="67"/>
    </row>
    <row r="504" spans="1:39" s="20" customFormat="1" ht="21" customHeight="1">
      <c r="A504" s="58"/>
      <c r="B504" s="149"/>
      <c r="C504" s="58">
        <v>4170</v>
      </c>
      <c r="D504" s="31" t="s">
        <v>366</v>
      </c>
      <c r="E504" s="54">
        <f>35000+5000-1000-100</f>
        <v>38900</v>
      </c>
      <c r="F504" s="54"/>
      <c r="G504" s="54">
        <f t="shared" si="487"/>
        <v>38900</v>
      </c>
      <c r="H504" s="54"/>
      <c r="I504" s="54">
        <f t="shared" si="539"/>
        <v>38900</v>
      </c>
      <c r="J504" s="54"/>
      <c r="K504" s="54">
        <f t="shared" si="540"/>
        <v>38900</v>
      </c>
      <c r="L504" s="54"/>
      <c r="M504" s="54">
        <f t="shared" si="541"/>
        <v>38900</v>
      </c>
      <c r="N504" s="54"/>
      <c r="O504" s="54">
        <f t="shared" si="542"/>
        <v>38900</v>
      </c>
      <c r="P504" s="54"/>
      <c r="Q504" s="54">
        <f t="shared" si="543"/>
        <v>38900</v>
      </c>
      <c r="R504" s="54"/>
      <c r="S504" s="54">
        <f t="shared" si="544"/>
        <v>38900</v>
      </c>
      <c r="T504" s="54"/>
      <c r="U504" s="54">
        <f t="shared" si="545"/>
        <v>38900</v>
      </c>
      <c r="V504" s="54"/>
      <c r="W504" s="54">
        <f t="shared" si="546"/>
        <v>38900</v>
      </c>
      <c r="X504" s="54"/>
      <c r="Y504" s="54">
        <f t="shared" si="547"/>
        <v>38900</v>
      </c>
      <c r="Z504" s="54"/>
      <c r="AA504" s="54">
        <f t="shared" si="548"/>
        <v>38900</v>
      </c>
      <c r="AB504" s="54"/>
      <c r="AC504" s="54">
        <f t="shared" si="549"/>
        <v>38900</v>
      </c>
      <c r="AD504" s="54"/>
      <c r="AE504" s="54">
        <f t="shared" si="550"/>
        <v>38900</v>
      </c>
      <c r="AF504" s="54"/>
      <c r="AG504" s="54">
        <f t="shared" si="551"/>
        <v>38900</v>
      </c>
      <c r="AH504" s="54"/>
      <c r="AI504" s="54">
        <f t="shared" si="552"/>
        <v>38900</v>
      </c>
      <c r="AJ504" s="54"/>
      <c r="AK504" s="54">
        <f t="shared" si="553"/>
        <v>38900</v>
      </c>
      <c r="AL504" s="67"/>
      <c r="AM504" s="67"/>
    </row>
    <row r="505" spans="1:37" s="20" customFormat="1" ht="19.5" customHeight="1">
      <c r="A505" s="58"/>
      <c r="B505" s="55"/>
      <c r="C505" s="41">
        <v>4210</v>
      </c>
      <c r="D505" s="31" t="s">
        <v>86</v>
      </c>
      <c r="E505" s="54">
        <f>9590+11500</f>
        <v>21090</v>
      </c>
      <c r="F505" s="54"/>
      <c r="G505" s="54">
        <f t="shared" si="487"/>
        <v>21090</v>
      </c>
      <c r="H505" s="54"/>
      <c r="I505" s="54">
        <f t="shared" si="539"/>
        <v>21090</v>
      </c>
      <c r="J505" s="54">
        <v>2800</v>
      </c>
      <c r="K505" s="54">
        <f t="shared" si="540"/>
        <v>23890</v>
      </c>
      <c r="L505" s="54"/>
      <c r="M505" s="54">
        <f t="shared" si="541"/>
        <v>23890</v>
      </c>
      <c r="N505" s="54">
        <v>-1500</v>
      </c>
      <c r="O505" s="54">
        <f t="shared" si="542"/>
        <v>22390</v>
      </c>
      <c r="P505" s="54"/>
      <c r="Q505" s="54">
        <f t="shared" si="543"/>
        <v>22390</v>
      </c>
      <c r="R505" s="54"/>
      <c r="S505" s="54">
        <f t="shared" si="544"/>
        <v>22390</v>
      </c>
      <c r="T505" s="54"/>
      <c r="U505" s="54">
        <f t="shared" si="545"/>
        <v>22390</v>
      </c>
      <c r="V505" s="54">
        <v>-600</v>
      </c>
      <c r="W505" s="54">
        <f t="shared" si="546"/>
        <v>21790</v>
      </c>
      <c r="X505" s="54"/>
      <c r="Y505" s="54">
        <f t="shared" si="547"/>
        <v>21790</v>
      </c>
      <c r="Z505" s="54">
        <f>-920-700</f>
        <v>-1620</v>
      </c>
      <c r="AA505" s="54">
        <f t="shared" si="548"/>
        <v>20170</v>
      </c>
      <c r="AB505" s="54"/>
      <c r="AC505" s="54">
        <f t="shared" si="549"/>
        <v>20170</v>
      </c>
      <c r="AD505" s="54">
        <v>-3850</v>
      </c>
      <c r="AE505" s="54">
        <f t="shared" si="550"/>
        <v>16320</v>
      </c>
      <c r="AF505" s="54">
        <v>1200</v>
      </c>
      <c r="AG505" s="54">
        <f t="shared" si="551"/>
        <v>17520</v>
      </c>
      <c r="AH505" s="54"/>
      <c r="AI505" s="54">
        <f t="shared" si="552"/>
        <v>17520</v>
      </c>
      <c r="AJ505" s="54">
        <v>1340</v>
      </c>
      <c r="AK505" s="54">
        <f t="shared" si="553"/>
        <v>18860</v>
      </c>
    </row>
    <row r="506" spans="1:37" s="20" customFormat="1" ht="18.75" customHeight="1">
      <c r="A506" s="58"/>
      <c r="B506" s="55"/>
      <c r="C506" s="41">
        <v>4260</v>
      </c>
      <c r="D506" s="31" t="s">
        <v>88</v>
      </c>
      <c r="E506" s="54">
        <v>1100</v>
      </c>
      <c r="F506" s="54"/>
      <c r="G506" s="54">
        <f t="shared" si="487"/>
        <v>1100</v>
      </c>
      <c r="H506" s="54"/>
      <c r="I506" s="54">
        <f t="shared" si="539"/>
        <v>1100</v>
      </c>
      <c r="J506" s="54"/>
      <c r="K506" s="54">
        <f t="shared" si="540"/>
        <v>1100</v>
      </c>
      <c r="L506" s="54"/>
      <c r="M506" s="54">
        <f t="shared" si="541"/>
        <v>1100</v>
      </c>
      <c r="N506" s="54"/>
      <c r="O506" s="54">
        <f t="shared" si="542"/>
        <v>1100</v>
      </c>
      <c r="P506" s="54"/>
      <c r="Q506" s="54">
        <f t="shared" si="543"/>
        <v>1100</v>
      </c>
      <c r="R506" s="54"/>
      <c r="S506" s="54">
        <f t="shared" si="544"/>
        <v>1100</v>
      </c>
      <c r="T506" s="54"/>
      <c r="U506" s="54">
        <f t="shared" si="545"/>
        <v>1100</v>
      </c>
      <c r="V506" s="54"/>
      <c r="W506" s="54">
        <f t="shared" si="546"/>
        <v>1100</v>
      </c>
      <c r="X506" s="54"/>
      <c r="Y506" s="54">
        <f t="shared" si="547"/>
        <v>1100</v>
      </c>
      <c r="Z506" s="54"/>
      <c r="AA506" s="54">
        <f t="shared" si="548"/>
        <v>1100</v>
      </c>
      <c r="AB506" s="54"/>
      <c r="AC506" s="54">
        <f t="shared" si="549"/>
        <v>1100</v>
      </c>
      <c r="AD506" s="54"/>
      <c r="AE506" s="54">
        <f t="shared" si="550"/>
        <v>1100</v>
      </c>
      <c r="AF506" s="54">
        <v>-32</v>
      </c>
      <c r="AG506" s="54">
        <f t="shared" si="551"/>
        <v>1068</v>
      </c>
      <c r="AH506" s="54"/>
      <c r="AI506" s="54">
        <f t="shared" si="552"/>
        <v>1068</v>
      </c>
      <c r="AJ506" s="54"/>
      <c r="AK506" s="54">
        <f t="shared" si="553"/>
        <v>1068</v>
      </c>
    </row>
    <row r="507" spans="1:37" s="20" customFormat="1" ht="21" customHeight="1">
      <c r="A507" s="58"/>
      <c r="B507" s="55"/>
      <c r="C507" s="58">
        <v>4300</v>
      </c>
      <c r="D507" s="148" t="s">
        <v>75</v>
      </c>
      <c r="E507" s="54">
        <f>4600+11500</f>
        <v>16100</v>
      </c>
      <c r="F507" s="54"/>
      <c r="G507" s="54">
        <f t="shared" si="487"/>
        <v>16100</v>
      </c>
      <c r="H507" s="54"/>
      <c r="I507" s="54">
        <f t="shared" si="539"/>
        <v>16100</v>
      </c>
      <c r="J507" s="54"/>
      <c r="K507" s="54">
        <f t="shared" si="540"/>
        <v>16100</v>
      </c>
      <c r="L507" s="54"/>
      <c r="M507" s="54">
        <f t="shared" si="541"/>
        <v>16100</v>
      </c>
      <c r="N507" s="54"/>
      <c r="O507" s="54">
        <f t="shared" si="542"/>
        <v>16100</v>
      </c>
      <c r="P507" s="54"/>
      <c r="Q507" s="54">
        <f t="shared" si="543"/>
        <v>16100</v>
      </c>
      <c r="R507" s="54"/>
      <c r="S507" s="54">
        <f t="shared" si="544"/>
        <v>16100</v>
      </c>
      <c r="T507" s="54"/>
      <c r="U507" s="54">
        <f t="shared" si="545"/>
        <v>16100</v>
      </c>
      <c r="V507" s="54"/>
      <c r="W507" s="54">
        <f t="shared" si="546"/>
        <v>16100</v>
      </c>
      <c r="X507" s="54"/>
      <c r="Y507" s="54">
        <f t="shared" si="547"/>
        <v>16100</v>
      </c>
      <c r="Z507" s="54">
        <v>700</v>
      </c>
      <c r="AA507" s="54">
        <f t="shared" si="548"/>
        <v>16800</v>
      </c>
      <c r="AB507" s="54"/>
      <c r="AC507" s="54">
        <f t="shared" si="549"/>
        <v>16800</v>
      </c>
      <c r="AD507" s="54">
        <v>1290</v>
      </c>
      <c r="AE507" s="54">
        <f t="shared" si="550"/>
        <v>18090</v>
      </c>
      <c r="AF507" s="54">
        <v>-1200</v>
      </c>
      <c r="AG507" s="54">
        <f t="shared" si="551"/>
        <v>16890</v>
      </c>
      <c r="AH507" s="54">
        <v>-277</v>
      </c>
      <c r="AI507" s="54">
        <f t="shared" si="552"/>
        <v>16613</v>
      </c>
      <c r="AJ507" s="54">
        <v>1000</v>
      </c>
      <c r="AK507" s="54">
        <f t="shared" si="553"/>
        <v>17613</v>
      </c>
    </row>
    <row r="508" spans="1:43" s="6" customFormat="1" ht="24.75" customHeight="1">
      <c r="A508" s="8"/>
      <c r="B508" s="8"/>
      <c r="C508" s="8"/>
      <c r="D508" s="29" t="s">
        <v>66</v>
      </c>
      <c r="E508" s="134">
        <f aca="true" t="shared" si="554" ref="E508:AI508">SUM(E490,E473,E443,E417,E342,E326,E218,E214,E211,E201,E159,E140,E64,E56,E34,E25,E7,E403)</f>
        <v>67967776</v>
      </c>
      <c r="F508" s="134">
        <f t="shared" si="554"/>
        <v>-888500</v>
      </c>
      <c r="G508" s="134">
        <f t="shared" si="554"/>
        <v>67149276</v>
      </c>
      <c r="H508" s="134">
        <f t="shared" si="554"/>
        <v>252163</v>
      </c>
      <c r="I508" s="134">
        <f t="shared" si="554"/>
        <v>67401439</v>
      </c>
      <c r="J508" s="134">
        <f t="shared" si="554"/>
        <v>173624</v>
      </c>
      <c r="K508" s="134">
        <f t="shared" si="554"/>
        <v>67575063</v>
      </c>
      <c r="L508" s="134">
        <f t="shared" si="554"/>
        <v>46982</v>
      </c>
      <c r="M508" s="134">
        <f t="shared" si="554"/>
        <v>67622045</v>
      </c>
      <c r="N508" s="134">
        <f t="shared" si="554"/>
        <v>75000</v>
      </c>
      <c r="O508" s="134">
        <f t="shared" si="554"/>
        <v>67697045</v>
      </c>
      <c r="P508" s="134">
        <f t="shared" si="554"/>
        <v>286502</v>
      </c>
      <c r="Q508" s="134">
        <f t="shared" si="554"/>
        <v>67983547</v>
      </c>
      <c r="R508" s="134">
        <f t="shared" si="554"/>
        <v>6100</v>
      </c>
      <c r="S508" s="134">
        <f t="shared" si="554"/>
        <v>67989647</v>
      </c>
      <c r="T508" s="134">
        <f t="shared" si="554"/>
        <v>21240</v>
      </c>
      <c r="U508" s="134">
        <f t="shared" si="554"/>
        <v>68010887</v>
      </c>
      <c r="V508" s="134">
        <f t="shared" si="554"/>
        <v>179586</v>
      </c>
      <c r="W508" s="134">
        <f t="shared" si="554"/>
        <v>68242413</v>
      </c>
      <c r="X508" s="134">
        <f t="shared" si="554"/>
        <v>240668</v>
      </c>
      <c r="Y508" s="134">
        <f t="shared" si="554"/>
        <v>68483081</v>
      </c>
      <c r="Z508" s="134">
        <f t="shared" si="554"/>
        <v>36700</v>
      </c>
      <c r="AA508" s="134">
        <f t="shared" si="554"/>
        <v>68519781</v>
      </c>
      <c r="AB508" s="134">
        <f t="shared" si="554"/>
        <v>-854065</v>
      </c>
      <c r="AC508" s="134">
        <f t="shared" si="554"/>
        <v>67665716</v>
      </c>
      <c r="AD508" s="134">
        <f t="shared" si="554"/>
        <v>-657430</v>
      </c>
      <c r="AE508" s="134">
        <f t="shared" si="554"/>
        <v>67008286</v>
      </c>
      <c r="AF508" s="134">
        <f t="shared" si="554"/>
        <v>20714</v>
      </c>
      <c r="AG508" s="134">
        <f t="shared" si="554"/>
        <v>67029000</v>
      </c>
      <c r="AH508" s="134">
        <f t="shared" si="554"/>
        <v>248940</v>
      </c>
      <c r="AI508" s="134">
        <f t="shared" si="554"/>
        <v>67277940</v>
      </c>
      <c r="AJ508" s="134">
        <f>SUM(AJ490,AJ473,AJ443,AJ417,AJ342,AJ326,AJ218,AJ214,AJ211,AJ201,AJ159,AJ140,AJ64,AJ56,AJ34,AJ25,AJ7,AJ403)</f>
        <v>134970</v>
      </c>
      <c r="AK508" s="134">
        <f>SUM(AK490,AK473,AK443,AK417,AK342,AK326,AK218,AK214,AK211,AK201,AK159,AK140,AK64,AK56,AK34,AK25,AK7,AK403)</f>
        <v>67412910</v>
      </c>
      <c r="AL508" s="73"/>
      <c r="AM508" s="73"/>
      <c r="AN508" s="73"/>
      <c r="AO508" s="73"/>
      <c r="AP508" s="73"/>
      <c r="AQ508" s="73"/>
    </row>
    <row r="509" spans="1:37" ht="12.75">
      <c r="A509" s="37"/>
      <c r="B509" s="37"/>
      <c r="C509" s="37"/>
      <c r="D509" s="37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  <c r="AA509" s="150"/>
      <c r="AB509" s="150"/>
      <c r="AC509" s="150"/>
      <c r="AD509" s="150"/>
      <c r="AE509" s="150"/>
      <c r="AF509" s="150"/>
      <c r="AG509" s="150"/>
      <c r="AH509" s="150"/>
      <c r="AI509" s="150"/>
      <c r="AJ509" s="150"/>
      <c r="AK509" s="150"/>
    </row>
    <row r="510" spans="4:37" ht="12">
      <c r="D510" s="37"/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1"/>
      <c r="W510" s="150"/>
      <c r="X510" s="151"/>
      <c r="Y510" s="150"/>
      <c r="Z510" s="151"/>
      <c r="AA510" s="150"/>
      <c r="AB510" s="151"/>
      <c r="AC510" s="150"/>
      <c r="AD510" s="151"/>
      <c r="AE510" s="150"/>
      <c r="AF510" s="151"/>
      <c r="AG510" s="150"/>
      <c r="AH510" s="151"/>
      <c r="AI510" s="150"/>
      <c r="AJ510" s="151"/>
      <c r="AK510" s="150"/>
    </row>
    <row r="511" spans="4:43" ht="12.75">
      <c r="D511" s="37"/>
      <c r="E511" s="150"/>
      <c r="F511" s="150"/>
      <c r="G511" s="150"/>
      <c r="H511" s="150"/>
      <c r="I511" s="150"/>
      <c r="J511" s="150"/>
      <c r="K511" s="150"/>
      <c r="L511" s="151"/>
      <c r="M511" s="151"/>
      <c r="N511" s="151"/>
      <c r="O511" s="151"/>
      <c r="P511" s="151"/>
      <c r="Q511" s="151"/>
      <c r="R511" s="151"/>
      <c r="S511" s="151"/>
      <c r="T511" s="151"/>
      <c r="U511" s="151"/>
      <c r="V511" s="151"/>
      <c r="W511" s="151"/>
      <c r="X511" s="151"/>
      <c r="Y511" s="151"/>
      <c r="Z511" s="151">
        <f>Z508-'dochody 2009 zał.1'!AB142</f>
        <v>0</v>
      </c>
      <c r="AA511" s="151"/>
      <c r="AB511" s="151">
        <f>AB508-'dochody 2009 zał.1'!AD142</f>
        <v>0</v>
      </c>
      <c r="AC511" s="151"/>
      <c r="AD511" s="154">
        <f>'dochody 2009 zał.1'!AF142-'wydatki 2009 zał.2'!AD508</f>
        <v>0</v>
      </c>
      <c r="AE511" s="151"/>
      <c r="AF511" s="154">
        <f>'dochody 2009 zał.1'!AH142-'wydatki 2009 zał.2'!AF508</f>
        <v>0</v>
      </c>
      <c r="AG511" s="151"/>
      <c r="AH511" s="154">
        <f>'dochody 2009 zał.1'!AJ142-'wydatki 2009 zał.2'!AH508</f>
        <v>64839</v>
      </c>
      <c r="AI511" s="151"/>
      <c r="AJ511" s="154"/>
      <c r="AK511" s="151"/>
      <c r="AO511" s="35"/>
      <c r="AQ511" s="35"/>
    </row>
    <row r="512" spans="4:43" ht="12.75">
      <c r="D512" s="37"/>
      <c r="E512" s="150"/>
      <c r="F512" s="150"/>
      <c r="G512" s="150"/>
      <c r="H512" s="150"/>
      <c r="I512" s="150"/>
      <c r="J512" s="150"/>
      <c r="K512" s="150"/>
      <c r="L512" s="151"/>
      <c r="M512" s="151"/>
      <c r="N512" s="151"/>
      <c r="O512" s="151"/>
      <c r="P512" s="151"/>
      <c r="Q512" s="151"/>
      <c r="R512" s="151"/>
      <c r="S512" s="151"/>
      <c r="T512" s="151"/>
      <c r="U512" s="151"/>
      <c r="V512" s="151"/>
      <c r="W512" s="151"/>
      <c r="X512" s="151"/>
      <c r="Y512" s="151"/>
      <c r="Z512" s="151"/>
      <c r="AA512" s="151"/>
      <c r="AB512" s="151"/>
      <c r="AC512" s="151"/>
      <c r="AD512" s="154"/>
      <c r="AE512" s="151"/>
      <c r="AF512" s="154"/>
      <c r="AG512" s="151"/>
      <c r="AH512" s="154"/>
      <c r="AI512" s="151"/>
      <c r="AJ512" s="154"/>
      <c r="AK512" s="151"/>
      <c r="AO512" s="35"/>
      <c r="AQ512" s="35"/>
    </row>
    <row r="513" spans="4:43" ht="12.75">
      <c r="D513" s="37"/>
      <c r="E513" s="150"/>
      <c r="F513" s="150"/>
      <c r="G513" s="150"/>
      <c r="H513" s="150"/>
      <c r="I513" s="150"/>
      <c r="J513" s="150"/>
      <c r="K513" s="150"/>
      <c r="L513" s="151"/>
      <c r="M513" s="151"/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  <c r="AA513" s="151"/>
      <c r="AB513" s="151"/>
      <c r="AC513" s="151"/>
      <c r="AD513" s="154"/>
      <c r="AE513" s="151"/>
      <c r="AF513" s="154"/>
      <c r="AG513" s="151"/>
      <c r="AH513" s="154"/>
      <c r="AI513" s="151"/>
      <c r="AJ513" s="154"/>
      <c r="AK513" s="151"/>
      <c r="AO513" s="35"/>
      <c r="AQ513" s="35"/>
    </row>
    <row r="514" spans="4:37" ht="12">
      <c r="D514" s="37"/>
      <c r="E514" s="150"/>
      <c r="F514" s="150"/>
      <c r="G514" s="150"/>
      <c r="H514" s="150"/>
      <c r="I514" s="150"/>
      <c r="J514" s="150"/>
      <c r="K514" s="150"/>
      <c r="L514" s="151"/>
      <c r="M514" s="151"/>
      <c r="N514" s="151"/>
      <c r="O514" s="151"/>
      <c r="P514" s="151"/>
      <c r="Q514" s="151"/>
      <c r="R514" s="151"/>
      <c r="S514" s="151"/>
      <c r="T514" s="151"/>
      <c r="U514" s="151"/>
      <c r="V514" s="151"/>
      <c r="W514" s="151"/>
      <c r="X514" s="151"/>
      <c r="Y514" s="151"/>
      <c r="Z514" s="151"/>
      <c r="AA514" s="151"/>
      <c r="AB514" s="151"/>
      <c r="AC514" s="151"/>
      <c r="AD514" s="151"/>
      <c r="AE514" s="151"/>
      <c r="AF514" s="151"/>
      <c r="AG514" s="151"/>
      <c r="AH514" s="151">
        <v>98</v>
      </c>
      <c r="AI514" s="151"/>
      <c r="AJ514" s="151"/>
      <c r="AK514" s="151"/>
    </row>
    <row r="515" spans="4:37" ht="12">
      <c r="D515" s="37"/>
      <c r="E515" s="151"/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  <c r="Y515" s="152"/>
      <c r="Z515" s="152"/>
      <c r="AA515" s="152"/>
      <c r="AB515" s="152"/>
      <c r="AC515" s="152"/>
      <c r="AD515" s="152"/>
      <c r="AE515" s="152"/>
      <c r="AF515" s="152"/>
      <c r="AG515" s="152"/>
      <c r="AH515" s="152">
        <v>11000</v>
      </c>
      <c r="AI515" s="152"/>
      <c r="AJ515" s="152"/>
      <c r="AK515" s="152"/>
    </row>
    <row r="516" spans="4:37" ht="12">
      <c r="D516" s="37"/>
      <c r="E516" s="151"/>
      <c r="F516" s="152"/>
      <c r="G516" s="152"/>
      <c r="H516" s="152"/>
      <c r="I516" s="152"/>
      <c r="J516" s="152"/>
      <c r="K516" s="152"/>
      <c r="L516" s="153"/>
      <c r="M516" s="152"/>
      <c r="N516" s="153"/>
      <c r="O516" s="152"/>
      <c r="P516" s="153"/>
      <c r="Q516" s="152"/>
      <c r="R516" s="153"/>
      <c r="S516" s="152"/>
      <c r="T516" s="153"/>
      <c r="U516" s="152"/>
      <c r="V516" s="153"/>
      <c r="W516" s="152"/>
      <c r="X516" s="153"/>
      <c r="Y516" s="152"/>
      <c r="Z516" s="153"/>
      <c r="AA516" s="152"/>
      <c r="AB516" s="153"/>
      <c r="AC516" s="152"/>
      <c r="AD516" s="153">
        <v>-5103014</v>
      </c>
      <c r="AE516" s="152" t="s">
        <v>404</v>
      </c>
      <c r="AF516" s="153"/>
      <c r="AG516" s="152"/>
      <c r="AH516" s="153">
        <f>-3198598+21000+10000+35000</f>
        <v>-3132598</v>
      </c>
      <c r="AI516" s="152"/>
      <c r="AJ516" s="153"/>
      <c r="AK516" s="152"/>
    </row>
    <row r="517" spans="4:37" ht="12">
      <c r="D517" s="37"/>
      <c r="E517" s="154"/>
      <c r="F517" s="155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>
        <f>-318700+25000</f>
        <v>-293700</v>
      </c>
      <c r="AE517" s="155" t="s">
        <v>405</v>
      </c>
      <c r="AF517" s="155"/>
      <c r="AG517" s="155"/>
      <c r="AH517" s="155">
        <v>-18990</v>
      </c>
      <c r="AI517" s="155"/>
      <c r="AJ517" s="155"/>
      <c r="AK517" s="155"/>
    </row>
    <row r="518" spans="4:37" ht="12">
      <c r="D518" s="37"/>
      <c r="E518" s="154"/>
      <c r="F518" s="155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>
        <v>-68700</v>
      </c>
      <c r="AI518" s="155"/>
      <c r="AJ518" s="155"/>
      <c r="AK518" s="155"/>
    </row>
    <row r="519" spans="4:37" ht="12">
      <c r="D519" s="37"/>
      <c r="E519" s="154"/>
      <c r="F519" s="155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>
        <v>-75000</v>
      </c>
      <c r="AI519" s="155"/>
      <c r="AJ519" s="155"/>
      <c r="AK519" s="155"/>
    </row>
    <row r="520" spans="4:37" ht="12">
      <c r="D520" s="37"/>
      <c r="E520" s="154"/>
      <c r="F520" s="155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>
        <v>9731</v>
      </c>
      <c r="AI520" s="155"/>
      <c r="AJ520" s="155"/>
      <c r="AK520" s="155"/>
    </row>
    <row r="521" spans="4:37" ht="12">
      <c r="D521" s="37"/>
      <c r="E521" s="154"/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>
        <v>2800</v>
      </c>
      <c r="AI521" s="155"/>
      <c r="AJ521" s="155"/>
      <c r="AK521" s="155"/>
    </row>
    <row r="522" spans="4:37" ht="12">
      <c r="D522" s="37"/>
      <c r="E522" s="154"/>
      <c r="F522" s="155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>
        <v>10043</v>
      </c>
      <c r="AI522" s="155"/>
      <c r="AJ522" s="155"/>
      <c r="AK522" s="155"/>
    </row>
    <row r="523" spans="4:37" ht="12">
      <c r="D523" s="37"/>
      <c r="E523" s="154"/>
      <c r="F523" s="155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>
        <v>-1568</v>
      </c>
      <c r="AI523" s="155"/>
      <c r="AJ523" s="155"/>
      <c r="AK523" s="155"/>
    </row>
    <row r="524" spans="4:37" ht="12">
      <c r="D524" s="37"/>
      <c r="E524" s="154"/>
      <c r="F524" s="155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>
        <v>50590</v>
      </c>
      <c r="AE524" s="155" t="s">
        <v>406</v>
      </c>
      <c r="AF524" s="155"/>
      <c r="AG524" s="155"/>
      <c r="AH524" s="155">
        <f>SUM(AH514:AH523)</f>
        <v>-3263184</v>
      </c>
      <c r="AI524" s="155"/>
      <c r="AJ524" s="155"/>
      <c r="AK524" s="155"/>
    </row>
    <row r="525" spans="4:37" ht="12.75">
      <c r="D525" s="37"/>
      <c r="E525" s="151"/>
      <c r="F525" s="152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  <c r="R525" s="152"/>
      <c r="S525" s="152"/>
      <c r="T525" s="152"/>
      <c r="U525" s="152"/>
      <c r="V525" s="153"/>
      <c r="W525" s="152"/>
      <c r="X525" s="153"/>
      <c r="Y525" s="152"/>
      <c r="Z525" s="153"/>
      <c r="AA525" s="152"/>
      <c r="AB525" s="153"/>
      <c r="AC525" s="152"/>
      <c r="AD525" s="153">
        <v>-291000</v>
      </c>
      <c r="AE525" s="152" t="s">
        <v>407</v>
      </c>
      <c r="AF525" s="153"/>
      <c r="AG525" s="152"/>
      <c r="AH525" s="153"/>
      <c r="AI525" s="152"/>
      <c r="AJ525" s="153"/>
      <c r="AK525" s="152"/>
    </row>
    <row r="526" spans="4:37" ht="12.75">
      <c r="D526" s="37"/>
      <c r="E526" s="151"/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  <c r="Y526" s="152"/>
      <c r="Z526" s="152"/>
      <c r="AA526" s="152"/>
      <c r="AB526" s="152"/>
      <c r="AC526" s="152"/>
      <c r="AD526" s="152">
        <v>30000</v>
      </c>
      <c r="AE526" s="152" t="s">
        <v>408</v>
      </c>
      <c r="AF526" s="152"/>
      <c r="AG526" s="152"/>
      <c r="AH526" s="152"/>
      <c r="AI526" s="152"/>
      <c r="AJ526" s="152"/>
      <c r="AK526" s="152"/>
    </row>
    <row r="527" spans="4:37" ht="12.75">
      <c r="D527" s="37"/>
      <c r="E527" s="151"/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  <c r="Y527" s="152"/>
      <c r="Z527" s="152"/>
      <c r="AA527" s="152"/>
      <c r="AB527" s="152"/>
      <c r="AC527" s="152"/>
      <c r="AD527" s="152">
        <v>20744</v>
      </c>
      <c r="AE527" s="152" t="s">
        <v>409</v>
      </c>
      <c r="AF527" s="152"/>
      <c r="AG527" s="152"/>
      <c r="AH527" s="152"/>
      <c r="AI527" s="152"/>
      <c r="AJ527" s="152"/>
      <c r="AK527" s="152"/>
    </row>
    <row r="528" spans="4:37" ht="12.75">
      <c r="D528" s="37"/>
      <c r="E528" s="151"/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  <c r="Y528" s="152"/>
      <c r="Z528" s="152"/>
      <c r="AA528" s="152"/>
      <c r="AB528" s="152"/>
      <c r="AC528" s="152"/>
      <c r="AD528" s="152">
        <v>-6000</v>
      </c>
      <c r="AE528" s="152" t="s">
        <v>373</v>
      </c>
      <c r="AF528" s="152"/>
      <c r="AG528" s="152"/>
      <c r="AH528" s="152"/>
      <c r="AI528" s="152"/>
      <c r="AJ528" s="152"/>
      <c r="AK528" s="152"/>
    </row>
    <row r="529" spans="4:37" ht="12.75">
      <c r="D529" s="37"/>
      <c r="E529" s="151"/>
      <c r="F529" s="152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  <c r="Y529" s="152"/>
      <c r="Z529" s="152"/>
      <c r="AA529" s="152"/>
      <c r="AB529" s="152"/>
      <c r="AC529" s="152"/>
      <c r="AD529" s="152">
        <v>186528</v>
      </c>
      <c r="AE529" s="152" t="s">
        <v>414</v>
      </c>
      <c r="AF529" s="152"/>
      <c r="AG529" s="152"/>
      <c r="AH529" s="152"/>
      <c r="AI529" s="152"/>
      <c r="AJ529" s="152"/>
      <c r="AK529" s="152"/>
    </row>
    <row r="530" spans="4:37" ht="12.75">
      <c r="D530" s="37"/>
      <c r="E530" s="151"/>
      <c r="F530" s="152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  <c r="Y530" s="152"/>
      <c r="Z530" s="152"/>
      <c r="AA530" s="152"/>
      <c r="AB530" s="152"/>
      <c r="AC530" s="152"/>
      <c r="AD530" s="152">
        <v>10400</v>
      </c>
      <c r="AE530" s="152" t="s">
        <v>415</v>
      </c>
      <c r="AF530" s="152"/>
      <c r="AG530" s="152"/>
      <c r="AH530" s="152"/>
      <c r="AI530" s="152"/>
      <c r="AJ530" s="152"/>
      <c r="AK530" s="152"/>
    </row>
    <row r="531" spans="4:37" ht="12.75">
      <c r="D531" s="37"/>
      <c r="E531" s="151"/>
      <c r="F531" s="152"/>
      <c r="G531" s="152"/>
      <c r="H531" s="152"/>
      <c r="I531" s="152"/>
      <c r="J531" s="152"/>
      <c r="K531" s="152"/>
      <c r="L531" s="152"/>
      <c r="M531" s="152"/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  <c r="Y531" s="152"/>
      <c r="Z531" s="152"/>
      <c r="AA531" s="152"/>
      <c r="AB531" s="152"/>
      <c r="AC531" s="152"/>
      <c r="AD531" s="152">
        <v>2000</v>
      </c>
      <c r="AE531" s="152" t="s">
        <v>418</v>
      </c>
      <c r="AF531" s="152"/>
      <c r="AG531" s="152"/>
      <c r="AH531" s="152"/>
      <c r="AI531" s="152"/>
      <c r="AJ531" s="152"/>
      <c r="AK531" s="152"/>
    </row>
    <row r="532" spans="4:37" ht="12.75">
      <c r="D532" s="37"/>
      <c r="E532" s="151"/>
      <c r="F532" s="152"/>
      <c r="G532" s="152"/>
      <c r="H532" s="152"/>
      <c r="I532" s="152"/>
      <c r="J532" s="152"/>
      <c r="K532" s="152"/>
      <c r="L532" s="152"/>
      <c r="M532" s="152"/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  <c r="Y532" s="152"/>
      <c r="Z532" s="152"/>
      <c r="AA532" s="152"/>
      <c r="AB532" s="152"/>
      <c r="AC532" s="152"/>
      <c r="AD532" s="152">
        <v>47967</v>
      </c>
      <c r="AE532" s="152">
        <v>80101</v>
      </c>
      <c r="AF532" s="152"/>
      <c r="AG532" s="152"/>
      <c r="AH532" s="152"/>
      <c r="AI532" s="152"/>
      <c r="AJ532" s="152"/>
      <c r="AK532" s="152"/>
    </row>
    <row r="533" spans="4:37" ht="12.75">
      <c r="D533" s="37"/>
      <c r="E533" s="151"/>
      <c r="F533" s="152"/>
      <c r="G533" s="152"/>
      <c r="H533" s="152"/>
      <c r="I533" s="152"/>
      <c r="J533" s="152"/>
      <c r="K533" s="152"/>
      <c r="L533" s="152"/>
      <c r="M533" s="152"/>
      <c r="N533" s="152"/>
      <c r="O533" s="152"/>
      <c r="P533" s="152"/>
      <c r="Q533" s="152"/>
      <c r="R533" s="152"/>
      <c r="S533" s="152"/>
      <c r="T533" s="152"/>
      <c r="U533" s="152"/>
      <c r="V533" s="152"/>
      <c r="W533" s="152"/>
      <c r="X533" s="152"/>
      <c r="Y533" s="152"/>
      <c r="Z533" s="152"/>
      <c r="AA533" s="152"/>
      <c r="AB533" s="152"/>
      <c r="AC533" s="152"/>
      <c r="AD533" s="152">
        <v>129947</v>
      </c>
      <c r="AE533" s="152"/>
      <c r="AF533" s="152"/>
      <c r="AG533" s="152"/>
      <c r="AH533" s="152"/>
      <c r="AI533" s="152"/>
      <c r="AJ533" s="152"/>
      <c r="AK533" s="152"/>
    </row>
    <row r="534" spans="4:37" ht="12.75">
      <c r="D534" s="37"/>
      <c r="E534" s="151"/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  <c r="S534" s="152"/>
      <c r="T534" s="152"/>
      <c r="U534" s="152"/>
      <c r="V534" s="152"/>
      <c r="W534" s="152"/>
      <c r="X534" s="152"/>
      <c r="Y534" s="152"/>
      <c r="Z534" s="152"/>
      <c r="AA534" s="152"/>
      <c r="AB534" s="152"/>
      <c r="AC534" s="152"/>
      <c r="AD534" s="152">
        <v>-1550</v>
      </c>
      <c r="AE534" s="152"/>
      <c r="AF534" s="152"/>
      <c r="AG534" s="152"/>
      <c r="AH534" s="152"/>
      <c r="AI534" s="152"/>
      <c r="AJ534" s="152"/>
      <c r="AK534" s="152"/>
    </row>
    <row r="535" spans="4:37" ht="12.75">
      <c r="D535" s="37"/>
      <c r="E535" s="151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  <c r="S535" s="152"/>
      <c r="T535" s="152"/>
      <c r="U535" s="152"/>
      <c r="V535" s="152"/>
      <c r="W535" s="152"/>
      <c r="X535" s="152"/>
      <c r="Y535" s="152"/>
      <c r="Z535" s="152"/>
      <c r="AA535" s="152"/>
      <c r="AB535" s="152"/>
      <c r="AC535" s="152"/>
      <c r="AD535" s="152">
        <v>9600</v>
      </c>
      <c r="AE535" s="152"/>
      <c r="AF535" s="152"/>
      <c r="AG535" s="152"/>
      <c r="AH535" s="152"/>
      <c r="AI535" s="152"/>
      <c r="AJ535" s="152"/>
      <c r="AK535" s="152"/>
    </row>
    <row r="536" spans="4:37" ht="12.75">
      <c r="D536" s="37"/>
      <c r="E536" s="151"/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  <c r="X536" s="152"/>
      <c r="Y536" s="152"/>
      <c r="Z536" s="152"/>
      <c r="AA536" s="152"/>
      <c r="AB536" s="152"/>
      <c r="AC536" s="152"/>
      <c r="AD536" s="152">
        <v>288700</v>
      </c>
      <c r="AE536" s="152"/>
      <c r="AF536" s="152"/>
      <c r="AG536" s="152"/>
      <c r="AH536" s="152"/>
      <c r="AI536" s="152"/>
      <c r="AJ536" s="152"/>
      <c r="AK536" s="152"/>
    </row>
    <row r="537" spans="4:37" ht="12.75">
      <c r="D537" s="37"/>
      <c r="E537" s="151">
        <v>372000</v>
      </c>
      <c r="F537" s="152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  <c r="X537" s="152"/>
      <c r="Y537" s="152"/>
      <c r="Z537" s="152"/>
      <c r="AA537" s="152"/>
      <c r="AB537" s="152"/>
      <c r="AC537" s="152"/>
      <c r="AD537" s="153">
        <f>SUM(AD516:AD536)</f>
        <v>-4918788</v>
      </c>
      <c r="AE537" s="153" t="s">
        <v>66</v>
      </c>
      <c r="AF537" s="153"/>
      <c r="AG537" s="153"/>
      <c r="AH537" s="153"/>
      <c r="AI537" s="153"/>
      <c r="AJ537" s="153"/>
      <c r="AK537" s="153"/>
    </row>
    <row r="538" spans="4:37" ht="12.75">
      <c r="D538" s="37"/>
      <c r="E538" s="151">
        <v>400000</v>
      </c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  <c r="Y538" s="152"/>
      <c r="Z538" s="152"/>
      <c r="AA538" s="152"/>
      <c r="AB538" s="152"/>
      <c r="AC538" s="152"/>
      <c r="AD538" s="152"/>
      <c r="AE538" s="152"/>
      <c r="AF538" s="152"/>
      <c r="AG538" s="152"/>
      <c r="AH538" s="152"/>
      <c r="AI538" s="152"/>
      <c r="AJ538" s="152"/>
      <c r="AK538" s="152"/>
    </row>
    <row r="539" spans="4:37" ht="12.75">
      <c r="D539" s="37"/>
      <c r="E539" s="154">
        <v>13687</v>
      </c>
      <c r="F539" s="155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</row>
    <row r="540" spans="4:37" ht="12.75">
      <c r="D540" s="37"/>
      <c r="E540" s="154">
        <v>3355048</v>
      </c>
      <c r="F540" s="155"/>
      <c r="G540" s="155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</row>
    <row r="541" spans="4:37" ht="12.75">
      <c r="D541" s="37"/>
      <c r="E541" s="154">
        <v>17118273</v>
      </c>
      <c r="F541" s="155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</row>
    <row r="542" spans="4:37" ht="12.75">
      <c r="D542" s="37"/>
      <c r="E542" s="151">
        <v>526290</v>
      </c>
      <c r="F542" s="152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  <c r="Y542" s="152"/>
      <c r="Z542" s="152"/>
      <c r="AA542" s="152"/>
      <c r="AB542" s="152"/>
      <c r="AC542" s="152"/>
      <c r="AD542" s="152"/>
      <c r="AE542" s="152"/>
      <c r="AF542" s="152"/>
      <c r="AG542" s="152"/>
      <c r="AH542" s="152"/>
      <c r="AI542" s="152"/>
      <c r="AJ542" s="152"/>
      <c r="AK542" s="152"/>
    </row>
    <row r="543" spans="4:37" ht="12.75">
      <c r="D543" s="37"/>
      <c r="E543" s="154">
        <v>447149</v>
      </c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</row>
    <row r="544" spans="4:37" ht="12.75">
      <c r="D544" s="37"/>
      <c r="E544" s="154">
        <v>61433</v>
      </c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</row>
    <row r="545" spans="4:37" ht="12.75">
      <c r="D545" s="37"/>
      <c r="E545" s="154">
        <v>101210</v>
      </c>
      <c r="F545" s="155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</row>
    <row r="546" spans="4:37" ht="12.75">
      <c r="D546" s="37"/>
      <c r="E546" s="151">
        <v>60000</v>
      </c>
      <c r="F546" s="152"/>
      <c r="G546" s="152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  <c r="Y546" s="152"/>
      <c r="Z546" s="152"/>
      <c r="AA546" s="152"/>
      <c r="AB546" s="152"/>
      <c r="AC546" s="152"/>
      <c r="AD546" s="152"/>
      <c r="AE546" s="152"/>
      <c r="AF546" s="152"/>
      <c r="AG546" s="152"/>
      <c r="AH546" s="152"/>
      <c r="AI546" s="152"/>
      <c r="AJ546" s="152"/>
      <c r="AK546" s="152"/>
    </row>
    <row r="547" spans="4:37" ht="12.75">
      <c r="D547" s="37"/>
      <c r="E547" s="151">
        <v>6479100</v>
      </c>
      <c r="F547" s="152"/>
      <c r="G547" s="152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  <c r="Y547" s="152"/>
      <c r="Z547" s="152"/>
      <c r="AA547" s="152"/>
      <c r="AB547" s="152"/>
      <c r="AC547" s="152"/>
      <c r="AD547" s="152"/>
      <c r="AE547" s="152"/>
      <c r="AF547" s="152"/>
      <c r="AG547" s="152"/>
      <c r="AH547" s="152"/>
      <c r="AI547" s="152"/>
      <c r="AJ547" s="152"/>
      <c r="AK547" s="152"/>
    </row>
    <row r="548" spans="4:37" ht="12.75">
      <c r="D548" s="37"/>
      <c r="E548" s="151">
        <v>156600</v>
      </c>
      <c r="F548" s="152"/>
      <c r="G548" s="152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  <c r="Y548" s="152"/>
      <c r="Z548" s="152"/>
      <c r="AA548" s="152"/>
      <c r="AB548" s="152"/>
      <c r="AC548" s="152"/>
      <c r="AD548" s="152"/>
      <c r="AE548" s="152"/>
      <c r="AF548" s="152"/>
      <c r="AG548" s="152"/>
      <c r="AH548" s="152"/>
      <c r="AI548" s="152"/>
      <c r="AJ548" s="152"/>
      <c r="AK548" s="152"/>
    </row>
    <row r="549" spans="4:37" ht="12.75">
      <c r="D549" s="37"/>
      <c r="E549" s="151">
        <v>5000</v>
      </c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  <c r="Y549" s="152"/>
      <c r="Z549" s="152"/>
      <c r="AA549" s="152"/>
      <c r="AB549" s="152"/>
      <c r="AC549" s="152"/>
      <c r="AD549" s="152"/>
      <c r="AE549" s="152"/>
      <c r="AF549" s="152"/>
      <c r="AG549" s="152"/>
      <c r="AH549" s="152"/>
      <c r="AI549" s="152"/>
      <c r="AJ549" s="152"/>
      <c r="AK549" s="152"/>
    </row>
    <row r="550" spans="4:37" ht="12.75">
      <c r="D550" s="37"/>
      <c r="E550" s="151"/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  <c r="Y550" s="152"/>
      <c r="Z550" s="152"/>
      <c r="AA550" s="152"/>
      <c r="AB550" s="152"/>
      <c r="AC550" s="152"/>
      <c r="AD550" s="152"/>
      <c r="AE550" s="152"/>
      <c r="AF550" s="152"/>
      <c r="AG550" s="152"/>
      <c r="AH550" s="152"/>
      <c r="AI550" s="152"/>
      <c r="AJ550" s="152"/>
      <c r="AK550" s="152"/>
    </row>
    <row r="551" spans="4:37" ht="12.75">
      <c r="D551" s="37"/>
      <c r="E551" s="151">
        <v>16413000</v>
      </c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  <c r="Y551" s="152"/>
      <c r="Z551" s="152"/>
      <c r="AA551" s="152"/>
      <c r="AB551" s="152"/>
      <c r="AC551" s="152"/>
      <c r="AD551" s="152"/>
      <c r="AE551" s="152"/>
      <c r="AF551" s="152"/>
      <c r="AG551" s="152"/>
      <c r="AH551" s="152"/>
      <c r="AI551" s="152"/>
      <c r="AJ551" s="152"/>
      <c r="AK551" s="152"/>
    </row>
    <row r="552" spans="4:37" ht="12.75">
      <c r="D552" s="37"/>
      <c r="E552" s="150">
        <f>SUM(E515:E551)</f>
        <v>45508790</v>
      </c>
      <c r="F552" s="156"/>
      <c r="G552" s="156"/>
      <c r="H552" s="156"/>
      <c r="I552" s="156"/>
      <c r="J552" s="156"/>
      <c r="K552" s="156"/>
      <c r="L552" s="156"/>
      <c r="M552" s="156"/>
      <c r="N552" s="156"/>
      <c r="O552" s="156"/>
      <c r="P552" s="156"/>
      <c r="Q552" s="156"/>
      <c r="R552" s="156"/>
      <c r="S552" s="156"/>
      <c r="T552" s="156"/>
      <c r="U552" s="156"/>
      <c r="V552" s="156"/>
      <c r="W552" s="156"/>
      <c r="X552" s="156"/>
      <c r="Y552" s="156"/>
      <c r="Z552" s="156"/>
      <c r="AA552" s="156"/>
      <c r="AB552" s="156"/>
      <c r="AC552" s="156"/>
      <c r="AD552" s="156"/>
      <c r="AE552" s="156"/>
      <c r="AF552" s="156"/>
      <c r="AG552" s="156"/>
      <c r="AH552" s="156"/>
      <c r="AI552" s="156"/>
      <c r="AJ552" s="156"/>
      <c r="AK552" s="156"/>
    </row>
    <row r="553" spans="4:37" ht="12.75">
      <c r="D553" s="37"/>
      <c r="E553" s="150"/>
      <c r="F553" s="156"/>
      <c r="G553" s="156"/>
      <c r="H553" s="156"/>
      <c r="I553" s="156"/>
      <c r="J553" s="156"/>
      <c r="K553" s="156"/>
      <c r="L553" s="156"/>
      <c r="M553" s="156"/>
      <c r="N553" s="156"/>
      <c r="O553" s="156"/>
      <c r="P553" s="156"/>
      <c r="Q553" s="156"/>
      <c r="R553" s="156"/>
      <c r="S553" s="156"/>
      <c r="T553" s="156"/>
      <c r="U553" s="156"/>
      <c r="V553" s="156"/>
      <c r="W553" s="156"/>
      <c r="X553" s="156"/>
      <c r="Y553" s="156"/>
      <c r="Z553" s="156"/>
      <c r="AA553" s="156"/>
      <c r="AB553" s="156"/>
      <c r="AC553" s="156"/>
      <c r="AD553" s="156"/>
      <c r="AE553" s="156"/>
      <c r="AF553" s="156"/>
      <c r="AG553" s="156"/>
      <c r="AH553" s="156"/>
      <c r="AI553" s="156"/>
      <c r="AJ553" s="156"/>
      <c r="AK553" s="156"/>
    </row>
    <row r="554" spans="1:37" s="19" customFormat="1" ht="19.5" customHeight="1">
      <c r="A554" s="157"/>
      <c r="B554" s="157"/>
      <c r="C554" s="157"/>
      <c r="D554" s="157"/>
      <c r="E554" s="158"/>
      <c r="F554" s="158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  <c r="AA554" s="158"/>
      <c r="AB554" s="158"/>
      <c r="AC554" s="158"/>
      <c r="AD554" s="158"/>
      <c r="AE554" s="158"/>
      <c r="AF554" s="158"/>
      <c r="AG554" s="158"/>
      <c r="AH554" s="158"/>
      <c r="AI554" s="158"/>
      <c r="AJ554" s="158"/>
      <c r="AK554" s="158"/>
    </row>
    <row r="555" spans="1:37" s="19" customFormat="1" ht="12.75">
      <c r="A555" s="157"/>
      <c r="B555" s="157"/>
      <c r="C555" s="157"/>
      <c r="D555" s="157"/>
      <c r="E555" s="158"/>
      <c r="F555" s="158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  <c r="AA555" s="158"/>
      <c r="AB555" s="158"/>
      <c r="AC555" s="158"/>
      <c r="AD555" s="158"/>
      <c r="AE555" s="158"/>
      <c r="AF555" s="158"/>
      <c r="AG555" s="158"/>
      <c r="AH555" s="158"/>
      <c r="AI555" s="158"/>
      <c r="AJ555" s="158"/>
      <c r="AK555" s="158"/>
    </row>
    <row r="556" spans="1:37" s="19" customFormat="1" ht="12.75">
      <c r="A556" s="157"/>
      <c r="B556" s="157"/>
      <c r="C556" s="157"/>
      <c r="D556" s="157"/>
      <c r="E556" s="158"/>
      <c r="F556" s="158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  <c r="AA556" s="158"/>
      <c r="AB556" s="158"/>
      <c r="AC556" s="158"/>
      <c r="AD556" s="158"/>
      <c r="AE556" s="158"/>
      <c r="AF556" s="158"/>
      <c r="AG556" s="158"/>
      <c r="AH556" s="158"/>
      <c r="AI556" s="158"/>
      <c r="AJ556" s="158"/>
      <c r="AK556" s="158"/>
    </row>
    <row r="557" spans="1:37" s="19" customFormat="1" ht="12.75">
      <c r="A557" s="157"/>
      <c r="B557" s="157"/>
      <c r="C557" s="157"/>
      <c r="D557" s="157"/>
      <c r="E557" s="158"/>
      <c r="F557" s="158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  <c r="AA557" s="158"/>
      <c r="AB557" s="158"/>
      <c r="AC557" s="158"/>
      <c r="AD557" s="158"/>
      <c r="AE557" s="158"/>
      <c r="AF557" s="158"/>
      <c r="AG557" s="158"/>
      <c r="AH557" s="158"/>
      <c r="AI557" s="158"/>
      <c r="AJ557" s="158"/>
      <c r="AK557" s="158"/>
    </row>
    <row r="558" spans="1:37" s="19" customFormat="1" ht="12.75">
      <c r="A558" s="157"/>
      <c r="B558" s="157"/>
      <c r="C558" s="157"/>
      <c r="D558" s="157"/>
      <c r="E558" s="158"/>
      <c r="F558" s="158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  <c r="AA558" s="158"/>
      <c r="AB558" s="158"/>
      <c r="AC558" s="158"/>
      <c r="AD558" s="158"/>
      <c r="AE558" s="158"/>
      <c r="AF558" s="158"/>
      <c r="AG558" s="158"/>
      <c r="AH558" s="158"/>
      <c r="AI558" s="158"/>
      <c r="AJ558" s="158"/>
      <c r="AK558" s="158"/>
    </row>
    <row r="559" spans="1:37" s="19" customFormat="1" ht="12.75">
      <c r="A559" s="157"/>
      <c r="B559" s="157"/>
      <c r="C559" s="157"/>
      <c r="D559" s="157"/>
      <c r="E559" s="158"/>
      <c r="F559" s="158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  <c r="AA559" s="158"/>
      <c r="AB559" s="158"/>
      <c r="AC559" s="158"/>
      <c r="AD559" s="158"/>
      <c r="AE559" s="158"/>
      <c r="AF559" s="158"/>
      <c r="AG559" s="158"/>
      <c r="AH559" s="158"/>
      <c r="AI559" s="158"/>
      <c r="AJ559" s="158"/>
      <c r="AK559" s="158"/>
    </row>
    <row r="560" spans="1:37" s="19" customFormat="1" ht="12.75">
      <c r="A560" s="157"/>
      <c r="B560" s="157"/>
      <c r="C560" s="157"/>
      <c r="D560" s="157"/>
      <c r="E560" s="158"/>
      <c r="F560" s="158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  <c r="AA560" s="158"/>
      <c r="AB560" s="158"/>
      <c r="AC560" s="158"/>
      <c r="AD560" s="158"/>
      <c r="AE560" s="158"/>
      <c r="AF560" s="158"/>
      <c r="AG560" s="158"/>
      <c r="AH560" s="158"/>
      <c r="AI560" s="158"/>
      <c r="AJ560" s="158"/>
      <c r="AK560" s="158"/>
    </row>
    <row r="561" spans="1:37" s="19" customFormat="1" ht="12.75">
      <c r="A561" s="157"/>
      <c r="B561" s="157"/>
      <c r="C561" s="157"/>
      <c r="D561" s="157"/>
      <c r="E561" s="158"/>
      <c r="F561" s="158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  <c r="AA561" s="158"/>
      <c r="AB561" s="158"/>
      <c r="AC561" s="158"/>
      <c r="AD561" s="158"/>
      <c r="AE561" s="158"/>
      <c r="AF561" s="158"/>
      <c r="AG561" s="158"/>
      <c r="AH561" s="158"/>
      <c r="AI561" s="158"/>
      <c r="AJ561" s="158"/>
      <c r="AK561" s="158"/>
    </row>
    <row r="562" spans="1:37" s="19" customFormat="1" ht="12.75">
      <c r="A562" s="157"/>
      <c r="B562" s="157"/>
      <c r="C562" s="157"/>
      <c r="D562" s="157"/>
      <c r="E562" s="158"/>
      <c r="F562" s="158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  <c r="AA562" s="158"/>
      <c r="AB562" s="158"/>
      <c r="AC562" s="158"/>
      <c r="AD562" s="158"/>
      <c r="AE562" s="158"/>
      <c r="AF562" s="158"/>
      <c r="AG562" s="158"/>
      <c r="AH562" s="158"/>
      <c r="AI562" s="158"/>
      <c r="AJ562" s="158"/>
      <c r="AK562" s="158"/>
    </row>
    <row r="563" spans="1:37" s="19" customFormat="1" ht="12.75">
      <c r="A563" s="157"/>
      <c r="B563" s="157"/>
      <c r="C563" s="157"/>
      <c r="D563" s="157"/>
      <c r="E563" s="158"/>
      <c r="F563" s="158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  <c r="AA563" s="158"/>
      <c r="AB563" s="158"/>
      <c r="AC563" s="158"/>
      <c r="AD563" s="158"/>
      <c r="AE563" s="158"/>
      <c r="AF563" s="158"/>
      <c r="AG563" s="158"/>
      <c r="AH563" s="158"/>
      <c r="AI563" s="158"/>
      <c r="AJ563" s="158"/>
      <c r="AK563" s="158"/>
    </row>
    <row r="564" spans="1:37" s="19" customFormat="1" ht="12.75">
      <c r="A564" s="157"/>
      <c r="B564" s="157"/>
      <c r="C564" s="157"/>
      <c r="D564" s="157"/>
      <c r="E564" s="158"/>
      <c r="F564" s="158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  <c r="AA564" s="158"/>
      <c r="AB564" s="158"/>
      <c r="AC564" s="158"/>
      <c r="AD564" s="158"/>
      <c r="AE564" s="158"/>
      <c r="AF564" s="158"/>
      <c r="AG564" s="158"/>
      <c r="AH564" s="158"/>
      <c r="AI564" s="158"/>
      <c r="AJ564" s="158"/>
      <c r="AK564" s="158"/>
    </row>
    <row r="565" spans="1:37" s="19" customFormat="1" ht="12.75">
      <c r="A565" s="157"/>
      <c r="B565" s="157"/>
      <c r="C565" s="157"/>
      <c r="D565" s="157"/>
      <c r="E565" s="158"/>
      <c r="F565" s="158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  <c r="AA565" s="158"/>
      <c r="AB565" s="158"/>
      <c r="AC565" s="158"/>
      <c r="AD565" s="158"/>
      <c r="AE565" s="158"/>
      <c r="AF565" s="158"/>
      <c r="AG565" s="158"/>
      <c r="AH565" s="158"/>
      <c r="AI565" s="158"/>
      <c r="AJ565" s="158"/>
      <c r="AK565" s="158"/>
    </row>
    <row r="566" spans="1:37" s="19" customFormat="1" ht="12.75">
      <c r="A566" s="157"/>
      <c r="B566" s="157"/>
      <c r="C566" s="157"/>
      <c r="D566" s="157"/>
      <c r="E566" s="158"/>
      <c r="F566" s="158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  <c r="AA566" s="158"/>
      <c r="AB566" s="158"/>
      <c r="AC566" s="158"/>
      <c r="AD566" s="158"/>
      <c r="AE566" s="158"/>
      <c r="AF566" s="158"/>
      <c r="AG566" s="158"/>
      <c r="AH566" s="158"/>
      <c r="AI566" s="158"/>
      <c r="AJ566" s="158"/>
      <c r="AK566" s="158"/>
    </row>
    <row r="567" spans="1:37" s="19" customFormat="1" ht="12.75">
      <c r="A567" s="157"/>
      <c r="B567" s="157"/>
      <c r="C567" s="157"/>
      <c r="D567" s="157"/>
      <c r="E567" s="158"/>
      <c r="F567" s="158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  <c r="AA567" s="158"/>
      <c r="AB567" s="158"/>
      <c r="AC567" s="158"/>
      <c r="AD567" s="158"/>
      <c r="AE567" s="158"/>
      <c r="AF567" s="158"/>
      <c r="AG567" s="158"/>
      <c r="AH567" s="158"/>
      <c r="AI567" s="158"/>
      <c r="AJ567" s="158"/>
      <c r="AK567" s="158"/>
    </row>
    <row r="568" spans="1:37" s="19" customFormat="1" ht="12.75">
      <c r="A568" s="157"/>
      <c r="B568" s="157"/>
      <c r="C568" s="157"/>
      <c r="D568" s="157"/>
      <c r="E568" s="158"/>
      <c r="F568" s="158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  <c r="AA568" s="158"/>
      <c r="AB568" s="158"/>
      <c r="AC568" s="158"/>
      <c r="AD568" s="158"/>
      <c r="AE568" s="158"/>
      <c r="AF568" s="158"/>
      <c r="AG568" s="158"/>
      <c r="AH568" s="158"/>
      <c r="AI568" s="158"/>
      <c r="AJ568" s="158"/>
      <c r="AK568" s="158"/>
    </row>
    <row r="569" spans="1:37" s="19" customFormat="1" ht="12.75">
      <c r="A569" s="157"/>
      <c r="B569" s="157"/>
      <c r="C569" s="157"/>
      <c r="D569" s="157"/>
      <c r="E569" s="158"/>
      <c r="F569" s="15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  <c r="AA569" s="158"/>
      <c r="AB569" s="158"/>
      <c r="AC569" s="158"/>
      <c r="AD569" s="158"/>
      <c r="AE569" s="158"/>
      <c r="AF569" s="158"/>
      <c r="AG569" s="158"/>
      <c r="AH569" s="158"/>
      <c r="AI569" s="158"/>
      <c r="AJ569" s="158"/>
      <c r="AK569" s="158"/>
    </row>
    <row r="570" spans="1:37" s="19" customFormat="1" ht="12.75">
      <c r="A570" s="157"/>
      <c r="B570" s="157"/>
      <c r="C570" s="157"/>
      <c r="D570" s="157"/>
      <c r="E570" s="158"/>
      <c r="F570" s="158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  <c r="AA570" s="158"/>
      <c r="AB570" s="158"/>
      <c r="AC570" s="158"/>
      <c r="AD570" s="158"/>
      <c r="AE570" s="158"/>
      <c r="AF570" s="158"/>
      <c r="AG570" s="158"/>
      <c r="AH570" s="158"/>
      <c r="AI570" s="158"/>
      <c r="AJ570" s="158"/>
      <c r="AK570" s="158"/>
    </row>
    <row r="571" spans="1:37" s="19" customFormat="1" ht="12.75">
      <c r="A571" s="157"/>
      <c r="B571" s="157"/>
      <c r="C571" s="157"/>
      <c r="D571" s="157"/>
      <c r="E571" s="158"/>
      <c r="F571" s="158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  <c r="AA571" s="158"/>
      <c r="AB571" s="158"/>
      <c r="AC571" s="158"/>
      <c r="AD571" s="158"/>
      <c r="AE571" s="158"/>
      <c r="AF571" s="158"/>
      <c r="AG571" s="158"/>
      <c r="AH571" s="158"/>
      <c r="AI571" s="158"/>
      <c r="AJ571" s="158"/>
      <c r="AK571" s="158"/>
    </row>
    <row r="572" spans="1:37" s="19" customFormat="1" ht="12.75">
      <c r="A572" s="157"/>
      <c r="B572" s="157"/>
      <c r="C572" s="157"/>
      <c r="D572" s="157"/>
      <c r="E572" s="158"/>
      <c r="F572" s="158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  <c r="AA572" s="158"/>
      <c r="AB572" s="158"/>
      <c r="AC572" s="158"/>
      <c r="AD572" s="158"/>
      <c r="AE572" s="158"/>
      <c r="AF572" s="158"/>
      <c r="AG572" s="158"/>
      <c r="AH572" s="158"/>
      <c r="AI572" s="158"/>
      <c r="AJ572" s="158"/>
      <c r="AK572" s="158"/>
    </row>
    <row r="573" spans="1:37" s="19" customFormat="1" ht="12.75">
      <c r="A573" s="157"/>
      <c r="B573" s="157"/>
      <c r="C573" s="157"/>
      <c r="D573" s="157"/>
      <c r="E573" s="158"/>
      <c r="F573" s="158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  <c r="AA573" s="158"/>
      <c r="AB573" s="158"/>
      <c r="AC573" s="158"/>
      <c r="AD573" s="158"/>
      <c r="AE573" s="158"/>
      <c r="AF573" s="158"/>
      <c r="AG573" s="158"/>
      <c r="AH573" s="158"/>
      <c r="AI573" s="158"/>
      <c r="AJ573" s="158"/>
      <c r="AK573" s="158"/>
    </row>
    <row r="574" spans="1:37" s="19" customFormat="1" ht="12.75">
      <c r="A574" s="157"/>
      <c r="B574" s="157"/>
      <c r="C574" s="157"/>
      <c r="D574" s="157"/>
      <c r="E574" s="158"/>
      <c r="F574" s="158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  <c r="AA574" s="158"/>
      <c r="AB574" s="158"/>
      <c r="AC574" s="158"/>
      <c r="AD574" s="158"/>
      <c r="AE574" s="158"/>
      <c r="AF574" s="158"/>
      <c r="AG574" s="158"/>
      <c r="AH574" s="158"/>
      <c r="AI574" s="158"/>
      <c r="AJ574" s="158"/>
      <c r="AK574" s="158"/>
    </row>
    <row r="575" spans="1:37" s="19" customFormat="1" ht="12.75">
      <c r="A575" s="157"/>
      <c r="B575" s="157"/>
      <c r="C575" s="157"/>
      <c r="D575" s="157"/>
      <c r="E575" s="158"/>
      <c r="F575" s="158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  <c r="AA575" s="158"/>
      <c r="AB575" s="158"/>
      <c r="AC575" s="158"/>
      <c r="AD575" s="158"/>
      <c r="AE575" s="158"/>
      <c r="AF575" s="158"/>
      <c r="AG575" s="158"/>
      <c r="AH575" s="158"/>
      <c r="AI575" s="158"/>
      <c r="AJ575" s="158"/>
      <c r="AK575" s="158"/>
    </row>
    <row r="576" spans="1:37" s="19" customFormat="1" ht="12.75">
      <c r="A576" s="157"/>
      <c r="B576" s="157"/>
      <c r="C576" s="157"/>
      <c r="D576" s="157"/>
      <c r="E576" s="158"/>
      <c r="F576" s="158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  <c r="AA576" s="158"/>
      <c r="AB576" s="158"/>
      <c r="AC576" s="158"/>
      <c r="AD576" s="158"/>
      <c r="AE576" s="158"/>
      <c r="AF576" s="158"/>
      <c r="AG576" s="158"/>
      <c r="AH576" s="158"/>
      <c r="AI576" s="158"/>
      <c r="AJ576" s="158"/>
      <c r="AK576" s="158"/>
    </row>
    <row r="577" spans="1:37" s="19" customFormat="1" ht="12.75">
      <c r="A577" s="157"/>
      <c r="B577" s="157"/>
      <c r="C577" s="157"/>
      <c r="D577" s="157"/>
      <c r="E577" s="158"/>
      <c r="F577" s="158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  <c r="AA577" s="158"/>
      <c r="AB577" s="158"/>
      <c r="AC577" s="158"/>
      <c r="AD577" s="158"/>
      <c r="AE577" s="158"/>
      <c r="AF577" s="158"/>
      <c r="AG577" s="158"/>
      <c r="AH577" s="158"/>
      <c r="AI577" s="158"/>
      <c r="AJ577" s="158"/>
      <c r="AK577" s="158"/>
    </row>
    <row r="578" spans="1:37" s="19" customFormat="1" ht="12.75">
      <c r="A578" s="157"/>
      <c r="B578" s="157"/>
      <c r="C578" s="157"/>
      <c r="D578" s="157"/>
      <c r="E578" s="158"/>
      <c r="F578" s="158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  <c r="AA578" s="158"/>
      <c r="AB578" s="158"/>
      <c r="AC578" s="158"/>
      <c r="AD578" s="158"/>
      <c r="AE578" s="158"/>
      <c r="AF578" s="158"/>
      <c r="AG578" s="158"/>
      <c r="AH578" s="158"/>
      <c r="AI578" s="158"/>
      <c r="AJ578" s="158"/>
      <c r="AK578" s="158"/>
    </row>
    <row r="579" spans="1:37" s="19" customFormat="1" ht="12.75">
      <c r="A579" s="157"/>
      <c r="B579" s="157"/>
      <c r="C579" s="157"/>
      <c r="D579" s="157"/>
      <c r="E579" s="158"/>
      <c r="F579" s="158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  <c r="AA579" s="158"/>
      <c r="AB579" s="158"/>
      <c r="AC579" s="158"/>
      <c r="AD579" s="158"/>
      <c r="AE579" s="158"/>
      <c r="AF579" s="158"/>
      <c r="AG579" s="158"/>
      <c r="AH579" s="158"/>
      <c r="AI579" s="158"/>
      <c r="AJ579" s="158"/>
      <c r="AK579" s="158"/>
    </row>
    <row r="580" spans="1:37" s="19" customFormat="1" ht="12.75">
      <c r="A580" s="157"/>
      <c r="B580" s="157"/>
      <c r="C580" s="157"/>
      <c r="D580" s="157"/>
      <c r="E580" s="158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  <c r="AA580" s="158"/>
      <c r="AB580" s="158"/>
      <c r="AC580" s="158"/>
      <c r="AD580" s="158"/>
      <c r="AE580" s="158"/>
      <c r="AF580" s="158"/>
      <c r="AG580" s="158"/>
      <c r="AH580" s="158"/>
      <c r="AI580" s="158"/>
      <c r="AJ580" s="158"/>
      <c r="AK580" s="158"/>
    </row>
    <row r="581" spans="1:37" s="19" customFormat="1" ht="12.75">
      <c r="A581" s="157"/>
      <c r="B581" s="157"/>
      <c r="C581" s="157"/>
      <c r="D581" s="157"/>
      <c r="E581" s="158"/>
      <c r="F581" s="15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  <c r="AA581" s="158"/>
      <c r="AB581" s="158"/>
      <c r="AC581" s="158"/>
      <c r="AD581" s="158"/>
      <c r="AE581" s="158"/>
      <c r="AF581" s="158"/>
      <c r="AG581" s="158"/>
      <c r="AH581" s="158"/>
      <c r="AI581" s="158"/>
      <c r="AJ581" s="158"/>
      <c r="AK581" s="158"/>
    </row>
    <row r="582" spans="1:37" s="19" customFormat="1" ht="12.75">
      <c r="A582" s="157"/>
      <c r="B582" s="157"/>
      <c r="C582" s="157"/>
      <c r="D582" s="157"/>
      <c r="E582" s="158"/>
      <c r="F582" s="158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  <c r="AA582" s="158"/>
      <c r="AB582" s="158"/>
      <c r="AC582" s="158"/>
      <c r="AD582" s="158"/>
      <c r="AE582" s="158"/>
      <c r="AF582" s="158"/>
      <c r="AG582" s="158"/>
      <c r="AH582" s="158"/>
      <c r="AI582" s="158"/>
      <c r="AJ582" s="158"/>
      <c r="AK582" s="158"/>
    </row>
    <row r="583" spans="1:37" s="19" customFormat="1" ht="12.75">
      <c r="A583" s="157"/>
      <c r="B583" s="157"/>
      <c r="C583" s="157"/>
      <c r="D583" s="157"/>
      <c r="E583" s="158"/>
      <c r="F583" s="158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  <c r="AA583" s="158"/>
      <c r="AB583" s="158"/>
      <c r="AC583" s="158"/>
      <c r="AD583" s="158"/>
      <c r="AE583" s="158"/>
      <c r="AF583" s="158"/>
      <c r="AG583" s="158"/>
      <c r="AH583" s="158"/>
      <c r="AI583" s="158"/>
      <c r="AJ583" s="158"/>
      <c r="AK583" s="158"/>
    </row>
    <row r="584" spans="1:37" s="19" customFormat="1" ht="12.75">
      <c r="A584" s="157"/>
      <c r="B584" s="157"/>
      <c r="C584" s="157"/>
      <c r="D584" s="157"/>
      <c r="E584" s="158"/>
      <c r="F584" s="158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  <c r="AA584" s="158"/>
      <c r="AB584" s="158"/>
      <c r="AC584" s="158"/>
      <c r="AD584" s="158"/>
      <c r="AE584" s="158"/>
      <c r="AF584" s="158"/>
      <c r="AG584" s="158"/>
      <c r="AH584" s="158"/>
      <c r="AI584" s="158"/>
      <c r="AJ584" s="158"/>
      <c r="AK584" s="158"/>
    </row>
    <row r="585" spans="1:37" s="19" customFormat="1" ht="12.75">
      <c r="A585" s="157"/>
      <c r="B585" s="157"/>
      <c r="C585" s="157"/>
      <c r="D585" s="157"/>
      <c r="E585" s="158"/>
      <c r="F585" s="158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  <c r="AA585" s="158"/>
      <c r="AB585" s="158"/>
      <c r="AC585" s="158"/>
      <c r="AD585" s="158"/>
      <c r="AE585" s="158"/>
      <c r="AF585" s="158"/>
      <c r="AG585" s="158"/>
      <c r="AH585" s="158"/>
      <c r="AI585" s="158"/>
      <c r="AJ585" s="158"/>
      <c r="AK585" s="158"/>
    </row>
    <row r="586" spans="1:37" s="19" customFormat="1" ht="12.75">
      <c r="A586" s="157"/>
      <c r="B586" s="157"/>
      <c r="C586" s="157"/>
      <c r="D586" s="157"/>
      <c r="E586" s="158"/>
      <c r="F586" s="158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  <c r="AA586" s="158"/>
      <c r="AB586" s="158"/>
      <c r="AC586" s="158"/>
      <c r="AD586" s="158"/>
      <c r="AE586" s="158"/>
      <c r="AF586" s="158"/>
      <c r="AG586" s="158"/>
      <c r="AH586" s="158"/>
      <c r="AI586" s="158"/>
      <c r="AJ586" s="158"/>
      <c r="AK586" s="158"/>
    </row>
    <row r="587" spans="1:37" s="19" customFormat="1" ht="12.75">
      <c r="A587" s="157"/>
      <c r="B587" s="157"/>
      <c r="C587" s="157"/>
      <c r="D587" s="157"/>
      <c r="E587" s="158"/>
      <c r="F587" s="158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  <c r="AA587" s="158"/>
      <c r="AB587" s="158"/>
      <c r="AC587" s="158"/>
      <c r="AD587" s="158"/>
      <c r="AE587" s="158"/>
      <c r="AF587" s="158"/>
      <c r="AG587" s="158"/>
      <c r="AH587" s="158"/>
      <c r="AI587" s="158"/>
      <c r="AJ587" s="158"/>
      <c r="AK587" s="158"/>
    </row>
    <row r="588" spans="1:37" s="19" customFormat="1" ht="12.75">
      <c r="A588" s="157"/>
      <c r="B588" s="157"/>
      <c r="C588" s="157"/>
      <c r="D588" s="157"/>
      <c r="E588" s="158"/>
      <c r="F588" s="158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  <c r="AA588" s="158"/>
      <c r="AB588" s="158"/>
      <c r="AC588" s="158"/>
      <c r="AD588" s="158"/>
      <c r="AE588" s="158"/>
      <c r="AF588" s="158"/>
      <c r="AG588" s="158"/>
      <c r="AH588" s="158"/>
      <c r="AI588" s="158"/>
      <c r="AJ588" s="158"/>
      <c r="AK588" s="158"/>
    </row>
    <row r="589" spans="1:37" s="19" customFormat="1" ht="12.75">
      <c r="A589" s="157"/>
      <c r="B589" s="157"/>
      <c r="C589" s="157"/>
      <c r="D589" s="157"/>
      <c r="E589" s="158"/>
      <c r="F589" s="158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  <c r="AA589" s="158"/>
      <c r="AB589" s="158"/>
      <c r="AC589" s="158"/>
      <c r="AD589" s="158"/>
      <c r="AE589" s="158"/>
      <c r="AF589" s="158"/>
      <c r="AG589" s="158"/>
      <c r="AH589" s="158"/>
      <c r="AI589" s="158"/>
      <c r="AJ589" s="158"/>
      <c r="AK589" s="158"/>
    </row>
    <row r="590" spans="1:37" s="19" customFormat="1" ht="12.75">
      <c r="A590" s="157"/>
      <c r="B590" s="157"/>
      <c r="C590" s="157"/>
      <c r="D590" s="157"/>
      <c r="E590" s="158"/>
      <c r="F590" s="158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  <c r="AA590" s="158"/>
      <c r="AB590" s="158"/>
      <c r="AC590" s="158"/>
      <c r="AD590" s="158"/>
      <c r="AE590" s="158"/>
      <c r="AF590" s="158"/>
      <c r="AG590" s="158"/>
      <c r="AH590" s="158"/>
      <c r="AI590" s="158"/>
      <c r="AJ590" s="158"/>
      <c r="AK590" s="158"/>
    </row>
    <row r="591" spans="1:37" s="19" customFormat="1" ht="12.75">
      <c r="A591" s="157"/>
      <c r="B591" s="157"/>
      <c r="C591" s="157"/>
      <c r="D591" s="157"/>
      <c r="E591" s="158"/>
      <c r="F591" s="158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  <c r="AA591" s="158"/>
      <c r="AB591" s="158"/>
      <c r="AC591" s="158"/>
      <c r="AD591" s="158"/>
      <c r="AE591" s="158"/>
      <c r="AF591" s="158"/>
      <c r="AG591" s="158"/>
      <c r="AH591" s="158"/>
      <c r="AI591" s="158"/>
      <c r="AJ591" s="158"/>
      <c r="AK591" s="158"/>
    </row>
    <row r="592" spans="1:37" s="19" customFormat="1" ht="12.75">
      <c r="A592" s="157"/>
      <c r="B592" s="157"/>
      <c r="C592" s="157"/>
      <c r="D592" s="157"/>
      <c r="E592" s="158"/>
      <c r="F592" s="158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  <c r="AA592" s="158"/>
      <c r="AB592" s="158"/>
      <c r="AC592" s="158"/>
      <c r="AD592" s="158"/>
      <c r="AE592" s="158"/>
      <c r="AF592" s="158"/>
      <c r="AG592" s="158"/>
      <c r="AH592" s="158"/>
      <c r="AI592" s="158"/>
      <c r="AJ592" s="158"/>
      <c r="AK592" s="158"/>
    </row>
    <row r="593" spans="1:37" s="19" customFormat="1" ht="12.75">
      <c r="A593" s="157"/>
      <c r="B593" s="157"/>
      <c r="C593" s="157"/>
      <c r="D593" s="157"/>
      <c r="E593" s="158"/>
      <c r="F593" s="158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  <c r="AA593" s="158"/>
      <c r="AB593" s="158"/>
      <c r="AC593" s="158"/>
      <c r="AD593" s="158"/>
      <c r="AE593" s="158"/>
      <c r="AF593" s="158"/>
      <c r="AG593" s="158"/>
      <c r="AH593" s="158"/>
      <c r="AI593" s="158"/>
      <c r="AJ593" s="158"/>
      <c r="AK593" s="158"/>
    </row>
    <row r="594" spans="1:37" s="19" customFormat="1" ht="12.75">
      <c r="A594" s="159"/>
      <c r="B594" s="159"/>
      <c r="C594" s="157"/>
      <c r="D594" s="157"/>
      <c r="E594" s="158"/>
      <c r="F594" s="158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  <c r="AA594" s="158"/>
      <c r="AB594" s="158"/>
      <c r="AC594" s="158"/>
      <c r="AD594" s="158"/>
      <c r="AE594" s="158"/>
      <c r="AF594" s="158"/>
      <c r="AG594" s="158"/>
      <c r="AH594" s="158"/>
      <c r="AI594" s="158"/>
      <c r="AJ594" s="158"/>
      <c r="AK594" s="158"/>
    </row>
    <row r="595" spans="1:37" s="19" customFormat="1" ht="12.75">
      <c r="A595" s="160"/>
      <c r="B595" s="160"/>
      <c r="C595" s="157"/>
      <c r="D595" s="157"/>
      <c r="E595" s="158"/>
      <c r="F595" s="158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  <c r="AA595" s="158"/>
      <c r="AB595" s="158"/>
      <c r="AC595" s="158"/>
      <c r="AD595" s="158"/>
      <c r="AE595" s="158"/>
      <c r="AF595" s="158"/>
      <c r="AG595" s="158"/>
      <c r="AH595" s="158"/>
      <c r="AI595" s="158"/>
      <c r="AJ595" s="158"/>
      <c r="AK595" s="158"/>
    </row>
    <row r="596" spans="1:37" s="19" customFormat="1" ht="12.75">
      <c r="A596" s="160"/>
      <c r="B596" s="160"/>
      <c r="C596" s="157"/>
      <c r="D596" s="157"/>
      <c r="E596" s="158"/>
      <c r="F596" s="15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  <c r="AA596" s="158"/>
      <c r="AB596" s="158"/>
      <c r="AC596" s="158"/>
      <c r="AD596" s="158"/>
      <c r="AE596" s="158"/>
      <c r="AF596" s="158"/>
      <c r="AG596" s="158"/>
      <c r="AH596" s="158"/>
      <c r="AI596" s="158"/>
      <c r="AJ596" s="158"/>
      <c r="AK596" s="158"/>
    </row>
    <row r="597" spans="1:37" s="19" customFormat="1" ht="12.75">
      <c r="A597" s="160"/>
      <c r="B597" s="160"/>
      <c r="C597" s="157"/>
      <c r="D597" s="157"/>
      <c r="E597" s="158"/>
      <c r="F597" s="158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  <c r="AA597" s="158"/>
      <c r="AB597" s="158"/>
      <c r="AC597" s="158"/>
      <c r="AD597" s="158"/>
      <c r="AE597" s="158"/>
      <c r="AF597" s="158"/>
      <c r="AG597" s="158"/>
      <c r="AH597" s="158"/>
      <c r="AI597" s="158"/>
      <c r="AJ597" s="158"/>
      <c r="AK597" s="158"/>
    </row>
    <row r="598" spans="1:37" s="19" customFormat="1" ht="12.75">
      <c r="A598" s="160"/>
      <c r="B598" s="160"/>
      <c r="C598" s="157"/>
      <c r="D598" s="161"/>
      <c r="E598" s="158"/>
      <c r="F598" s="158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  <c r="AA598" s="158"/>
      <c r="AB598" s="158"/>
      <c r="AC598" s="158"/>
      <c r="AD598" s="158"/>
      <c r="AE598" s="158"/>
      <c r="AF598" s="158"/>
      <c r="AG598" s="158"/>
      <c r="AH598" s="158"/>
      <c r="AI598" s="158"/>
      <c r="AJ598" s="158"/>
      <c r="AK598" s="158"/>
    </row>
    <row r="599" spans="1:37" s="19" customFormat="1" ht="12.75">
      <c r="A599" s="160"/>
      <c r="B599" s="160"/>
      <c r="C599" s="157"/>
      <c r="D599" s="161"/>
      <c r="E599" s="158"/>
      <c r="F599" s="158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  <c r="AA599" s="158"/>
      <c r="AB599" s="158"/>
      <c r="AC599" s="158"/>
      <c r="AD599" s="158"/>
      <c r="AE599" s="158"/>
      <c r="AF599" s="158"/>
      <c r="AG599" s="158"/>
      <c r="AH599" s="158"/>
      <c r="AI599" s="158"/>
      <c r="AJ599" s="158"/>
      <c r="AK599" s="158"/>
    </row>
    <row r="600" spans="1:37" s="19" customFormat="1" ht="12.75">
      <c r="A600" s="160"/>
      <c r="B600" s="160"/>
      <c r="C600" s="157"/>
      <c r="D600" s="157"/>
      <c r="E600" s="158"/>
      <c r="F600" s="158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  <c r="AA600" s="158"/>
      <c r="AB600" s="158"/>
      <c r="AC600" s="158"/>
      <c r="AD600" s="158"/>
      <c r="AE600" s="158"/>
      <c r="AF600" s="158"/>
      <c r="AG600" s="158"/>
      <c r="AH600" s="158"/>
      <c r="AI600" s="158"/>
      <c r="AJ600" s="158"/>
      <c r="AK600" s="158"/>
    </row>
    <row r="601" spans="1:37" s="19" customFormat="1" ht="12.75">
      <c r="A601" s="160"/>
      <c r="B601" s="160"/>
      <c r="C601" s="157"/>
      <c r="D601" s="161"/>
      <c r="E601" s="158"/>
      <c r="F601" s="158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  <c r="AA601" s="158"/>
      <c r="AB601" s="158"/>
      <c r="AC601" s="158"/>
      <c r="AD601" s="158"/>
      <c r="AE601" s="158"/>
      <c r="AF601" s="158"/>
      <c r="AG601" s="158"/>
      <c r="AH601" s="158"/>
      <c r="AI601" s="158"/>
      <c r="AJ601" s="158"/>
      <c r="AK601" s="158"/>
    </row>
    <row r="602" spans="1:37" s="19" customFormat="1" ht="12.75">
      <c r="A602" s="160"/>
      <c r="B602" s="160"/>
      <c r="C602" s="157"/>
      <c r="D602" s="161"/>
      <c r="E602" s="158"/>
      <c r="F602" s="158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  <c r="AA602" s="158"/>
      <c r="AB602" s="158"/>
      <c r="AC602" s="158"/>
      <c r="AD602" s="158"/>
      <c r="AE602" s="158"/>
      <c r="AF602" s="158"/>
      <c r="AG602" s="158"/>
      <c r="AH602" s="158"/>
      <c r="AI602" s="158"/>
      <c r="AJ602" s="158"/>
      <c r="AK602" s="158"/>
    </row>
    <row r="603" spans="1:37" s="19" customFormat="1" ht="12.75">
      <c r="A603" s="160"/>
      <c r="B603" s="160"/>
      <c r="C603" s="157"/>
      <c r="D603" s="157"/>
      <c r="E603" s="158"/>
      <c r="F603" s="158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  <c r="AA603" s="158"/>
      <c r="AB603" s="158"/>
      <c r="AC603" s="158"/>
      <c r="AD603" s="158"/>
      <c r="AE603" s="158"/>
      <c r="AF603" s="158"/>
      <c r="AG603" s="158"/>
      <c r="AH603" s="158"/>
      <c r="AI603" s="158"/>
      <c r="AJ603" s="158"/>
      <c r="AK603" s="158"/>
    </row>
    <row r="604" spans="1:37" s="19" customFormat="1" ht="12.75">
      <c r="A604" s="160"/>
      <c r="B604" s="160"/>
      <c r="C604" s="157"/>
      <c r="D604" s="161"/>
      <c r="E604" s="158"/>
      <c r="F604" s="158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  <c r="AA604" s="158"/>
      <c r="AB604" s="158"/>
      <c r="AC604" s="158"/>
      <c r="AD604" s="158"/>
      <c r="AE604" s="158"/>
      <c r="AF604" s="158"/>
      <c r="AG604" s="158"/>
      <c r="AH604" s="158"/>
      <c r="AI604" s="158"/>
      <c r="AJ604" s="158"/>
      <c r="AK604" s="158"/>
    </row>
    <row r="605" spans="1:37" s="19" customFormat="1" ht="12.75">
      <c r="A605" s="160"/>
      <c r="B605" s="160"/>
      <c r="C605" s="157"/>
      <c r="D605" s="161"/>
      <c r="E605" s="158"/>
      <c r="F605" s="158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  <c r="AA605" s="158"/>
      <c r="AB605" s="158"/>
      <c r="AC605" s="158"/>
      <c r="AD605" s="158"/>
      <c r="AE605" s="158"/>
      <c r="AF605" s="158"/>
      <c r="AG605" s="158"/>
      <c r="AH605" s="158"/>
      <c r="AI605" s="158"/>
      <c r="AJ605" s="158"/>
      <c r="AK605" s="158"/>
    </row>
    <row r="606" spans="1:37" s="19" customFormat="1" ht="12.75">
      <c r="A606" s="160"/>
      <c r="B606" s="160"/>
      <c r="C606" s="157"/>
      <c r="D606" s="157"/>
      <c r="E606" s="158"/>
      <c r="F606" s="158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  <c r="AA606" s="158"/>
      <c r="AB606" s="158"/>
      <c r="AC606" s="158"/>
      <c r="AD606" s="158"/>
      <c r="AE606" s="158"/>
      <c r="AF606" s="158"/>
      <c r="AG606" s="158"/>
      <c r="AH606" s="158"/>
      <c r="AI606" s="158"/>
      <c r="AJ606" s="158"/>
      <c r="AK606" s="158"/>
    </row>
    <row r="607" spans="1:37" s="19" customFormat="1" ht="12.75">
      <c r="A607" s="157"/>
      <c r="B607" s="157"/>
      <c r="C607" s="157"/>
      <c r="D607" s="157"/>
      <c r="E607" s="158"/>
      <c r="F607" s="158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  <c r="AA607" s="158"/>
      <c r="AB607" s="158"/>
      <c r="AC607" s="158"/>
      <c r="AD607" s="158"/>
      <c r="AE607" s="158"/>
      <c r="AF607" s="158"/>
      <c r="AG607" s="158"/>
      <c r="AH607" s="158"/>
      <c r="AI607" s="158"/>
      <c r="AJ607" s="158"/>
      <c r="AK607" s="158"/>
    </row>
    <row r="608" spans="1:37" s="19" customFormat="1" ht="12.75">
      <c r="A608" s="157"/>
      <c r="B608" s="157"/>
      <c r="C608" s="157"/>
      <c r="D608" s="157"/>
      <c r="E608" s="158"/>
      <c r="F608" s="158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  <c r="AA608" s="158"/>
      <c r="AB608" s="158"/>
      <c r="AC608" s="158"/>
      <c r="AD608" s="158"/>
      <c r="AE608" s="158"/>
      <c r="AF608" s="158"/>
      <c r="AG608" s="158"/>
      <c r="AH608" s="158"/>
      <c r="AI608" s="158"/>
      <c r="AJ608" s="158"/>
      <c r="AK608" s="158"/>
    </row>
    <row r="609" spans="1:37" s="19" customFormat="1" ht="12.75">
      <c r="A609" s="157"/>
      <c r="B609" s="157"/>
      <c r="C609" s="157"/>
      <c r="D609" s="157"/>
      <c r="E609" s="158"/>
      <c r="F609" s="158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  <c r="AA609" s="158"/>
      <c r="AB609" s="158"/>
      <c r="AC609" s="158"/>
      <c r="AD609" s="158"/>
      <c r="AE609" s="158"/>
      <c r="AF609" s="158"/>
      <c r="AG609" s="158"/>
      <c r="AH609" s="158"/>
      <c r="AI609" s="158"/>
      <c r="AJ609" s="158"/>
      <c r="AK609" s="158"/>
    </row>
    <row r="610" spans="1:37" s="19" customFormat="1" ht="12.75">
      <c r="A610" s="157"/>
      <c r="B610" s="157"/>
      <c r="C610" s="157"/>
      <c r="D610" s="161"/>
      <c r="E610" s="158"/>
      <c r="F610" s="158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  <c r="AA610" s="158"/>
      <c r="AB610" s="158"/>
      <c r="AC610" s="158"/>
      <c r="AD610" s="158"/>
      <c r="AE610" s="158"/>
      <c r="AF610" s="158"/>
      <c r="AG610" s="158"/>
      <c r="AH610" s="158"/>
      <c r="AI610" s="158"/>
      <c r="AJ610" s="158"/>
      <c r="AK610" s="158"/>
    </row>
    <row r="611" spans="1:37" s="19" customFormat="1" ht="12.75">
      <c r="A611" s="157"/>
      <c r="B611" s="157"/>
      <c r="C611" s="157"/>
      <c r="D611" s="157"/>
      <c r="E611" s="158"/>
      <c r="F611" s="158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  <c r="AA611" s="158"/>
      <c r="AB611" s="158"/>
      <c r="AC611" s="158"/>
      <c r="AD611" s="158"/>
      <c r="AE611" s="158"/>
      <c r="AF611" s="158"/>
      <c r="AG611" s="158"/>
      <c r="AH611" s="158"/>
      <c r="AI611" s="158"/>
      <c r="AJ611" s="158"/>
      <c r="AK611" s="158"/>
    </row>
    <row r="612" spans="1:37" s="19" customFormat="1" ht="12.75">
      <c r="A612" s="157"/>
      <c r="B612" s="157"/>
      <c r="C612" s="157"/>
      <c r="D612" s="161"/>
      <c r="E612" s="158"/>
      <c r="F612" s="158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  <c r="AA612" s="158"/>
      <c r="AB612" s="158"/>
      <c r="AC612" s="158"/>
      <c r="AD612" s="158"/>
      <c r="AE612" s="158"/>
      <c r="AF612" s="158"/>
      <c r="AG612" s="158"/>
      <c r="AH612" s="158"/>
      <c r="AI612" s="158"/>
      <c r="AJ612" s="158"/>
      <c r="AK612" s="158"/>
    </row>
    <row r="613" spans="1:37" s="19" customFormat="1" ht="12.75">
      <c r="A613" s="157"/>
      <c r="B613" s="157"/>
      <c r="C613" s="157"/>
      <c r="D613" s="161"/>
      <c r="E613" s="158"/>
      <c r="F613" s="158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  <c r="AA613" s="158"/>
      <c r="AB613" s="158"/>
      <c r="AC613" s="158"/>
      <c r="AD613" s="158"/>
      <c r="AE613" s="158"/>
      <c r="AF613" s="158"/>
      <c r="AG613" s="158"/>
      <c r="AH613" s="158"/>
      <c r="AI613" s="158"/>
      <c r="AJ613" s="158"/>
      <c r="AK613" s="158"/>
    </row>
    <row r="614" spans="1:37" s="19" customFormat="1" ht="12.75">
      <c r="A614" s="157"/>
      <c r="B614" s="157"/>
      <c r="C614" s="157"/>
      <c r="D614" s="161"/>
      <c r="E614" s="158"/>
      <c r="F614" s="15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  <c r="AA614" s="158"/>
      <c r="AB614" s="158"/>
      <c r="AC614" s="158"/>
      <c r="AD614" s="158"/>
      <c r="AE614" s="158"/>
      <c r="AF614" s="158"/>
      <c r="AG614" s="158"/>
      <c r="AH614" s="158"/>
      <c r="AI614" s="158"/>
      <c r="AJ614" s="158"/>
      <c r="AK614" s="158"/>
    </row>
    <row r="615" spans="1:37" s="19" customFormat="1" ht="12.75">
      <c r="A615" s="157"/>
      <c r="B615" s="157"/>
      <c r="C615" s="157"/>
      <c r="D615" s="157"/>
      <c r="E615" s="158"/>
      <c r="F615" s="158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  <c r="AA615" s="158"/>
      <c r="AB615" s="158"/>
      <c r="AC615" s="158"/>
      <c r="AD615" s="158"/>
      <c r="AE615" s="158"/>
      <c r="AF615" s="158"/>
      <c r="AG615" s="158"/>
      <c r="AH615" s="158"/>
      <c r="AI615" s="158"/>
      <c r="AJ615" s="158"/>
      <c r="AK615" s="158"/>
    </row>
    <row r="616" spans="1:37" s="19" customFormat="1" ht="12.75">
      <c r="A616" s="157"/>
      <c r="B616" s="157"/>
      <c r="C616" s="157"/>
      <c r="D616" s="157"/>
      <c r="E616" s="158"/>
      <c r="F616" s="158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  <c r="AA616" s="158"/>
      <c r="AB616" s="158"/>
      <c r="AC616" s="158"/>
      <c r="AD616" s="158"/>
      <c r="AE616" s="158"/>
      <c r="AF616" s="158"/>
      <c r="AG616" s="158"/>
      <c r="AH616" s="158"/>
      <c r="AI616" s="158"/>
      <c r="AJ616" s="158"/>
      <c r="AK616" s="158"/>
    </row>
    <row r="617" spans="1:37" s="19" customFormat="1" ht="12.75">
      <c r="A617" s="157"/>
      <c r="B617" s="157"/>
      <c r="C617" s="157"/>
      <c r="D617" s="157"/>
      <c r="E617" s="158"/>
      <c r="F617" s="158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  <c r="AA617" s="158"/>
      <c r="AB617" s="158"/>
      <c r="AC617" s="158"/>
      <c r="AD617" s="158"/>
      <c r="AE617" s="158"/>
      <c r="AF617" s="158"/>
      <c r="AG617" s="158"/>
      <c r="AH617" s="158"/>
      <c r="AI617" s="158"/>
      <c r="AJ617" s="158"/>
      <c r="AK617" s="158"/>
    </row>
    <row r="618" spans="1:37" s="19" customFormat="1" ht="12.75">
      <c r="A618" s="157"/>
      <c r="B618" s="157"/>
      <c r="C618" s="157"/>
      <c r="D618" s="157"/>
      <c r="E618" s="158"/>
      <c r="F618" s="158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  <c r="AA618" s="158"/>
      <c r="AB618" s="158"/>
      <c r="AC618" s="158"/>
      <c r="AD618" s="158"/>
      <c r="AE618" s="158"/>
      <c r="AF618" s="158"/>
      <c r="AG618" s="158"/>
      <c r="AH618" s="158"/>
      <c r="AI618" s="158"/>
      <c r="AJ618" s="158"/>
      <c r="AK618" s="158"/>
    </row>
    <row r="619" spans="1:37" s="19" customFormat="1" ht="12.75">
      <c r="A619" s="157"/>
      <c r="B619" s="157"/>
      <c r="C619" s="157"/>
      <c r="D619" s="157"/>
      <c r="E619" s="158"/>
      <c r="F619" s="158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  <c r="AA619" s="158"/>
      <c r="AB619" s="158"/>
      <c r="AC619" s="158"/>
      <c r="AD619" s="158"/>
      <c r="AE619" s="158"/>
      <c r="AF619" s="158"/>
      <c r="AG619" s="158"/>
      <c r="AH619" s="158"/>
      <c r="AI619" s="158"/>
      <c r="AJ619" s="158"/>
      <c r="AK619" s="158"/>
    </row>
    <row r="620" spans="1:37" s="19" customFormat="1" ht="12.75">
      <c r="A620" s="157"/>
      <c r="B620" s="157"/>
      <c r="C620" s="157"/>
      <c r="D620" s="157"/>
      <c r="E620" s="158"/>
      <c r="F620" s="158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  <c r="AA620" s="158"/>
      <c r="AB620" s="158"/>
      <c r="AC620" s="158"/>
      <c r="AD620" s="158"/>
      <c r="AE620" s="158"/>
      <c r="AF620" s="158"/>
      <c r="AG620" s="158"/>
      <c r="AH620" s="158"/>
      <c r="AI620" s="158"/>
      <c r="AJ620" s="158"/>
      <c r="AK620" s="158"/>
    </row>
    <row r="621" spans="1:37" s="19" customFormat="1" ht="12.75">
      <c r="A621" s="157"/>
      <c r="B621" s="157"/>
      <c r="C621" s="157"/>
      <c r="D621" s="157"/>
      <c r="E621" s="158"/>
      <c r="F621" s="158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  <c r="AA621" s="158"/>
      <c r="AB621" s="158"/>
      <c r="AC621" s="158"/>
      <c r="AD621" s="158"/>
      <c r="AE621" s="158"/>
      <c r="AF621" s="158"/>
      <c r="AG621" s="158"/>
      <c r="AH621" s="158"/>
      <c r="AI621" s="158"/>
      <c r="AJ621" s="158"/>
      <c r="AK621" s="158"/>
    </row>
    <row r="622" spans="1:37" s="19" customFormat="1" ht="12.75">
      <c r="A622" s="157"/>
      <c r="B622" s="157"/>
      <c r="C622" s="157"/>
      <c r="D622" s="157"/>
      <c r="E622" s="158"/>
      <c r="F622" s="158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  <c r="AA622" s="158"/>
      <c r="AB622" s="158"/>
      <c r="AC622" s="158"/>
      <c r="AD622" s="158"/>
      <c r="AE622" s="158"/>
      <c r="AF622" s="158"/>
      <c r="AG622" s="158"/>
      <c r="AH622" s="158"/>
      <c r="AI622" s="158"/>
      <c r="AJ622" s="158"/>
      <c r="AK622" s="158"/>
    </row>
    <row r="623" spans="1:37" s="19" customFormat="1" ht="12.75">
      <c r="A623" s="157"/>
      <c r="B623" s="157"/>
      <c r="C623" s="157"/>
      <c r="D623" s="157"/>
      <c r="E623" s="158"/>
      <c r="F623" s="158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  <c r="AA623" s="158"/>
      <c r="AB623" s="158"/>
      <c r="AC623" s="158"/>
      <c r="AD623" s="158"/>
      <c r="AE623" s="158"/>
      <c r="AF623" s="158"/>
      <c r="AG623" s="158"/>
      <c r="AH623" s="158"/>
      <c r="AI623" s="158"/>
      <c r="AJ623" s="158"/>
      <c r="AK623" s="158"/>
    </row>
    <row r="624" spans="1:37" s="19" customFormat="1" ht="12.75">
      <c r="A624" s="157"/>
      <c r="B624" s="157"/>
      <c r="C624" s="157"/>
      <c r="D624" s="157"/>
      <c r="E624" s="158"/>
      <c r="F624" s="158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  <c r="AA624" s="158"/>
      <c r="AB624" s="158"/>
      <c r="AC624" s="158"/>
      <c r="AD624" s="158"/>
      <c r="AE624" s="158"/>
      <c r="AF624" s="158"/>
      <c r="AG624" s="158"/>
      <c r="AH624" s="158"/>
      <c r="AI624" s="158"/>
      <c r="AJ624" s="158"/>
      <c r="AK624" s="158"/>
    </row>
    <row r="625" spans="1:37" s="19" customFormat="1" ht="12.75">
      <c r="A625" s="157"/>
      <c r="B625" s="157"/>
      <c r="C625" s="157"/>
      <c r="D625" s="157"/>
      <c r="E625" s="158"/>
      <c r="F625" s="158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  <c r="AA625" s="158"/>
      <c r="AB625" s="158"/>
      <c r="AC625" s="158"/>
      <c r="AD625" s="158"/>
      <c r="AE625" s="158"/>
      <c r="AF625" s="158"/>
      <c r="AG625" s="158"/>
      <c r="AH625" s="158"/>
      <c r="AI625" s="158"/>
      <c r="AJ625" s="158"/>
      <c r="AK625" s="158"/>
    </row>
    <row r="626" spans="1:37" s="19" customFormat="1" ht="12.75">
      <c r="A626" s="157"/>
      <c r="B626" s="157"/>
      <c r="C626" s="157"/>
      <c r="D626" s="157"/>
      <c r="E626" s="158"/>
      <c r="F626" s="158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  <c r="AA626" s="158"/>
      <c r="AB626" s="158"/>
      <c r="AC626" s="158"/>
      <c r="AD626" s="158"/>
      <c r="AE626" s="158"/>
      <c r="AF626" s="158"/>
      <c r="AG626" s="158"/>
      <c r="AH626" s="158"/>
      <c r="AI626" s="158"/>
      <c r="AJ626" s="158"/>
      <c r="AK626" s="158"/>
    </row>
    <row r="627" spans="1:37" s="19" customFormat="1" ht="12.75">
      <c r="A627" s="157"/>
      <c r="B627" s="157"/>
      <c r="C627" s="157"/>
      <c r="D627" s="157"/>
      <c r="E627" s="158"/>
      <c r="F627" s="158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  <c r="AA627" s="158"/>
      <c r="AB627" s="158"/>
      <c r="AC627" s="158"/>
      <c r="AD627" s="158"/>
      <c r="AE627" s="158"/>
      <c r="AF627" s="158"/>
      <c r="AG627" s="158"/>
      <c r="AH627" s="158"/>
      <c r="AI627" s="158"/>
      <c r="AJ627" s="158"/>
      <c r="AK627" s="158"/>
    </row>
    <row r="628" spans="1:37" s="19" customFormat="1" ht="12.75">
      <c r="A628" s="157"/>
      <c r="B628" s="157"/>
      <c r="C628" s="157"/>
      <c r="D628" s="157"/>
      <c r="E628" s="158"/>
      <c r="F628" s="158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  <c r="AA628" s="158"/>
      <c r="AB628" s="158"/>
      <c r="AC628" s="158"/>
      <c r="AD628" s="158"/>
      <c r="AE628" s="158"/>
      <c r="AF628" s="158"/>
      <c r="AG628" s="158"/>
      <c r="AH628" s="158"/>
      <c r="AI628" s="158"/>
      <c r="AJ628" s="158"/>
      <c r="AK628" s="158"/>
    </row>
    <row r="629" spans="1:37" s="19" customFormat="1" ht="12.75">
      <c r="A629" s="157"/>
      <c r="B629" s="157"/>
      <c r="C629" s="157"/>
      <c r="D629" s="157"/>
      <c r="E629" s="158"/>
      <c r="F629" s="158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  <c r="AA629" s="158"/>
      <c r="AB629" s="158"/>
      <c r="AC629" s="158"/>
      <c r="AD629" s="158"/>
      <c r="AE629" s="158"/>
      <c r="AF629" s="158"/>
      <c r="AG629" s="158"/>
      <c r="AH629" s="158"/>
      <c r="AI629" s="158"/>
      <c r="AJ629" s="158"/>
      <c r="AK629" s="158"/>
    </row>
    <row r="630" spans="1:37" s="19" customFormat="1" ht="12.75">
      <c r="A630" s="157"/>
      <c r="B630" s="157"/>
      <c r="C630" s="157"/>
      <c r="D630" s="157"/>
      <c r="E630" s="158"/>
      <c r="F630" s="158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  <c r="AA630" s="158"/>
      <c r="AB630" s="158"/>
      <c r="AC630" s="158"/>
      <c r="AD630" s="158"/>
      <c r="AE630" s="158"/>
      <c r="AF630" s="158"/>
      <c r="AG630" s="158"/>
      <c r="AH630" s="158"/>
      <c r="AI630" s="158"/>
      <c r="AJ630" s="158"/>
      <c r="AK630" s="158"/>
    </row>
    <row r="631" spans="1:37" s="19" customFormat="1" ht="12.75">
      <c r="A631" s="160"/>
      <c r="B631" s="160"/>
      <c r="C631" s="157"/>
      <c r="D631" s="157"/>
      <c r="E631" s="158"/>
      <c r="F631" s="158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  <c r="AA631" s="158"/>
      <c r="AB631" s="158"/>
      <c r="AC631" s="158"/>
      <c r="AD631" s="158"/>
      <c r="AE631" s="158"/>
      <c r="AF631" s="158"/>
      <c r="AG631" s="158"/>
      <c r="AH631" s="158"/>
      <c r="AI631" s="158"/>
      <c r="AJ631" s="158"/>
      <c r="AK631" s="158"/>
    </row>
    <row r="632" spans="1:37" s="19" customFormat="1" ht="12.75">
      <c r="A632" s="157"/>
      <c r="B632" s="157"/>
      <c r="C632" s="157"/>
      <c r="D632" s="157"/>
      <c r="E632" s="158"/>
      <c r="F632" s="158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  <c r="AA632" s="158"/>
      <c r="AB632" s="158"/>
      <c r="AC632" s="158"/>
      <c r="AD632" s="158"/>
      <c r="AE632" s="158"/>
      <c r="AF632" s="158"/>
      <c r="AG632" s="158"/>
      <c r="AH632" s="158"/>
      <c r="AI632" s="158"/>
      <c r="AJ632" s="158"/>
      <c r="AK632" s="158"/>
    </row>
    <row r="633" spans="1:37" s="19" customFormat="1" ht="12.75">
      <c r="A633" s="157"/>
      <c r="B633" s="157"/>
      <c r="C633" s="157"/>
      <c r="D633" s="157"/>
      <c r="E633" s="158"/>
      <c r="F633" s="158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  <c r="AA633" s="158"/>
      <c r="AB633" s="158"/>
      <c r="AC633" s="158"/>
      <c r="AD633" s="158"/>
      <c r="AE633" s="158"/>
      <c r="AF633" s="158"/>
      <c r="AG633" s="158"/>
      <c r="AH633" s="158"/>
      <c r="AI633" s="158"/>
      <c r="AJ633" s="158"/>
      <c r="AK633" s="158"/>
    </row>
    <row r="634" spans="1:37" s="19" customFormat="1" ht="12.75">
      <c r="A634" s="157"/>
      <c r="B634" s="157"/>
      <c r="C634" s="157"/>
      <c r="D634" s="157"/>
      <c r="E634" s="158"/>
      <c r="F634" s="158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  <c r="AA634" s="158"/>
      <c r="AB634" s="158"/>
      <c r="AC634" s="158"/>
      <c r="AD634" s="158"/>
      <c r="AE634" s="158"/>
      <c r="AF634" s="158"/>
      <c r="AG634" s="158"/>
      <c r="AH634" s="158"/>
      <c r="AI634" s="158"/>
      <c r="AJ634" s="158"/>
      <c r="AK634" s="158"/>
    </row>
    <row r="635" spans="1:37" s="19" customFormat="1" ht="12.75">
      <c r="A635" s="157"/>
      <c r="B635" s="157"/>
      <c r="C635" s="157"/>
      <c r="D635" s="157"/>
      <c r="E635" s="158"/>
      <c r="F635" s="158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  <c r="AA635" s="158"/>
      <c r="AB635" s="158"/>
      <c r="AC635" s="158"/>
      <c r="AD635" s="158"/>
      <c r="AE635" s="158"/>
      <c r="AF635" s="158"/>
      <c r="AG635" s="158"/>
      <c r="AH635" s="158"/>
      <c r="AI635" s="158"/>
      <c r="AJ635" s="158"/>
      <c r="AK635" s="158"/>
    </row>
    <row r="636" spans="1:37" s="19" customFormat="1" ht="12.75">
      <c r="A636" s="157"/>
      <c r="B636" s="157"/>
      <c r="C636" s="157"/>
      <c r="D636" s="157"/>
      <c r="E636" s="158"/>
      <c r="F636" s="158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  <c r="AA636" s="158"/>
      <c r="AB636" s="158"/>
      <c r="AC636" s="158"/>
      <c r="AD636" s="158"/>
      <c r="AE636" s="158"/>
      <c r="AF636" s="158"/>
      <c r="AG636" s="158"/>
      <c r="AH636" s="158"/>
      <c r="AI636" s="158"/>
      <c r="AJ636" s="158"/>
      <c r="AK636" s="158"/>
    </row>
    <row r="637" spans="1:37" s="19" customFormat="1" ht="12.75">
      <c r="A637" s="157"/>
      <c r="B637" s="157"/>
      <c r="C637" s="157"/>
      <c r="D637" s="157"/>
      <c r="E637" s="158"/>
      <c r="F637" s="158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  <c r="AA637" s="158"/>
      <c r="AB637" s="158"/>
      <c r="AC637" s="158"/>
      <c r="AD637" s="158"/>
      <c r="AE637" s="158"/>
      <c r="AF637" s="158"/>
      <c r="AG637" s="158"/>
      <c r="AH637" s="158"/>
      <c r="AI637" s="158"/>
      <c r="AJ637" s="158"/>
      <c r="AK637" s="158"/>
    </row>
    <row r="638" spans="1:37" s="19" customFormat="1" ht="12.75">
      <c r="A638" s="160"/>
      <c r="B638" s="160"/>
      <c r="C638" s="157"/>
      <c r="D638" s="157"/>
      <c r="E638" s="158"/>
      <c r="F638" s="158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  <c r="AA638" s="158"/>
      <c r="AB638" s="158"/>
      <c r="AC638" s="158"/>
      <c r="AD638" s="158"/>
      <c r="AE638" s="158"/>
      <c r="AF638" s="158"/>
      <c r="AG638" s="158"/>
      <c r="AH638" s="158"/>
      <c r="AI638" s="158"/>
      <c r="AJ638" s="158"/>
      <c r="AK638" s="158"/>
    </row>
    <row r="639" spans="1:37" s="19" customFormat="1" ht="12.75">
      <c r="A639" s="160"/>
      <c r="B639" s="160"/>
      <c r="C639" s="157"/>
      <c r="D639" s="157"/>
      <c r="E639" s="158"/>
      <c r="F639" s="158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  <c r="AA639" s="158"/>
      <c r="AB639" s="158"/>
      <c r="AC639" s="158"/>
      <c r="AD639" s="158"/>
      <c r="AE639" s="158"/>
      <c r="AF639" s="158"/>
      <c r="AG639" s="158"/>
      <c r="AH639" s="158"/>
      <c r="AI639" s="158"/>
      <c r="AJ639" s="158"/>
      <c r="AK639" s="158"/>
    </row>
    <row r="640" spans="1:37" s="19" customFormat="1" ht="12.75">
      <c r="A640" s="160"/>
      <c r="B640" s="160"/>
      <c r="C640" s="157"/>
      <c r="D640" s="161"/>
      <c r="E640" s="158"/>
      <c r="F640" s="158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  <c r="AA640" s="158"/>
      <c r="AB640" s="158"/>
      <c r="AC640" s="158"/>
      <c r="AD640" s="158"/>
      <c r="AE640" s="158"/>
      <c r="AF640" s="158"/>
      <c r="AG640" s="158"/>
      <c r="AH640" s="158"/>
      <c r="AI640" s="158"/>
      <c r="AJ640" s="158"/>
      <c r="AK640" s="158"/>
    </row>
    <row r="641" spans="1:37" s="19" customFormat="1" ht="12.75">
      <c r="A641" s="160"/>
      <c r="B641" s="160"/>
      <c r="C641" s="157"/>
      <c r="D641" s="161"/>
      <c r="E641" s="158"/>
      <c r="F641" s="158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  <c r="AA641" s="158"/>
      <c r="AB641" s="158"/>
      <c r="AC641" s="158"/>
      <c r="AD641" s="158"/>
      <c r="AE641" s="158"/>
      <c r="AF641" s="158"/>
      <c r="AG641" s="158"/>
      <c r="AH641" s="158"/>
      <c r="AI641" s="158"/>
      <c r="AJ641" s="158"/>
      <c r="AK641" s="158"/>
    </row>
    <row r="642" spans="1:37" s="19" customFormat="1" ht="12.75">
      <c r="A642" s="160"/>
      <c r="B642" s="160"/>
      <c r="C642" s="157"/>
      <c r="D642" s="157"/>
      <c r="E642" s="158"/>
      <c r="F642" s="158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  <c r="AA642" s="158"/>
      <c r="AB642" s="158"/>
      <c r="AC642" s="158"/>
      <c r="AD642" s="158"/>
      <c r="AE642" s="158"/>
      <c r="AF642" s="158"/>
      <c r="AG642" s="158"/>
      <c r="AH642" s="158"/>
      <c r="AI642" s="158"/>
      <c r="AJ642" s="158"/>
      <c r="AK642" s="158"/>
    </row>
    <row r="643" spans="1:37" s="19" customFormat="1" ht="12.75">
      <c r="A643" s="160"/>
      <c r="B643" s="160"/>
      <c r="C643" s="157"/>
      <c r="D643" s="161"/>
      <c r="E643" s="158"/>
      <c r="F643" s="158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  <c r="AA643" s="158"/>
      <c r="AB643" s="158"/>
      <c r="AC643" s="158"/>
      <c r="AD643" s="158"/>
      <c r="AE643" s="158"/>
      <c r="AF643" s="158"/>
      <c r="AG643" s="158"/>
      <c r="AH643" s="158"/>
      <c r="AI643" s="158"/>
      <c r="AJ643" s="158"/>
      <c r="AK643" s="158"/>
    </row>
    <row r="644" spans="1:37" s="19" customFormat="1" ht="12.75">
      <c r="A644" s="160"/>
      <c r="B644" s="160"/>
      <c r="C644" s="157"/>
      <c r="D644" s="161"/>
      <c r="E644" s="158"/>
      <c r="F644" s="158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  <c r="AA644" s="158"/>
      <c r="AB644" s="158"/>
      <c r="AC644" s="158"/>
      <c r="AD644" s="158"/>
      <c r="AE644" s="158"/>
      <c r="AF644" s="158"/>
      <c r="AG644" s="158"/>
      <c r="AH644" s="158"/>
      <c r="AI644" s="158"/>
      <c r="AJ644" s="158"/>
      <c r="AK644" s="158"/>
    </row>
    <row r="645" spans="1:37" s="19" customFormat="1" ht="12.75">
      <c r="A645" s="160"/>
      <c r="B645" s="160"/>
      <c r="C645" s="157"/>
      <c r="D645" s="157"/>
      <c r="E645" s="158"/>
      <c r="F645" s="158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  <c r="AA645" s="158"/>
      <c r="AB645" s="158"/>
      <c r="AC645" s="158"/>
      <c r="AD645" s="158"/>
      <c r="AE645" s="158"/>
      <c r="AF645" s="158"/>
      <c r="AG645" s="158"/>
      <c r="AH645" s="158"/>
      <c r="AI645" s="158"/>
      <c r="AJ645" s="158"/>
      <c r="AK645" s="158"/>
    </row>
    <row r="646" spans="1:37" s="19" customFormat="1" ht="12.75">
      <c r="A646" s="160"/>
      <c r="B646" s="160"/>
      <c r="C646" s="157"/>
      <c r="D646" s="161"/>
      <c r="E646" s="158"/>
      <c r="F646" s="158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  <c r="AA646" s="158"/>
      <c r="AB646" s="158"/>
      <c r="AC646" s="158"/>
      <c r="AD646" s="158"/>
      <c r="AE646" s="158"/>
      <c r="AF646" s="158"/>
      <c r="AG646" s="158"/>
      <c r="AH646" s="158"/>
      <c r="AI646" s="158"/>
      <c r="AJ646" s="158"/>
      <c r="AK646" s="158"/>
    </row>
    <row r="647" spans="1:37" s="19" customFormat="1" ht="12.75">
      <c r="A647" s="160"/>
      <c r="B647" s="160"/>
      <c r="C647" s="157"/>
      <c r="D647" s="161"/>
      <c r="E647" s="158"/>
      <c r="F647" s="158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  <c r="AA647" s="158"/>
      <c r="AB647" s="158"/>
      <c r="AC647" s="158"/>
      <c r="AD647" s="158"/>
      <c r="AE647" s="158"/>
      <c r="AF647" s="158"/>
      <c r="AG647" s="158"/>
      <c r="AH647" s="158"/>
      <c r="AI647" s="158"/>
      <c r="AJ647" s="158"/>
      <c r="AK647" s="158"/>
    </row>
    <row r="648" spans="1:37" s="19" customFormat="1" ht="12.75">
      <c r="A648" s="160"/>
      <c r="B648" s="160"/>
      <c r="C648" s="157"/>
      <c r="D648" s="157"/>
      <c r="E648" s="158"/>
      <c r="F648" s="15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  <c r="AA648" s="158"/>
      <c r="AB648" s="158"/>
      <c r="AC648" s="158"/>
      <c r="AD648" s="158"/>
      <c r="AE648" s="158"/>
      <c r="AF648" s="158"/>
      <c r="AG648" s="158"/>
      <c r="AH648" s="158"/>
      <c r="AI648" s="158"/>
      <c r="AJ648" s="158"/>
      <c r="AK648" s="158"/>
    </row>
    <row r="649" spans="1:37" s="19" customFormat="1" ht="12.75">
      <c r="A649" s="157"/>
      <c r="B649" s="157"/>
      <c r="C649" s="157"/>
      <c r="D649" s="157"/>
      <c r="E649" s="158"/>
      <c r="F649" s="158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  <c r="AA649" s="158"/>
      <c r="AB649" s="158"/>
      <c r="AC649" s="158"/>
      <c r="AD649" s="158"/>
      <c r="AE649" s="158"/>
      <c r="AF649" s="158"/>
      <c r="AG649" s="158"/>
      <c r="AH649" s="158"/>
      <c r="AI649" s="158"/>
      <c r="AJ649" s="158"/>
      <c r="AK649" s="158"/>
    </row>
    <row r="650" spans="1:37" s="19" customFormat="1" ht="12.75">
      <c r="A650" s="157"/>
      <c r="B650" s="157"/>
      <c r="C650" s="157"/>
      <c r="D650" s="157"/>
      <c r="E650" s="158"/>
      <c r="F650" s="158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  <c r="AA650" s="158"/>
      <c r="AB650" s="158"/>
      <c r="AC650" s="158"/>
      <c r="AD650" s="158"/>
      <c r="AE650" s="158"/>
      <c r="AF650" s="158"/>
      <c r="AG650" s="158"/>
      <c r="AH650" s="158"/>
      <c r="AI650" s="158"/>
      <c r="AJ650" s="158"/>
      <c r="AK650" s="158"/>
    </row>
    <row r="651" spans="1:37" s="19" customFormat="1" ht="12.75">
      <c r="A651" s="157"/>
      <c r="B651" s="157"/>
      <c r="C651" s="157"/>
      <c r="D651" s="157"/>
      <c r="E651" s="158"/>
      <c r="F651" s="158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  <c r="AA651" s="158"/>
      <c r="AB651" s="158"/>
      <c r="AC651" s="158"/>
      <c r="AD651" s="158"/>
      <c r="AE651" s="158"/>
      <c r="AF651" s="158"/>
      <c r="AG651" s="158"/>
      <c r="AH651" s="158"/>
      <c r="AI651" s="158"/>
      <c r="AJ651" s="158"/>
      <c r="AK651" s="158"/>
    </row>
    <row r="652" spans="1:37" s="19" customFormat="1" ht="12.75">
      <c r="A652" s="157"/>
      <c r="B652" s="157"/>
      <c r="C652" s="157"/>
      <c r="D652" s="157"/>
      <c r="E652" s="158"/>
      <c r="F652" s="158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  <c r="AA652" s="158"/>
      <c r="AB652" s="158"/>
      <c r="AC652" s="158"/>
      <c r="AD652" s="158"/>
      <c r="AE652" s="158"/>
      <c r="AF652" s="158"/>
      <c r="AG652" s="158"/>
      <c r="AH652" s="158"/>
      <c r="AI652" s="158"/>
      <c r="AJ652" s="158"/>
      <c r="AK652" s="158"/>
    </row>
    <row r="653" spans="1:37" s="19" customFormat="1" ht="12.75">
      <c r="A653" s="157"/>
      <c r="B653" s="157"/>
      <c r="C653" s="157"/>
      <c r="D653" s="157"/>
      <c r="E653" s="158"/>
      <c r="F653" s="158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  <c r="AA653" s="158"/>
      <c r="AB653" s="158"/>
      <c r="AC653" s="158"/>
      <c r="AD653" s="158"/>
      <c r="AE653" s="158"/>
      <c r="AF653" s="158"/>
      <c r="AG653" s="158"/>
      <c r="AH653" s="158"/>
      <c r="AI653" s="158"/>
      <c r="AJ653" s="158"/>
      <c r="AK653" s="158"/>
    </row>
    <row r="654" spans="1:37" s="19" customFormat="1" ht="12.75">
      <c r="A654" s="157"/>
      <c r="B654" s="157"/>
      <c r="C654" s="157"/>
      <c r="D654" s="157"/>
      <c r="E654" s="158"/>
      <c r="F654" s="158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  <c r="AA654" s="158"/>
      <c r="AB654" s="158"/>
      <c r="AC654" s="158"/>
      <c r="AD654" s="158"/>
      <c r="AE654" s="158"/>
      <c r="AF654" s="158"/>
      <c r="AG654" s="158"/>
      <c r="AH654" s="158"/>
      <c r="AI654" s="158"/>
      <c r="AJ654" s="158"/>
      <c r="AK654" s="158"/>
    </row>
    <row r="655" spans="1:37" s="19" customFormat="1" ht="12.75">
      <c r="A655" s="157"/>
      <c r="B655" s="157"/>
      <c r="C655" s="157"/>
      <c r="D655" s="157"/>
      <c r="E655" s="158"/>
      <c r="F655" s="158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  <c r="AA655" s="158"/>
      <c r="AB655" s="158"/>
      <c r="AC655" s="158"/>
      <c r="AD655" s="158"/>
      <c r="AE655" s="158"/>
      <c r="AF655" s="158"/>
      <c r="AG655" s="158"/>
      <c r="AH655" s="158"/>
      <c r="AI655" s="158"/>
      <c r="AJ655" s="158"/>
      <c r="AK655" s="158"/>
    </row>
    <row r="656" spans="1:37" s="19" customFormat="1" ht="12.75">
      <c r="A656" s="157"/>
      <c r="B656" s="157"/>
      <c r="C656" s="157"/>
      <c r="D656" s="157"/>
      <c r="E656" s="158"/>
      <c r="F656" s="158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  <c r="AA656" s="158"/>
      <c r="AB656" s="158"/>
      <c r="AC656" s="158"/>
      <c r="AD656" s="158"/>
      <c r="AE656" s="158"/>
      <c r="AF656" s="158"/>
      <c r="AG656" s="158"/>
      <c r="AH656" s="158"/>
      <c r="AI656" s="158"/>
      <c r="AJ656" s="158"/>
      <c r="AK656" s="158"/>
    </row>
    <row r="657" spans="1:37" s="19" customFormat="1" ht="12.75">
      <c r="A657" s="157"/>
      <c r="B657" s="157"/>
      <c r="C657" s="157"/>
      <c r="D657" s="157"/>
      <c r="E657" s="158"/>
      <c r="F657" s="158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  <c r="AA657" s="158"/>
      <c r="AB657" s="158"/>
      <c r="AC657" s="158"/>
      <c r="AD657" s="158"/>
      <c r="AE657" s="158"/>
      <c r="AF657" s="158"/>
      <c r="AG657" s="158"/>
      <c r="AH657" s="158"/>
      <c r="AI657" s="158"/>
      <c r="AJ657" s="158"/>
      <c r="AK657" s="158"/>
    </row>
    <row r="658" spans="1:37" s="19" customFormat="1" ht="12.75">
      <c r="A658" s="157"/>
      <c r="B658" s="157"/>
      <c r="C658" s="157"/>
      <c r="D658" s="157"/>
      <c r="E658" s="158"/>
      <c r="F658" s="158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  <c r="AA658" s="158"/>
      <c r="AB658" s="158"/>
      <c r="AC658" s="158"/>
      <c r="AD658" s="158"/>
      <c r="AE658" s="158"/>
      <c r="AF658" s="158"/>
      <c r="AG658" s="158"/>
      <c r="AH658" s="158"/>
      <c r="AI658" s="158"/>
      <c r="AJ658" s="158"/>
      <c r="AK658" s="158"/>
    </row>
    <row r="659" spans="1:37" s="19" customFormat="1" ht="12.75">
      <c r="A659" s="157"/>
      <c r="B659" s="157"/>
      <c r="C659" s="157"/>
      <c r="D659" s="157"/>
      <c r="E659" s="158"/>
      <c r="F659" s="158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  <c r="AA659" s="158"/>
      <c r="AB659" s="158"/>
      <c r="AC659" s="158"/>
      <c r="AD659" s="158"/>
      <c r="AE659" s="158"/>
      <c r="AF659" s="158"/>
      <c r="AG659" s="158"/>
      <c r="AH659" s="158"/>
      <c r="AI659" s="158"/>
      <c r="AJ659" s="158"/>
      <c r="AK659" s="158"/>
    </row>
    <row r="660" spans="1:37" s="19" customFormat="1" ht="12.75">
      <c r="A660" s="157"/>
      <c r="B660" s="157"/>
      <c r="C660" s="157"/>
      <c r="D660" s="157"/>
      <c r="E660" s="158"/>
      <c r="F660" s="158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  <c r="AA660" s="158"/>
      <c r="AB660" s="158"/>
      <c r="AC660" s="158"/>
      <c r="AD660" s="158"/>
      <c r="AE660" s="158"/>
      <c r="AF660" s="158"/>
      <c r="AG660" s="158"/>
      <c r="AH660" s="158"/>
      <c r="AI660" s="158"/>
      <c r="AJ660" s="158"/>
      <c r="AK660" s="158"/>
    </row>
    <row r="661" spans="1:37" s="19" customFormat="1" ht="12.75">
      <c r="A661" s="157"/>
      <c r="B661" s="157"/>
      <c r="C661" s="157"/>
      <c r="D661" s="157"/>
      <c r="E661" s="158"/>
      <c r="F661" s="158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  <c r="AA661" s="158"/>
      <c r="AB661" s="158"/>
      <c r="AC661" s="158"/>
      <c r="AD661" s="158"/>
      <c r="AE661" s="158"/>
      <c r="AF661" s="158"/>
      <c r="AG661" s="158"/>
      <c r="AH661" s="158"/>
      <c r="AI661" s="158"/>
      <c r="AJ661" s="158"/>
      <c r="AK661" s="158"/>
    </row>
    <row r="662" spans="1:37" s="19" customFormat="1" ht="12.75">
      <c r="A662" s="157"/>
      <c r="B662" s="157"/>
      <c r="C662" s="157"/>
      <c r="D662" s="157"/>
      <c r="E662" s="158"/>
      <c r="F662" s="158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  <c r="AA662" s="158"/>
      <c r="AB662" s="158"/>
      <c r="AC662" s="158"/>
      <c r="AD662" s="158"/>
      <c r="AE662" s="158"/>
      <c r="AF662" s="158"/>
      <c r="AG662" s="158"/>
      <c r="AH662" s="158"/>
      <c r="AI662" s="158"/>
      <c r="AJ662" s="158"/>
      <c r="AK662" s="158"/>
    </row>
    <row r="663" spans="1:37" s="19" customFormat="1" ht="12.75">
      <c r="A663" s="157"/>
      <c r="B663" s="157"/>
      <c r="C663" s="157"/>
      <c r="D663" s="157"/>
      <c r="E663" s="158"/>
      <c r="F663" s="158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  <c r="AA663" s="158"/>
      <c r="AB663" s="158"/>
      <c r="AC663" s="158"/>
      <c r="AD663" s="158"/>
      <c r="AE663" s="158"/>
      <c r="AF663" s="158"/>
      <c r="AG663" s="158"/>
      <c r="AH663" s="158"/>
      <c r="AI663" s="158"/>
      <c r="AJ663" s="158"/>
      <c r="AK663" s="158"/>
    </row>
    <row r="664" spans="1:37" s="19" customFormat="1" ht="12.75">
      <c r="A664" s="157"/>
      <c r="B664" s="157"/>
      <c r="C664" s="157"/>
      <c r="D664" s="161"/>
      <c r="E664" s="158"/>
      <c r="F664" s="158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  <c r="AA664" s="158"/>
      <c r="AB664" s="158"/>
      <c r="AC664" s="158"/>
      <c r="AD664" s="158"/>
      <c r="AE664" s="158"/>
      <c r="AF664" s="158"/>
      <c r="AG664" s="158"/>
      <c r="AH664" s="158"/>
      <c r="AI664" s="158"/>
      <c r="AJ664" s="158"/>
      <c r="AK664" s="158"/>
    </row>
    <row r="665" spans="1:37" s="19" customFormat="1" ht="12.75">
      <c r="A665" s="157"/>
      <c r="B665" s="157"/>
      <c r="C665" s="157"/>
      <c r="D665" s="157"/>
      <c r="E665" s="158"/>
      <c r="F665" s="158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  <c r="AA665" s="158"/>
      <c r="AB665" s="158"/>
      <c r="AC665" s="158"/>
      <c r="AD665" s="158"/>
      <c r="AE665" s="158"/>
      <c r="AF665" s="158"/>
      <c r="AG665" s="158"/>
      <c r="AH665" s="158"/>
      <c r="AI665" s="158"/>
      <c r="AJ665" s="158"/>
      <c r="AK665" s="158"/>
    </row>
    <row r="666" spans="1:37" s="19" customFormat="1" ht="12.75">
      <c r="A666" s="157"/>
      <c r="B666" s="157"/>
      <c r="C666" s="157"/>
      <c r="D666" s="157"/>
      <c r="E666" s="158"/>
      <c r="F666" s="158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  <c r="AA666" s="158"/>
      <c r="AB666" s="158"/>
      <c r="AC666" s="158"/>
      <c r="AD666" s="158"/>
      <c r="AE666" s="158"/>
      <c r="AF666" s="158"/>
      <c r="AG666" s="158"/>
      <c r="AH666" s="158"/>
      <c r="AI666" s="158"/>
      <c r="AJ666" s="158"/>
      <c r="AK666" s="158"/>
    </row>
    <row r="667" spans="1:37" s="19" customFormat="1" ht="12.75">
      <c r="A667" s="157"/>
      <c r="B667" s="157"/>
      <c r="C667" s="157"/>
      <c r="D667" s="161"/>
      <c r="E667" s="158"/>
      <c r="F667" s="158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  <c r="AA667" s="158"/>
      <c r="AB667" s="158"/>
      <c r="AC667" s="158"/>
      <c r="AD667" s="158"/>
      <c r="AE667" s="158"/>
      <c r="AF667" s="158"/>
      <c r="AG667" s="158"/>
      <c r="AH667" s="158"/>
      <c r="AI667" s="158"/>
      <c r="AJ667" s="158"/>
      <c r="AK667" s="158"/>
    </row>
    <row r="668" spans="1:37" s="19" customFormat="1" ht="12.75">
      <c r="A668" s="157"/>
      <c r="B668" s="157"/>
      <c r="C668" s="157"/>
      <c r="D668" s="157"/>
      <c r="E668" s="158"/>
      <c r="F668" s="158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  <c r="AA668" s="158"/>
      <c r="AB668" s="158"/>
      <c r="AC668" s="158"/>
      <c r="AD668" s="158"/>
      <c r="AE668" s="158"/>
      <c r="AF668" s="158"/>
      <c r="AG668" s="158"/>
      <c r="AH668" s="158"/>
      <c r="AI668" s="158"/>
      <c r="AJ668" s="158"/>
      <c r="AK668" s="158"/>
    </row>
    <row r="669" spans="1:37" s="19" customFormat="1" ht="12.75">
      <c r="A669" s="157"/>
      <c r="B669" s="157"/>
      <c r="C669" s="157"/>
      <c r="D669" s="157"/>
      <c r="E669" s="158"/>
      <c r="F669" s="158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  <c r="AA669" s="158"/>
      <c r="AB669" s="158"/>
      <c r="AC669" s="158"/>
      <c r="AD669" s="158"/>
      <c r="AE669" s="158"/>
      <c r="AF669" s="158"/>
      <c r="AG669" s="158"/>
      <c r="AH669" s="158"/>
      <c r="AI669" s="158"/>
      <c r="AJ669" s="158"/>
      <c r="AK669" s="158"/>
    </row>
    <row r="670" spans="1:37" s="19" customFormat="1" ht="12.75">
      <c r="A670" s="157"/>
      <c r="B670" s="157"/>
      <c r="C670" s="157"/>
      <c r="D670" s="157"/>
      <c r="E670" s="158"/>
      <c r="F670" s="158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  <c r="AA670" s="158"/>
      <c r="AB670" s="158"/>
      <c r="AC670" s="158"/>
      <c r="AD670" s="158"/>
      <c r="AE670" s="158"/>
      <c r="AF670" s="158"/>
      <c r="AG670" s="158"/>
      <c r="AH670" s="158"/>
      <c r="AI670" s="158"/>
      <c r="AJ670" s="158"/>
      <c r="AK670" s="158"/>
    </row>
    <row r="671" spans="1:37" s="19" customFormat="1" ht="12.75">
      <c r="A671" s="157"/>
      <c r="B671" s="157"/>
      <c r="C671" s="157"/>
      <c r="D671" s="157"/>
      <c r="E671" s="158"/>
      <c r="F671" s="158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  <c r="AA671" s="158"/>
      <c r="AB671" s="158"/>
      <c r="AC671" s="158"/>
      <c r="AD671" s="158"/>
      <c r="AE671" s="158"/>
      <c r="AF671" s="158"/>
      <c r="AG671" s="158"/>
      <c r="AH671" s="158"/>
      <c r="AI671" s="158"/>
      <c r="AJ671" s="158"/>
      <c r="AK671" s="158"/>
    </row>
    <row r="672" spans="1:37" s="19" customFormat="1" ht="12.75">
      <c r="A672" s="157"/>
      <c r="B672" s="157"/>
      <c r="C672" s="157"/>
      <c r="D672" s="157"/>
      <c r="E672" s="158"/>
      <c r="F672" s="158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  <c r="AA672" s="158"/>
      <c r="AB672" s="158"/>
      <c r="AC672" s="158"/>
      <c r="AD672" s="158"/>
      <c r="AE672" s="158"/>
      <c r="AF672" s="158"/>
      <c r="AG672" s="158"/>
      <c r="AH672" s="158"/>
      <c r="AI672" s="158"/>
      <c r="AJ672" s="158"/>
      <c r="AK672" s="158"/>
    </row>
    <row r="673" spans="1:37" s="19" customFormat="1" ht="12.75">
      <c r="A673" s="157"/>
      <c r="B673" s="157"/>
      <c r="C673" s="157"/>
      <c r="D673" s="157"/>
      <c r="E673" s="158"/>
      <c r="F673" s="158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  <c r="AA673" s="158"/>
      <c r="AB673" s="158"/>
      <c r="AC673" s="158"/>
      <c r="AD673" s="158"/>
      <c r="AE673" s="158"/>
      <c r="AF673" s="158"/>
      <c r="AG673" s="158"/>
      <c r="AH673" s="158"/>
      <c r="AI673" s="158"/>
      <c r="AJ673" s="158"/>
      <c r="AK673" s="158"/>
    </row>
    <row r="674" spans="1:37" s="19" customFormat="1" ht="12.75">
      <c r="A674" s="157"/>
      <c r="B674" s="157"/>
      <c r="C674" s="157"/>
      <c r="D674" s="157"/>
      <c r="E674" s="158"/>
      <c r="F674" s="158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  <c r="AA674" s="158"/>
      <c r="AB674" s="158"/>
      <c r="AC674" s="158"/>
      <c r="AD674" s="158"/>
      <c r="AE674" s="158"/>
      <c r="AF674" s="158"/>
      <c r="AG674" s="158"/>
      <c r="AH674" s="158"/>
      <c r="AI674" s="158"/>
      <c r="AJ674" s="158"/>
      <c r="AK674" s="158"/>
    </row>
    <row r="675" spans="1:37" s="19" customFormat="1" ht="12.75">
      <c r="A675" s="157"/>
      <c r="B675" s="157"/>
      <c r="C675" s="157"/>
      <c r="D675" s="161"/>
      <c r="E675" s="158"/>
      <c r="F675" s="158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  <c r="AA675" s="158"/>
      <c r="AB675" s="158"/>
      <c r="AC675" s="158"/>
      <c r="AD675" s="158"/>
      <c r="AE675" s="158"/>
      <c r="AF675" s="158"/>
      <c r="AG675" s="158"/>
      <c r="AH675" s="158"/>
      <c r="AI675" s="158"/>
      <c r="AJ675" s="158"/>
      <c r="AK675" s="158"/>
    </row>
    <row r="676" spans="1:37" s="19" customFormat="1" ht="12.75">
      <c r="A676" s="157"/>
      <c r="B676" s="157"/>
      <c r="C676" s="157"/>
      <c r="D676" s="157"/>
      <c r="E676" s="158"/>
      <c r="F676" s="158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  <c r="AA676" s="158"/>
      <c r="AB676" s="158"/>
      <c r="AC676" s="158"/>
      <c r="AD676" s="158"/>
      <c r="AE676" s="158"/>
      <c r="AF676" s="158"/>
      <c r="AG676" s="158"/>
      <c r="AH676" s="158"/>
      <c r="AI676" s="158"/>
      <c r="AJ676" s="158"/>
      <c r="AK676" s="158"/>
    </row>
    <row r="677" spans="1:37" s="19" customFormat="1" ht="12.75">
      <c r="A677" s="157"/>
      <c r="B677" s="157"/>
      <c r="C677" s="157"/>
      <c r="D677" s="157"/>
      <c r="E677" s="158"/>
      <c r="F677" s="158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  <c r="AA677" s="158"/>
      <c r="AB677" s="158"/>
      <c r="AC677" s="158"/>
      <c r="AD677" s="158"/>
      <c r="AE677" s="158"/>
      <c r="AF677" s="158"/>
      <c r="AG677" s="158"/>
      <c r="AH677" s="158"/>
      <c r="AI677" s="158"/>
      <c r="AJ677" s="158"/>
      <c r="AK677" s="158"/>
    </row>
    <row r="678" spans="1:37" s="19" customFormat="1" ht="12.75">
      <c r="A678" s="157"/>
      <c r="B678" s="157"/>
      <c r="C678" s="157"/>
      <c r="D678" s="157"/>
      <c r="E678" s="158"/>
      <c r="F678" s="158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  <c r="AA678" s="158"/>
      <c r="AB678" s="158"/>
      <c r="AC678" s="158"/>
      <c r="AD678" s="158"/>
      <c r="AE678" s="158"/>
      <c r="AF678" s="158"/>
      <c r="AG678" s="158"/>
      <c r="AH678" s="158"/>
      <c r="AI678" s="158"/>
      <c r="AJ678" s="158"/>
      <c r="AK678" s="158"/>
    </row>
    <row r="679" spans="1:37" s="19" customFormat="1" ht="12.75">
      <c r="A679" s="157"/>
      <c r="B679" s="157"/>
      <c r="C679" s="157"/>
      <c r="D679" s="157"/>
      <c r="E679" s="158"/>
      <c r="F679" s="158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  <c r="AA679" s="158"/>
      <c r="AB679" s="158"/>
      <c r="AC679" s="158"/>
      <c r="AD679" s="158"/>
      <c r="AE679" s="158"/>
      <c r="AF679" s="158"/>
      <c r="AG679" s="158"/>
      <c r="AH679" s="158"/>
      <c r="AI679" s="158"/>
      <c r="AJ679" s="158"/>
      <c r="AK679" s="158"/>
    </row>
    <row r="680" spans="1:37" s="19" customFormat="1" ht="12.75">
      <c r="A680" s="157"/>
      <c r="B680" s="157"/>
      <c r="C680" s="157"/>
      <c r="D680" s="157"/>
      <c r="E680" s="158"/>
      <c r="F680" s="158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  <c r="AA680" s="158"/>
      <c r="AB680" s="158"/>
      <c r="AC680" s="158"/>
      <c r="AD680" s="158"/>
      <c r="AE680" s="158"/>
      <c r="AF680" s="158"/>
      <c r="AG680" s="158"/>
      <c r="AH680" s="158"/>
      <c r="AI680" s="158"/>
      <c r="AJ680" s="158"/>
      <c r="AK680" s="158"/>
    </row>
    <row r="681" spans="1:37" s="19" customFormat="1" ht="12.75">
      <c r="A681" s="157"/>
      <c r="B681" s="157"/>
      <c r="C681" s="157"/>
      <c r="D681" s="157"/>
      <c r="E681" s="158"/>
      <c r="F681" s="158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  <c r="AA681" s="158"/>
      <c r="AB681" s="158"/>
      <c r="AC681" s="158"/>
      <c r="AD681" s="158"/>
      <c r="AE681" s="158"/>
      <c r="AF681" s="158"/>
      <c r="AG681" s="158"/>
      <c r="AH681" s="158"/>
      <c r="AI681" s="158"/>
      <c r="AJ681" s="158"/>
      <c r="AK681" s="158"/>
    </row>
    <row r="682" spans="1:37" s="19" customFormat="1" ht="12.75">
      <c r="A682" s="157"/>
      <c r="B682" s="157"/>
      <c r="C682" s="157"/>
      <c r="D682" s="157"/>
      <c r="E682" s="158"/>
      <c r="F682" s="15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  <c r="AA682" s="158"/>
      <c r="AB682" s="158"/>
      <c r="AC682" s="158"/>
      <c r="AD682" s="158"/>
      <c r="AE682" s="158"/>
      <c r="AF682" s="158"/>
      <c r="AG682" s="158"/>
      <c r="AH682" s="158"/>
      <c r="AI682" s="158"/>
      <c r="AJ682" s="158"/>
      <c r="AK682" s="158"/>
    </row>
    <row r="683" spans="1:37" s="19" customFormat="1" ht="12.75">
      <c r="A683" s="157"/>
      <c r="B683" s="157"/>
      <c r="C683" s="157"/>
      <c r="D683" s="157"/>
      <c r="E683" s="158"/>
      <c r="F683" s="158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  <c r="AA683" s="158"/>
      <c r="AB683" s="158"/>
      <c r="AC683" s="158"/>
      <c r="AD683" s="158"/>
      <c r="AE683" s="158"/>
      <c r="AF683" s="158"/>
      <c r="AG683" s="158"/>
      <c r="AH683" s="158"/>
      <c r="AI683" s="158"/>
      <c r="AJ683" s="158"/>
      <c r="AK683" s="158"/>
    </row>
    <row r="684" spans="1:37" s="19" customFormat="1" ht="12.75">
      <c r="A684" s="157"/>
      <c r="B684" s="157"/>
      <c r="C684" s="157"/>
      <c r="D684" s="157"/>
      <c r="E684" s="158"/>
      <c r="F684" s="158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  <c r="AA684" s="158"/>
      <c r="AB684" s="158"/>
      <c r="AC684" s="158"/>
      <c r="AD684" s="158"/>
      <c r="AE684" s="158"/>
      <c r="AF684" s="158"/>
      <c r="AG684" s="158"/>
      <c r="AH684" s="158"/>
      <c r="AI684" s="158"/>
      <c r="AJ684" s="158"/>
      <c r="AK684" s="158"/>
    </row>
    <row r="685" spans="1:37" s="19" customFormat="1" ht="12.75">
      <c r="A685" s="157"/>
      <c r="B685" s="157"/>
      <c r="C685" s="157"/>
      <c r="D685" s="161"/>
      <c r="E685" s="158"/>
      <c r="F685" s="158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  <c r="AA685" s="158"/>
      <c r="AB685" s="158"/>
      <c r="AC685" s="158"/>
      <c r="AD685" s="158"/>
      <c r="AE685" s="158"/>
      <c r="AF685" s="158"/>
      <c r="AG685" s="158"/>
      <c r="AH685" s="158"/>
      <c r="AI685" s="158"/>
      <c r="AJ685" s="158"/>
      <c r="AK685" s="158"/>
    </row>
    <row r="686" spans="1:37" s="19" customFormat="1" ht="12.75">
      <c r="A686" s="157"/>
      <c r="B686" s="157"/>
      <c r="C686" s="157"/>
      <c r="D686" s="157"/>
      <c r="E686" s="158"/>
      <c r="F686" s="158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  <c r="AA686" s="158"/>
      <c r="AB686" s="158"/>
      <c r="AC686" s="158"/>
      <c r="AD686" s="158"/>
      <c r="AE686" s="158"/>
      <c r="AF686" s="158"/>
      <c r="AG686" s="158"/>
      <c r="AH686" s="158"/>
      <c r="AI686" s="158"/>
      <c r="AJ686" s="158"/>
      <c r="AK686" s="158"/>
    </row>
    <row r="687" spans="1:37" s="19" customFormat="1" ht="12.75">
      <c r="A687" s="157"/>
      <c r="B687" s="157"/>
      <c r="C687" s="157"/>
      <c r="D687" s="157"/>
      <c r="E687" s="158"/>
      <c r="F687" s="158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  <c r="AA687" s="158"/>
      <c r="AB687" s="158"/>
      <c r="AC687" s="158"/>
      <c r="AD687" s="158"/>
      <c r="AE687" s="158"/>
      <c r="AF687" s="158"/>
      <c r="AG687" s="158"/>
      <c r="AH687" s="158"/>
      <c r="AI687" s="158"/>
      <c r="AJ687" s="158"/>
      <c r="AK687" s="158"/>
    </row>
    <row r="688" spans="1:37" s="19" customFormat="1" ht="12.75">
      <c r="A688" s="157"/>
      <c r="B688" s="157"/>
      <c r="C688" s="157"/>
      <c r="D688" s="157"/>
      <c r="E688" s="158"/>
      <c r="F688" s="158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  <c r="AA688" s="158"/>
      <c r="AB688" s="158"/>
      <c r="AC688" s="158"/>
      <c r="AD688" s="158"/>
      <c r="AE688" s="158"/>
      <c r="AF688" s="158"/>
      <c r="AG688" s="158"/>
      <c r="AH688" s="158"/>
      <c r="AI688" s="158"/>
      <c r="AJ688" s="158"/>
      <c r="AK688" s="158"/>
    </row>
    <row r="689" spans="1:37" s="19" customFormat="1" ht="12.75">
      <c r="A689" s="157"/>
      <c r="B689" s="157"/>
      <c r="C689" s="157"/>
      <c r="D689" s="157"/>
      <c r="E689" s="158"/>
      <c r="F689" s="158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  <c r="AA689" s="158"/>
      <c r="AB689" s="158"/>
      <c r="AC689" s="158"/>
      <c r="AD689" s="158"/>
      <c r="AE689" s="158"/>
      <c r="AF689" s="158"/>
      <c r="AG689" s="158"/>
      <c r="AH689" s="158"/>
      <c r="AI689" s="158"/>
      <c r="AJ689" s="158"/>
      <c r="AK689" s="158"/>
    </row>
    <row r="690" spans="1:37" s="19" customFormat="1" ht="12.75">
      <c r="A690" s="157"/>
      <c r="B690" s="157"/>
      <c r="C690" s="157"/>
      <c r="D690" s="157"/>
      <c r="E690" s="158"/>
      <c r="F690" s="158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  <c r="AA690" s="158"/>
      <c r="AB690" s="158"/>
      <c r="AC690" s="158"/>
      <c r="AD690" s="158"/>
      <c r="AE690" s="158"/>
      <c r="AF690" s="158"/>
      <c r="AG690" s="158"/>
      <c r="AH690" s="158"/>
      <c r="AI690" s="158"/>
      <c r="AJ690" s="158"/>
      <c r="AK690" s="158"/>
    </row>
    <row r="691" spans="1:37" s="19" customFormat="1" ht="12.75">
      <c r="A691" s="157"/>
      <c r="B691" s="157"/>
      <c r="C691" s="157"/>
      <c r="D691" s="157"/>
      <c r="E691" s="158"/>
      <c r="F691" s="158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  <c r="AA691" s="158"/>
      <c r="AB691" s="158"/>
      <c r="AC691" s="158"/>
      <c r="AD691" s="158"/>
      <c r="AE691" s="158"/>
      <c r="AF691" s="158"/>
      <c r="AG691" s="158"/>
      <c r="AH691" s="158"/>
      <c r="AI691" s="158"/>
      <c r="AJ691" s="158"/>
      <c r="AK691" s="158"/>
    </row>
    <row r="692" spans="1:37" s="19" customFormat="1" ht="12.75">
      <c r="A692" s="157"/>
      <c r="B692" s="157"/>
      <c r="C692" s="157"/>
      <c r="D692" s="157"/>
      <c r="E692" s="158"/>
      <c r="F692" s="158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  <c r="AA692" s="158"/>
      <c r="AB692" s="158"/>
      <c r="AC692" s="158"/>
      <c r="AD692" s="158"/>
      <c r="AE692" s="158"/>
      <c r="AF692" s="158"/>
      <c r="AG692" s="158"/>
      <c r="AH692" s="158"/>
      <c r="AI692" s="158"/>
      <c r="AJ692" s="158"/>
      <c r="AK692" s="158"/>
    </row>
    <row r="693" spans="1:37" s="19" customFormat="1" ht="12.75">
      <c r="A693" s="157"/>
      <c r="B693" s="157"/>
      <c r="C693" s="157"/>
      <c r="D693" s="157"/>
      <c r="E693" s="158"/>
      <c r="F693" s="158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  <c r="AA693" s="158"/>
      <c r="AB693" s="158"/>
      <c r="AC693" s="158"/>
      <c r="AD693" s="158"/>
      <c r="AE693" s="158"/>
      <c r="AF693" s="158"/>
      <c r="AG693" s="158"/>
      <c r="AH693" s="158"/>
      <c r="AI693" s="158"/>
      <c r="AJ693" s="158"/>
      <c r="AK693" s="158"/>
    </row>
    <row r="694" spans="1:37" s="19" customFormat="1" ht="12.75">
      <c r="A694" s="157"/>
      <c r="B694" s="157"/>
      <c r="C694" s="157"/>
      <c r="D694" s="157"/>
      <c r="E694" s="158"/>
      <c r="F694" s="158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  <c r="AA694" s="158"/>
      <c r="AB694" s="158"/>
      <c r="AC694" s="158"/>
      <c r="AD694" s="158"/>
      <c r="AE694" s="158"/>
      <c r="AF694" s="158"/>
      <c r="AG694" s="158"/>
      <c r="AH694" s="158"/>
      <c r="AI694" s="158"/>
      <c r="AJ694" s="158"/>
      <c r="AK694" s="158"/>
    </row>
    <row r="695" spans="1:37" s="19" customFormat="1" ht="12.75">
      <c r="A695" s="157"/>
      <c r="B695" s="157"/>
      <c r="C695" s="157"/>
      <c r="D695" s="157"/>
      <c r="E695" s="158"/>
      <c r="F695" s="158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  <c r="AA695" s="158"/>
      <c r="AB695" s="158"/>
      <c r="AC695" s="158"/>
      <c r="AD695" s="158"/>
      <c r="AE695" s="158"/>
      <c r="AF695" s="158"/>
      <c r="AG695" s="158"/>
      <c r="AH695" s="158"/>
      <c r="AI695" s="158"/>
      <c r="AJ695" s="158"/>
      <c r="AK695" s="158"/>
    </row>
    <row r="696" spans="1:37" s="19" customFormat="1" ht="12.75">
      <c r="A696" s="157"/>
      <c r="B696" s="157"/>
      <c r="C696" s="157"/>
      <c r="D696" s="157"/>
      <c r="E696" s="158"/>
      <c r="F696" s="158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  <c r="AA696" s="158"/>
      <c r="AB696" s="158"/>
      <c r="AC696" s="158"/>
      <c r="AD696" s="158"/>
      <c r="AE696" s="158"/>
      <c r="AF696" s="158"/>
      <c r="AG696" s="158"/>
      <c r="AH696" s="158"/>
      <c r="AI696" s="158"/>
      <c r="AJ696" s="158"/>
      <c r="AK696" s="158"/>
    </row>
    <row r="697" spans="1:37" s="19" customFormat="1" ht="12.75">
      <c r="A697" s="157"/>
      <c r="B697" s="157"/>
      <c r="C697" s="157"/>
      <c r="D697" s="157"/>
      <c r="E697" s="158"/>
      <c r="F697" s="158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  <c r="AA697" s="158"/>
      <c r="AB697" s="158"/>
      <c r="AC697" s="158"/>
      <c r="AD697" s="158"/>
      <c r="AE697" s="158"/>
      <c r="AF697" s="158"/>
      <c r="AG697" s="158"/>
      <c r="AH697" s="158"/>
      <c r="AI697" s="158"/>
      <c r="AJ697" s="158"/>
      <c r="AK697" s="158"/>
    </row>
    <row r="698" spans="1:37" s="19" customFormat="1" ht="12.75">
      <c r="A698" s="157"/>
      <c r="B698" s="157"/>
      <c r="C698" s="157"/>
      <c r="D698" s="157"/>
      <c r="E698" s="158"/>
      <c r="F698" s="158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  <c r="AA698" s="158"/>
      <c r="AB698" s="158"/>
      <c r="AC698" s="158"/>
      <c r="AD698" s="158"/>
      <c r="AE698" s="158"/>
      <c r="AF698" s="158"/>
      <c r="AG698" s="158"/>
      <c r="AH698" s="158"/>
      <c r="AI698" s="158"/>
      <c r="AJ698" s="158"/>
      <c r="AK698" s="158"/>
    </row>
    <row r="699" spans="1:37" s="19" customFormat="1" ht="12.75">
      <c r="A699" s="159"/>
      <c r="B699" s="159"/>
      <c r="C699" s="157"/>
      <c r="D699" s="157"/>
      <c r="E699" s="158"/>
      <c r="F699" s="158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  <c r="AA699" s="158"/>
      <c r="AB699" s="158"/>
      <c r="AC699" s="158"/>
      <c r="AD699" s="158"/>
      <c r="AE699" s="158"/>
      <c r="AF699" s="158"/>
      <c r="AG699" s="158"/>
      <c r="AH699" s="158"/>
      <c r="AI699" s="158"/>
      <c r="AJ699" s="158"/>
      <c r="AK699" s="158"/>
    </row>
    <row r="700" spans="1:37" s="19" customFormat="1" ht="12.75">
      <c r="A700" s="157"/>
      <c r="B700" s="157"/>
      <c r="C700" s="157"/>
      <c r="D700" s="157"/>
      <c r="E700" s="158"/>
      <c r="F700" s="158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  <c r="AA700" s="158"/>
      <c r="AB700" s="158"/>
      <c r="AC700" s="158"/>
      <c r="AD700" s="158"/>
      <c r="AE700" s="158"/>
      <c r="AF700" s="158"/>
      <c r="AG700" s="158"/>
      <c r="AH700" s="158"/>
      <c r="AI700" s="158"/>
      <c r="AJ700" s="158"/>
      <c r="AK700" s="158"/>
    </row>
    <row r="701" spans="1:37" s="19" customFormat="1" ht="12.75">
      <c r="A701" s="157"/>
      <c r="B701" s="157"/>
      <c r="C701" s="157"/>
      <c r="D701" s="157"/>
      <c r="E701" s="158"/>
      <c r="F701" s="158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  <c r="AA701" s="158"/>
      <c r="AB701" s="158"/>
      <c r="AC701" s="158"/>
      <c r="AD701" s="158"/>
      <c r="AE701" s="158"/>
      <c r="AF701" s="158"/>
      <c r="AG701" s="158"/>
      <c r="AH701" s="158"/>
      <c r="AI701" s="158"/>
      <c r="AJ701" s="158"/>
      <c r="AK701" s="158"/>
    </row>
    <row r="702" spans="1:37" s="19" customFormat="1" ht="12.75">
      <c r="A702" s="157"/>
      <c r="B702" s="157"/>
      <c r="C702" s="157"/>
      <c r="D702" s="157"/>
      <c r="E702" s="158"/>
      <c r="F702" s="158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  <c r="AA702" s="158"/>
      <c r="AB702" s="158"/>
      <c r="AC702" s="158"/>
      <c r="AD702" s="158"/>
      <c r="AE702" s="158"/>
      <c r="AF702" s="158"/>
      <c r="AG702" s="158"/>
      <c r="AH702" s="158"/>
      <c r="AI702" s="158"/>
      <c r="AJ702" s="158"/>
      <c r="AK702" s="158"/>
    </row>
    <row r="703" spans="1:37" s="19" customFormat="1" ht="12.75">
      <c r="A703" s="157"/>
      <c r="B703" s="157"/>
      <c r="C703" s="157"/>
      <c r="D703" s="157"/>
      <c r="E703" s="158"/>
      <c r="F703" s="158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  <c r="AA703" s="158"/>
      <c r="AB703" s="158"/>
      <c r="AC703" s="158"/>
      <c r="AD703" s="158"/>
      <c r="AE703" s="158"/>
      <c r="AF703" s="158"/>
      <c r="AG703" s="158"/>
      <c r="AH703" s="158"/>
      <c r="AI703" s="158"/>
      <c r="AJ703" s="158"/>
      <c r="AK703" s="158"/>
    </row>
    <row r="704" spans="1:37" s="19" customFormat="1" ht="12.75">
      <c r="A704" s="157"/>
      <c r="B704" s="157"/>
      <c r="C704" s="157"/>
      <c r="D704" s="157"/>
      <c r="E704" s="158"/>
      <c r="F704" s="158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  <c r="AA704" s="158"/>
      <c r="AB704" s="158"/>
      <c r="AC704" s="158"/>
      <c r="AD704" s="158"/>
      <c r="AE704" s="158"/>
      <c r="AF704" s="158"/>
      <c r="AG704" s="158"/>
      <c r="AH704" s="158"/>
      <c r="AI704" s="158"/>
      <c r="AJ704" s="158"/>
      <c r="AK704" s="158"/>
    </row>
    <row r="705" spans="1:37" s="19" customFormat="1" ht="12.75">
      <c r="A705" s="157"/>
      <c r="B705" s="157"/>
      <c r="C705" s="157"/>
      <c r="D705" s="157"/>
      <c r="E705" s="158"/>
      <c r="F705" s="158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  <c r="AA705" s="158"/>
      <c r="AB705" s="158"/>
      <c r="AC705" s="158"/>
      <c r="AD705" s="158"/>
      <c r="AE705" s="158"/>
      <c r="AF705" s="158"/>
      <c r="AG705" s="158"/>
      <c r="AH705" s="158"/>
      <c r="AI705" s="158"/>
      <c r="AJ705" s="158"/>
      <c r="AK705" s="158"/>
    </row>
    <row r="706" spans="1:37" s="19" customFormat="1" ht="12.75">
      <c r="A706" s="157"/>
      <c r="B706" s="157"/>
      <c r="C706" s="157"/>
      <c r="D706" s="157"/>
      <c r="E706" s="158"/>
      <c r="F706" s="158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  <c r="AA706" s="158"/>
      <c r="AB706" s="158"/>
      <c r="AC706" s="158"/>
      <c r="AD706" s="158"/>
      <c r="AE706" s="158"/>
      <c r="AF706" s="158"/>
      <c r="AG706" s="158"/>
      <c r="AH706" s="158"/>
      <c r="AI706" s="158"/>
      <c r="AJ706" s="158"/>
      <c r="AK706" s="158"/>
    </row>
    <row r="707" spans="1:37" s="19" customFormat="1" ht="12.75">
      <c r="A707" s="157"/>
      <c r="B707" s="157"/>
      <c r="C707" s="157"/>
      <c r="D707" s="157"/>
      <c r="E707" s="158"/>
      <c r="F707" s="158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  <c r="AA707" s="158"/>
      <c r="AB707" s="158"/>
      <c r="AC707" s="158"/>
      <c r="AD707" s="158"/>
      <c r="AE707" s="158"/>
      <c r="AF707" s="158"/>
      <c r="AG707" s="158"/>
      <c r="AH707" s="158"/>
      <c r="AI707" s="158"/>
      <c r="AJ707" s="158"/>
      <c r="AK707" s="158"/>
    </row>
    <row r="708" spans="1:37" s="19" customFormat="1" ht="12.75">
      <c r="A708" s="157"/>
      <c r="B708" s="157"/>
      <c r="C708" s="157"/>
      <c r="D708" s="157"/>
      <c r="E708" s="158"/>
      <c r="F708" s="158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  <c r="AA708" s="158"/>
      <c r="AB708" s="158"/>
      <c r="AC708" s="158"/>
      <c r="AD708" s="158"/>
      <c r="AE708" s="158"/>
      <c r="AF708" s="158"/>
      <c r="AG708" s="158"/>
      <c r="AH708" s="158"/>
      <c r="AI708" s="158"/>
      <c r="AJ708" s="158"/>
      <c r="AK708" s="158"/>
    </row>
    <row r="709" spans="1:37" s="19" customFormat="1" ht="12.75">
      <c r="A709" s="157"/>
      <c r="B709" s="157"/>
      <c r="C709" s="157"/>
      <c r="D709" s="157"/>
      <c r="E709" s="158"/>
      <c r="F709" s="158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  <c r="AA709" s="158"/>
      <c r="AB709" s="158"/>
      <c r="AC709" s="158"/>
      <c r="AD709" s="158"/>
      <c r="AE709" s="158"/>
      <c r="AF709" s="158"/>
      <c r="AG709" s="158"/>
      <c r="AH709" s="158"/>
      <c r="AI709" s="158"/>
      <c r="AJ709" s="158"/>
      <c r="AK709" s="158"/>
    </row>
    <row r="710" spans="1:37" s="19" customFormat="1" ht="12.75">
      <c r="A710" s="157"/>
      <c r="B710" s="157"/>
      <c r="C710" s="157"/>
      <c r="D710" s="157"/>
      <c r="E710" s="158"/>
      <c r="F710" s="158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  <c r="AA710" s="158"/>
      <c r="AB710" s="158"/>
      <c r="AC710" s="158"/>
      <c r="AD710" s="158"/>
      <c r="AE710" s="158"/>
      <c r="AF710" s="158"/>
      <c r="AG710" s="158"/>
      <c r="AH710" s="158"/>
      <c r="AI710" s="158"/>
      <c r="AJ710" s="158"/>
      <c r="AK710" s="158"/>
    </row>
    <row r="711" spans="1:37" s="19" customFormat="1" ht="12.75">
      <c r="A711" s="157"/>
      <c r="B711" s="157"/>
      <c r="C711" s="157"/>
      <c r="D711" s="157"/>
      <c r="E711" s="158"/>
      <c r="F711" s="158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  <c r="AA711" s="158"/>
      <c r="AB711" s="158"/>
      <c r="AC711" s="158"/>
      <c r="AD711" s="158"/>
      <c r="AE711" s="158"/>
      <c r="AF711" s="158"/>
      <c r="AG711" s="158"/>
      <c r="AH711" s="158"/>
      <c r="AI711" s="158"/>
      <c r="AJ711" s="158"/>
      <c r="AK711" s="158"/>
    </row>
    <row r="712" spans="1:37" s="19" customFormat="1" ht="12.75">
      <c r="A712" s="157"/>
      <c r="B712" s="157"/>
      <c r="C712" s="157"/>
      <c r="D712" s="157"/>
      <c r="E712" s="158"/>
      <c r="F712" s="158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  <c r="AA712" s="158"/>
      <c r="AB712" s="158"/>
      <c r="AC712" s="158"/>
      <c r="AD712" s="158"/>
      <c r="AE712" s="158"/>
      <c r="AF712" s="158"/>
      <c r="AG712" s="158"/>
      <c r="AH712" s="158"/>
      <c r="AI712" s="158"/>
      <c r="AJ712" s="158"/>
      <c r="AK712" s="158"/>
    </row>
    <row r="713" spans="1:37" s="19" customFormat="1" ht="12.75">
      <c r="A713" s="157"/>
      <c r="B713" s="157"/>
      <c r="C713" s="157"/>
      <c r="D713" s="157"/>
      <c r="E713" s="158"/>
      <c r="F713" s="158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  <c r="AA713" s="158"/>
      <c r="AB713" s="158"/>
      <c r="AC713" s="158"/>
      <c r="AD713" s="158"/>
      <c r="AE713" s="158"/>
      <c r="AF713" s="158"/>
      <c r="AG713" s="158"/>
      <c r="AH713" s="158"/>
      <c r="AI713" s="158"/>
      <c r="AJ713" s="158"/>
      <c r="AK713" s="158"/>
    </row>
    <row r="714" spans="1:37" s="19" customFormat="1" ht="12.75">
      <c r="A714" s="157"/>
      <c r="B714" s="157"/>
      <c r="C714" s="157"/>
      <c r="D714" s="157"/>
      <c r="E714" s="158"/>
      <c r="F714" s="158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  <c r="AA714" s="158"/>
      <c r="AB714" s="158"/>
      <c r="AC714" s="158"/>
      <c r="AD714" s="158"/>
      <c r="AE714" s="158"/>
      <c r="AF714" s="158"/>
      <c r="AG714" s="158"/>
      <c r="AH714" s="158"/>
      <c r="AI714" s="158"/>
      <c r="AJ714" s="158"/>
      <c r="AK714" s="158"/>
    </row>
    <row r="715" spans="1:37" s="19" customFormat="1" ht="12.75">
      <c r="A715" s="157"/>
      <c r="B715" s="157"/>
      <c r="C715" s="157"/>
      <c r="D715" s="157"/>
      <c r="E715" s="158"/>
      <c r="F715" s="158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  <c r="AA715" s="158"/>
      <c r="AB715" s="158"/>
      <c r="AC715" s="158"/>
      <c r="AD715" s="158"/>
      <c r="AE715" s="158"/>
      <c r="AF715" s="158"/>
      <c r="AG715" s="158"/>
      <c r="AH715" s="158"/>
      <c r="AI715" s="158"/>
      <c r="AJ715" s="158"/>
      <c r="AK715" s="158"/>
    </row>
    <row r="716" spans="1:37" s="19" customFormat="1" ht="12.75">
      <c r="A716" s="157"/>
      <c r="B716" s="157"/>
      <c r="C716" s="157"/>
      <c r="D716" s="157"/>
      <c r="E716" s="158"/>
      <c r="F716" s="15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  <c r="AA716" s="158"/>
      <c r="AB716" s="158"/>
      <c r="AC716" s="158"/>
      <c r="AD716" s="158"/>
      <c r="AE716" s="158"/>
      <c r="AF716" s="158"/>
      <c r="AG716" s="158"/>
      <c r="AH716" s="158"/>
      <c r="AI716" s="158"/>
      <c r="AJ716" s="158"/>
      <c r="AK716" s="158"/>
    </row>
    <row r="717" spans="1:37" s="19" customFormat="1" ht="12.75">
      <c r="A717" s="157"/>
      <c r="B717" s="157"/>
      <c r="C717" s="157"/>
      <c r="D717" s="157"/>
      <c r="E717" s="158"/>
      <c r="F717" s="158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  <c r="AA717" s="158"/>
      <c r="AB717" s="158"/>
      <c r="AC717" s="158"/>
      <c r="AD717" s="158"/>
      <c r="AE717" s="158"/>
      <c r="AF717" s="158"/>
      <c r="AG717" s="158"/>
      <c r="AH717" s="158"/>
      <c r="AI717" s="158"/>
      <c r="AJ717" s="158"/>
      <c r="AK717" s="158"/>
    </row>
    <row r="718" spans="1:37" s="19" customFormat="1" ht="12.75">
      <c r="A718" s="157"/>
      <c r="B718" s="157"/>
      <c r="C718" s="157"/>
      <c r="D718" s="157"/>
      <c r="E718" s="158"/>
      <c r="F718" s="158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  <c r="AA718" s="158"/>
      <c r="AB718" s="158"/>
      <c r="AC718" s="158"/>
      <c r="AD718" s="158"/>
      <c r="AE718" s="158"/>
      <c r="AF718" s="158"/>
      <c r="AG718" s="158"/>
      <c r="AH718" s="158"/>
      <c r="AI718" s="158"/>
      <c r="AJ718" s="158"/>
      <c r="AK718" s="158"/>
    </row>
    <row r="719" spans="1:37" s="19" customFormat="1" ht="12.75">
      <c r="A719" s="157"/>
      <c r="B719" s="157"/>
      <c r="C719" s="157"/>
      <c r="D719" s="157"/>
      <c r="E719" s="158"/>
      <c r="F719" s="158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  <c r="AA719" s="158"/>
      <c r="AB719" s="158"/>
      <c r="AC719" s="158"/>
      <c r="AD719" s="158"/>
      <c r="AE719" s="158"/>
      <c r="AF719" s="158"/>
      <c r="AG719" s="158"/>
      <c r="AH719" s="158"/>
      <c r="AI719" s="158"/>
      <c r="AJ719" s="158"/>
      <c r="AK719" s="158"/>
    </row>
    <row r="720" spans="1:37" s="19" customFormat="1" ht="12.75">
      <c r="A720" s="157"/>
      <c r="B720" s="157"/>
      <c r="C720" s="157"/>
      <c r="D720" s="157"/>
      <c r="E720" s="158"/>
      <c r="F720" s="158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  <c r="AA720" s="158"/>
      <c r="AB720" s="158"/>
      <c r="AC720" s="158"/>
      <c r="AD720" s="158"/>
      <c r="AE720" s="158"/>
      <c r="AF720" s="158"/>
      <c r="AG720" s="158"/>
      <c r="AH720" s="158"/>
      <c r="AI720" s="158"/>
      <c r="AJ720" s="158"/>
      <c r="AK720" s="158"/>
    </row>
    <row r="721" spans="1:37" s="19" customFormat="1" ht="12.75">
      <c r="A721" s="157"/>
      <c r="B721" s="157"/>
      <c r="C721" s="157"/>
      <c r="D721" s="157"/>
      <c r="E721" s="158"/>
      <c r="F721" s="158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  <c r="AA721" s="158"/>
      <c r="AB721" s="158"/>
      <c r="AC721" s="158"/>
      <c r="AD721" s="158"/>
      <c r="AE721" s="158"/>
      <c r="AF721" s="158"/>
      <c r="AG721" s="158"/>
      <c r="AH721" s="158"/>
      <c r="AI721" s="158"/>
      <c r="AJ721" s="158"/>
      <c r="AK721" s="158"/>
    </row>
    <row r="722" spans="1:37" s="19" customFormat="1" ht="12.75">
      <c r="A722" s="157"/>
      <c r="B722" s="157"/>
      <c r="C722" s="157"/>
      <c r="D722" s="157"/>
      <c r="E722" s="158"/>
      <c r="F722" s="158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  <c r="AA722" s="158"/>
      <c r="AB722" s="158"/>
      <c r="AC722" s="158"/>
      <c r="AD722" s="158"/>
      <c r="AE722" s="158"/>
      <c r="AF722" s="158"/>
      <c r="AG722" s="158"/>
      <c r="AH722" s="158"/>
      <c r="AI722" s="158"/>
      <c r="AJ722" s="158"/>
      <c r="AK722" s="158"/>
    </row>
    <row r="723" spans="1:37" s="19" customFormat="1" ht="12.75">
      <c r="A723" s="157"/>
      <c r="B723" s="157"/>
      <c r="C723" s="157"/>
      <c r="D723" s="157"/>
      <c r="E723" s="158"/>
      <c r="F723" s="158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  <c r="AA723" s="158"/>
      <c r="AB723" s="158"/>
      <c r="AC723" s="158"/>
      <c r="AD723" s="158"/>
      <c r="AE723" s="158"/>
      <c r="AF723" s="158"/>
      <c r="AG723" s="158"/>
      <c r="AH723" s="158"/>
      <c r="AI723" s="158"/>
      <c r="AJ723" s="158"/>
      <c r="AK723" s="158"/>
    </row>
    <row r="724" spans="1:37" s="19" customFormat="1" ht="12.75">
      <c r="A724" s="157"/>
      <c r="B724" s="157"/>
      <c r="C724" s="157"/>
      <c r="D724" s="157"/>
      <c r="E724" s="158"/>
      <c r="F724" s="158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  <c r="AA724" s="158"/>
      <c r="AB724" s="158"/>
      <c r="AC724" s="158"/>
      <c r="AD724" s="158"/>
      <c r="AE724" s="158"/>
      <c r="AF724" s="158"/>
      <c r="AG724" s="158"/>
      <c r="AH724" s="158"/>
      <c r="AI724" s="158"/>
      <c r="AJ724" s="158"/>
      <c r="AK724" s="158"/>
    </row>
    <row r="725" spans="1:37" s="19" customFormat="1" ht="12.75">
      <c r="A725" s="157"/>
      <c r="B725" s="157"/>
      <c r="C725" s="157"/>
      <c r="D725" s="157"/>
      <c r="E725" s="158"/>
      <c r="F725" s="158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  <c r="AA725" s="158"/>
      <c r="AB725" s="158"/>
      <c r="AC725" s="158"/>
      <c r="AD725" s="158"/>
      <c r="AE725" s="158"/>
      <c r="AF725" s="158"/>
      <c r="AG725" s="158"/>
      <c r="AH725" s="158"/>
      <c r="AI725" s="158"/>
      <c r="AJ725" s="158"/>
      <c r="AK725" s="158"/>
    </row>
    <row r="726" spans="1:37" s="19" customFormat="1" ht="12.75">
      <c r="A726" s="157"/>
      <c r="B726" s="157"/>
      <c r="C726" s="157"/>
      <c r="D726" s="157"/>
      <c r="E726" s="158"/>
      <c r="F726" s="158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  <c r="AA726" s="158"/>
      <c r="AB726" s="158"/>
      <c r="AC726" s="158"/>
      <c r="AD726" s="158"/>
      <c r="AE726" s="158"/>
      <c r="AF726" s="158"/>
      <c r="AG726" s="158"/>
      <c r="AH726" s="158"/>
      <c r="AI726" s="158"/>
      <c r="AJ726" s="158"/>
      <c r="AK726" s="158"/>
    </row>
    <row r="727" spans="1:37" s="19" customFormat="1" ht="12.75">
      <c r="A727" s="157"/>
      <c r="B727" s="157"/>
      <c r="C727" s="157"/>
      <c r="D727" s="157"/>
      <c r="E727" s="158"/>
      <c r="F727" s="158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  <c r="AA727" s="158"/>
      <c r="AB727" s="158"/>
      <c r="AC727" s="158"/>
      <c r="AD727" s="158"/>
      <c r="AE727" s="158"/>
      <c r="AF727" s="158"/>
      <c r="AG727" s="158"/>
      <c r="AH727" s="158"/>
      <c r="AI727" s="158"/>
      <c r="AJ727" s="158"/>
      <c r="AK727" s="158"/>
    </row>
    <row r="728" spans="1:37" s="19" customFormat="1" ht="12.75">
      <c r="A728" s="157"/>
      <c r="B728" s="157"/>
      <c r="C728" s="157"/>
      <c r="D728" s="157"/>
      <c r="E728" s="158"/>
      <c r="F728" s="158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  <c r="AA728" s="158"/>
      <c r="AB728" s="158"/>
      <c r="AC728" s="158"/>
      <c r="AD728" s="158"/>
      <c r="AE728" s="158"/>
      <c r="AF728" s="158"/>
      <c r="AG728" s="158"/>
      <c r="AH728" s="158"/>
      <c r="AI728" s="158"/>
      <c r="AJ728" s="158"/>
      <c r="AK728" s="158"/>
    </row>
    <row r="729" spans="1:37" s="19" customFormat="1" ht="12.75">
      <c r="A729" s="157"/>
      <c r="B729" s="157"/>
      <c r="C729" s="157"/>
      <c r="D729" s="157"/>
      <c r="E729" s="158"/>
      <c r="F729" s="158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  <c r="AA729" s="158"/>
      <c r="AB729" s="158"/>
      <c r="AC729" s="158"/>
      <c r="AD729" s="158"/>
      <c r="AE729" s="158"/>
      <c r="AF729" s="158"/>
      <c r="AG729" s="158"/>
      <c r="AH729" s="158"/>
      <c r="AI729" s="158"/>
      <c r="AJ729" s="158"/>
      <c r="AK729" s="158"/>
    </row>
    <row r="730" spans="1:37" s="19" customFormat="1" ht="12.75">
      <c r="A730" s="157"/>
      <c r="B730" s="157"/>
      <c r="C730" s="157"/>
      <c r="D730" s="157"/>
      <c r="E730" s="158"/>
      <c r="F730" s="158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  <c r="AA730" s="158"/>
      <c r="AB730" s="158"/>
      <c r="AC730" s="158"/>
      <c r="AD730" s="158"/>
      <c r="AE730" s="158"/>
      <c r="AF730" s="158"/>
      <c r="AG730" s="158"/>
      <c r="AH730" s="158"/>
      <c r="AI730" s="158"/>
      <c r="AJ730" s="158"/>
      <c r="AK730" s="158"/>
    </row>
    <row r="731" spans="1:37" s="19" customFormat="1" ht="12.75">
      <c r="A731" s="157"/>
      <c r="B731" s="157"/>
      <c r="C731" s="157"/>
      <c r="D731" s="157"/>
      <c r="E731" s="158"/>
      <c r="F731" s="158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  <c r="AA731" s="158"/>
      <c r="AB731" s="158"/>
      <c r="AC731" s="158"/>
      <c r="AD731" s="158"/>
      <c r="AE731" s="158"/>
      <c r="AF731" s="158"/>
      <c r="AG731" s="158"/>
      <c r="AH731" s="158"/>
      <c r="AI731" s="158"/>
      <c r="AJ731" s="158"/>
      <c r="AK731" s="158"/>
    </row>
    <row r="732" spans="1:37" s="19" customFormat="1" ht="12.75">
      <c r="A732" s="157"/>
      <c r="B732" s="157"/>
      <c r="C732" s="157"/>
      <c r="D732" s="157"/>
      <c r="E732" s="158"/>
      <c r="F732" s="158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  <c r="AA732" s="158"/>
      <c r="AB732" s="158"/>
      <c r="AC732" s="158"/>
      <c r="AD732" s="158"/>
      <c r="AE732" s="158"/>
      <c r="AF732" s="158"/>
      <c r="AG732" s="158"/>
      <c r="AH732" s="158"/>
      <c r="AI732" s="158"/>
      <c r="AJ732" s="158"/>
      <c r="AK732" s="158"/>
    </row>
    <row r="733" spans="1:37" s="19" customFormat="1" ht="12.75">
      <c r="A733" s="157"/>
      <c r="B733" s="157"/>
      <c r="C733" s="157"/>
      <c r="D733" s="157"/>
      <c r="E733" s="158"/>
      <c r="F733" s="158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  <c r="AA733" s="158"/>
      <c r="AB733" s="158"/>
      <c r="AC733" s="158"/>
      <c r="AD733" s="158"/>
      <c r="AE733" s="158"/>
      <c r="AF733" s="158"/>
      <c r="AG733" s="158"/>
      <c r="AH733" s="158"/>
      <c r="AI733" s="158"/>
      <c r="AJ733" s="158"/>
      <c r="AK733" s="158"/>
    </row>
    <row r="734" spans="1:37" s="19" customFormat="1" ht="12.75">
      <c r="A734" s="157"/>
      <c r="B734" s="157"/>
      <c r="C734" s="157"/>
      <c r="D734" s="157"/>
      <c r="E734" s="158"/>
      <c r="F734" s="158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  <c r="AA734" s="158"/>
      <c r="AB734" s="158"/>
      <c r="AC734" s="158"/>
      <c r="AD734" s="158"/>
      <c r="AE734" s="158"/>
      <c r="AF734" s="158"/>
      <c r="AG734" s="158"/>
      <c r="AH734" s="158"/>
      <c r="AI734" s="158"/>
      <c r="AJ734" s="158"/>
      <c r="AK734" s="158"/>
    </row>
    <row r="735" spans="1:37" s="19" customFormat="1" ht="12.75">
      <c r="A735" s="157"/>
      <c r="B735" s="157"/>
      <c r="C735" s="157"/>
      <c r="D735" s="157"/>
      <c r="E735" s="158"/>
      <c r="F735" s="158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  <c r="AA735" s="158"/>
      <c r="AB735" s="158"/>
      <c r="AC735" s="158"/>
      <c r="AD735" s="158"/>
      <c r="AE735" s="158"/>
      <c r="AF735" s="158"/>
      <c r="AG735" s="158"/>
      <c r="AH735" s="158"/>
      <c r="AI735" s="158"/>
      <c r="AJ735" s="158"/>
      <c r="AK735" s="158"/>
    </row>
    <row r="736" spans="1:37" s="19" customFormat="1" ht="12.75">
      <c r="A736" s="157"/>
      <c r="B736" s="157"/>
      <c r="C736" s="157"/>
      <c r="D736" s="157"/>
      <c r="E736" s="158"/>
      <c r="F736" s="158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  <c r="AA736" s="158"/>
      <c r="AB736" s="158"/>
      <c r="AC736" s="158"/>
      <c r="AD736" s="158"/>
      <c r="AE736" s="158"/>
      <c r="AF736" s="158"/>
      <c r="AG736" s="158"/>
      <c r="AH736" s="158"/>
      <c r="AI736" s="158"/>
      <c r="AJ736" s="158"/>
      <c r="AK736" s="158"/>
    </row>
    <row r="737" spans="1:37" s="19" customFormat="1" ht="12.75">
      <c r="A737" s="157"/>
      <c r="B737" s="157"/>
      <c r="C737" s="157"/>
      <c r="D737" s="157"/>
      <c r="E737" s="158"/>
      <c r="F737" s="158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  <c r="AA737" s="158"/>
      <c r="AB737" s="158"/>
      <c r="AC737" s="158"/>
      <c r="AD737" s="158"/>
      <c r="AE737" s="158"/>
      <c r="AF737" s="158"/>
      <c r="AG737" s="158"/>
      <c r="AH737" s="158"/>
      <c r="AI737" s="158"/>
      <c r="AJ737" s="158"/>
      <c r="AK737" s="158"/>
    </row>
    <row r="738" spans="1:37" s="19" customFormat="1" ht="12.75">
      <c r="A738" s="157"/>
      <c r="B738" s="157"/>
      <c r="C738" s="157"/>
      <c r="D738" s="157"/>
      <c r="E738" s="158"/>
      <c r="F738" s="158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  <c r="AA738" s="158"/>
      <c r="AB738" s="158"/>
      <c r="AC738" s="158"/>
      <c r="AD738" s="158"/>
      <c r="AE738" s="158"/>
      <c r="AF738" s="158"/>
      <c r="AG738" s="158"/>
      <c r="AH738" s="158"/>
      <c r="AI738" s="158"/>
      <c r="AJ738" s="158"/>
      <c r="AK738" s="158"/>
    </row>
    <row r="739" spans="1:37" s="19" customFormat="1" ht="12.75">
      <c r="A739" s="157"/>
      <c r="B739" s="157"/>
      <c r="C739" s="157"/>
      <c r="D739" s="157"/>
      <c r="E739" s="158"/>
      <c r="F739" s="158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  <c r="AA739" s="158"/>
      <c r="AB739" s="158"/>
      <c r="AC739" s="158"/>
      <c r="AD739" s="158"/>
      <c r="AE739" s="158"/>
      <c r="AF739" s="158"/>
      <c r="AG739" s="158"/>
      <c r="AH739" s="158"/>
      <c r="AI739" s="158"/>
      <c r="AJ739" s="158"/>
      <c r="AK739" s="158"/>
    </row>
    <row r="740" spans="1:37" s="19" customFormat="1" ht="12.75">
      <c r="A740" s="157"/>
      <c r="B740" s="157"/>
      <c r="C740" s="157"/>
      <c r="D740" s="157"/>
      <c r="E740" s="158"/>
      <c r="F740" s="158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  <c r="AA740" s="158"/>
      <c r="AB740" s="158"/>
      <c r="AC740" s="158"/>
      <c r="AD740" s="158"/>
      <c r="AE740" s="158"/>
      <c r="AF740" s="158"/>
      <c r="AG740" s="158"/>
      <c r="AH740" s="158"/>
      <c r="AI740" s="158"/>
      <c r="AJ740" s="158"/>
      <c r="AK740" s="158"/>
    </row>
    <row r="741" spans="1:37" s="19" customFormat="1" ht="12.75">
      <c r="A741" s="157"/>
      <c r="B741" s="157"/>
      <c r="C741" s="157"/>
      <c r="D741" s="157"/>
      <c r="E741" s="158"/>
      <c r="F741" s="158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  <c r="AA741" s="158"/>
      <c r="AB741" s="158"/>
      <c r="AC741" s="158"/>
      <c r="AD741" s="158"/>
      <c r="AE741" s="158"/>
      <c r="AF741" s="158"/>
      <c r="AG741" s="158"/>
      <c r="AH741" s="158"/>
      <c r="AI741" s="158"/>
      <c r="AJ741" s="158"/>
      <c r="AK741" s="158"/>
    </row>
    <row r="742" spans="1:37" s="19" customFormat="1" ht="12.75">
      <c r="A742" s="157"/>
      <c r="B742" s="157"/>
      <c r="C742" s="157"/>
      <c r="D742" s="157"/>
      <c r="E742" s="158"/>
      <c r="F742" s="158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  <c r="AA742" s="158"/>
      <c r="AB742" s="158"/>
      <c r="AC742" s="158"/>
      <c r="AD742" s="158"/>
      <c r="AE742" s="158"/>
      <c r="AF742" s="158"/>
      <c r="AG742" s="158"/>
      <c r="AH742" s="158"/>
      <c r="AI742" s="158"/>
      <c r="AJ742" s="158"/>
      <c r="AK742" s="158"/>
    </row>
    <row r="743" spans="1:37" s="19" customFormat="1" ht="12.75">
      <c r="A743" s="157"/>
      <c r="B743" s="157"/>
      <c r="C743" s="157"/>
      <c r="D743" s="157"/>
      <c r="E743" s="158"/>
      <c r="F743" s="158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  <c r="AA743" s="158"/>
      <c r="AB743" s="158"/>
      <c r="AC743" s="158"/>
      <c r="AD743" s="158"/>
      <c r="AE743" s="158"/>
      <c r="AF743" s="158"/>
      <c r="AG743" s="158"/>
      <c r="AH743" s="158"/>
      <c r="AI743" s="158"/>
      <c r="AJ743" s="158"/>
      <c r="AK743" s="158"/>
    </row>
    <row r="744" spans="1:37" s="19" customFormat="1" ht="12.75">
      <c r="A744" s="157"/>
      <c r="B744" s="157"/>
      <c r="C744" s="157"/>
      <c r="D744" s="157"/>
      <c r="E744" s="158"/>
      <c r="F744" s="158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  <c r="AA744" s="158"/>
      <c r="AB744" s="158"/>
      <c r="AC744" s="158"/>
      <c r="AD744" s="158"/>
      <c r="AE744" s="158"/>
      <c r="AF744" s="158"/>
      <c r="AG744" s="158"/>
      <c r="AH744" s="158"/>
      <c r="AI744" s="158"/>
      <c r="AJ744" s="158"/>
      <c r="AK744" s="158"/>
    </row>
    <row r="745" spans="1:37" s="19" customFormat="1" ht="12.75">
      <c r="A745" s="157"/>
      <c r="B745" s="157"/>
      <c r="C745" s="157"/>
      <c r="D745" s="157"/>
      <c r="E745" s="158"/>
      <c r="F745" s="158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  <c r="AA745" s="158"/>
      <c r="AB745" s="158"/>
      <c r="AC745" s="158"/>
      <c r="AD745" s="158"/>
      <c r="AE745" s="158"/>
      <c r="AF745" s="158"/>
      <c r="AG745" s="158"/>
      <c r="AH745" s="158"/>
      <c r="AI745" s="158"/>
      <c r="AJ745" s="158"/>
      <c r="AK745" s="158"/>
    </row>
    <row r="746" spans="1:37" s="19" customFormat="1" ht="12.75">
      <c r="A746" s="157"/>
      <c r="B746" s="157"/>
      <c r="C746" s="157"/>
      <c r="D746" s="157"/>
      <c r="E746" s="158"/>
      <c r="F746" s="158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  <c r="AA746" s="158"/>
      <c r="AB746" s="158"/>
      <c r="AC746" s="158"/>
      <c r="AD746" s="158"/>
      <c r="AE746" s="158"/>
      <c r="AF746" s="158"/>
      <c r="AG746" s="158"/>
      <c r="AH746" s="158"/>
      <c r="AI746" s="158"/>
      <c r="AJ746" s="158"/>
      <c r="AK746" s="158"/>
    </row>
    <row r="747" spans="1:37" s="19" customFormat="1" ht="12.75">
      <c r="A747" s="157"/>
      <c r="B747" s="157"/>
      <c r="C747" s="157"/>
      <c r="D747" s="157"/>
      <c r="E747" s="158"/>
      <c r="F747" s="158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  <c r="AA747" s="158"/>
      <c r="AB747" s="158"/>
      <c r="AC747" s="158"/>
      <c r="AD747" s="158"/>
      <c r="AE747" s="158"/>
      <c r="AF747" s="158"/>
      <c r="AG747" s="158"/>
      <c r="AH747" s="158"/>
      <c r="AI747" s="158"/>
      <c r="AJ747" s="158"/>
      <c r="AK747" s="158"/>
    </row>
    <row r="748" spans="1:37" s="19" customFormat="1" ht="12.75">
      <c r="A748" s="157"/>
      <c r="B748" s="157"/>
      <c r="C748" s="157"/>
      <c r="D748" s="157"/>
      <c r="E748" s="158"/>
      <c r="F748" s="158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  <c r="AA748" s="158"/>
      <c r="AB748" s="158"/>
      <c r="AC748" s="158"/>
      <c r="AD748" s="158"/>
      <c r="AE748" s="158"/>
      <c r="AF748" s="158"/>
      <c r="AG748" s="158"/>
      <c r="AH748" s="158"/>
      <c r="AI748" s="158"/>
      <c r="AJ748" s="158"/>
      <c r="AK748" s="158"/>
    </row>
    <row r="749" spans="1:37" s="19" customFormat="1" ht="12.75">
      <c r="A749" s="157"/>
      <c r="B749" s="157"/>
      <c r="C749" s="157"/>
      <c r="D749" s="157"/>
      <c r="E749" s="158"/>
      <c r="F749" s="158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  <c r="AA749" s="158"/>
      <c r="AB749" s="158"/>
      <c r="AC749" s="158"/>
      <c r="AD749" s="158"/>
      <c r="AE749" s="158"/>
      <c r="AF749" s="158"/>
      <c r="AG749" s="158"/>
      <c r="AH749" s="158"/>
      <c r="AI749" s="158"/>
      <c r="AJ749" s="158"/>
      <c r="AK749" s="158"/>
    </row>
    <row r="750" spans="1:37" s="19" customFormat="1" ht="12.75">
      <c r="A750" s="157"/>
      <c r="B750" s="157"/>
      <c r="C750" s="157"/>
      <c r="D750" s="157"/>
      <c r="E750" s="158"/>
      <c r="F750" s="158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  <c r="AA750" s="158"/>
      <c r="AB750" s="158"/>
      <c r="AC750" s="158"/>
      <c r="AD750" s="158"/>
      <c r="AE750" s="158"/>
      <c r="AF750" s="158"/>
      <c r="AG750" s="158"/>
      <c r="AH750" s="158"/>
      <c r="AI750" s="158"/>
      <c r="AJ750" s="158"/>
      <c r="AK750" s="158"/>
    </row>
    <row r="751" spans="1:37" s="19" customFormat="1" ht="12.75">
      <c r="A751" s="157"/>
      <c r="B751" s="157"/>
      <c r="C751" s="157"/>
      <c r="D751" s="157"/>
      <c r="E751" s="158"/>
      <c r="F751" s="158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  <c r="AA751" s="158"/>
      <c r="AB751" s="158"/>
      <c r="AC751" s="158"/>
      <c r="AD751" s="158"/>
      <c r="AE751" s="158"/>
      <c r="AF751" s="158"/>
      <c r="AG751" s="158"/>
      <c r="AH751" s="158"/>
      <c r="AI751" s="158"/>
      <c r="AJ751" s="158"/>
      <c r="AK751" s="158"/>
    </row>
    <row r="752" spans="1:37" s="19" customFormat="1" ht="12.75">
      <c r="A752" s="157"/>
      <c r="B752" s="157"/>
      <c r="C752" s="157"/>
      <c r="D752" s="157"/>
      <c r="E752" s="158"/>
      <c r="F752" s="158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  <c r="AA752" s="158"/>
      <c r="AB752" s="158"/>
      <c r="AC752" s="158"/>
      <c r="AD752" s="158"/>
      <c r="AE752" s="158"/>
      <c r="AF752" s="158"/>
      <c r="AG752" s="158"/>
      <c r="AH752" s="158"/>
      <c r="AI752" s="158"/>
      <c r="AJ752" s="158"/>
      <c r="AK752" s="158"/>
    </row>
    <row r="753" spans="1:37" s="19" customFormat="1" ht="12.75">
      <c r="A753" s="157"/>
      <c r="B753" s="157"/>
      <c r="C753" s="157"/>
      <c r="D753" s="157"/>
      <c r="E753" s="158"/>
      <c r="F753" s="158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  <c r="AA753" s="158"/>
      <c r="AB753" s="158"/>
      <c r="AC753" s="158"/>
      <c r="AD753" s="158"/>
      <c r="AE753" s="158"/>
      <c r="AF753" s="158"/>
      <c r="AG753" s="158"/>
      <c r="AH753" s="158"/>
      <c r="AI753" s="158"/>
      <c r="AJ753" s="158"/>
      <c r="AK753" s="158"/>
    </row>
    <row r="754" spans="1:37" s="19" customFormat="1" ht="12.75">
      <c r="A754" s="157"/>
      <c r="B754" s="157"/>
      <c r="C754" s="157"/>
      <c r="D754" s="157"/>
      <c r="E754" s="158"/>
      <c r="F754" s="158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  <c r="AA754" s="158"/>
      <c r="AB754" s="158"/>
      <c r="AC754" s="158"/>
      <c r="AD754" s="158"/>
      <c r="AE754" s="158"/>
      <c r="AF754" s="158"/>
      <c r="AG754" s="158"/>
      <c r="AH754" s="158"/>
      <c r="AI754" s="158"/>
      <c r="AJ754" s="158"/>
      <c r="AK754" s="158"/>
    </row>
    <row r="755" spans="1:37" s="19" customFormat="1" ht="12.75">
      <c r="A755" s="157"/>
      <c r="B755" s="157"/>
      <c r="C755" s="157"/>
      <c r="D755" s="157"/>
      <c r="E755" s="158"/>
      <c r="F755" s="158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  <c r="AA755" s="158"/>
      <c r="AB755" s="158"/>
      <c r="AC755" s="158"/>
      <c r="AD755" s="158"/>
      <c r="AE755" s="158"/>
      <c r="AF755" s="158"/>
      <c r="AG755" s="158"/>
      <c r="AH755" s="158"/>
      <c r="AI755" s="158"/>
      <c r="AJ755" s="158"/>
      <c r="AK755" s="158"/>
    </row>
  </sheetData>
  <sheetProtection/>
  <printOptions horizontalCentered="1"/>
  <pageMargins left="0.35433070866141736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7"/>
  <sheetViews>
    <sheetView zoomScalePageLayoutView="0" workbookViewId="0" topLeftCell="A1">
      <selection activeCell="AB10" sqref="AB10"/>
    </sheetView>
  </sheetViews>
  <sheetFormatPr defaultColWidth="9.00390625" defaultRowHeight="12.75"/>
  <cols>
    <col min="1" max="1" width="5.625" style="6" customWidth="1"/>
    <col min="2" max="2" width="7.25390625" style="6" bestFit="1" customWidth="1"/>
    <col min="3" max="3" width="5.75390625" style="6" customWidth="1"/>
    <col min="4" max="4" width="32.25390625" style="6" customWidth="1"/>
    <col min="5" max="5" width="13.75390625" style="6" hidden="1" customWidth="1"/>
    <col min="6" max="6" width="14.875" style="6" hidden="1" customWidth="1"/>
    <col min="7" max="7" width="13.75390625" style="6" hidden="1" customWidth="1"/>
    <col min="8" max="8" width="13.00390625" style="6" hidden="1" customWidth="1"/>
    <col min="9" max="9" width="13.75390625" style="6" hidden="1" customWidth="1"/>
    <col min="10" max="10" width="13.00390625" style="6" hidden="1" customWidth="1"/>
    <col min="11" max="11" width="13.75390625" style="6" hidden="1" customWidth="1"/>
    <col min="12" max="12" width="13.00390625" style="6" hidden="1" customWidth="1"/>
    <col min="13" max="13" width="13.75390625" style="6" hidden="1" customWidth="1"/>
    <col min="14" max="14" width="13.00390625" style="6" hidden="1" customWidth="1"/>
    <col min="15" max="15" width="13.75390625" style="6" hidden="1" customWidth="1"/>
    <col min="16" max="16" width="13.00390625" style="6" hidden="1" customWidth="1"/>
    <col min="17" max="17" width="41.375" style="6" hidden="1" customWidth="1"/>
    <col min="18" max="18" width="10.25390625" style="6" hidden="1" customWidth="1"/>
    <col min="19" max="19" width="45.75390625" style="6" hidden="1" customWidth="1"/>
    <col min="20" max="20" width="9.75390625" style="6" hidden="1" customWidth="1"/>
    <col min="21" max="21" width="45.75390625" style="6" hidden="1" customWidth="1"/>
    <col min="22" max="22" width="10.875" style="6" hidden="1" customWidth="1"/>
    <col min="23" max="23" width="13.75390625" style="6" hidden="1" customWidth="1"/>
    <col min="24" max="24" width="13.00390625" style="6" hidden="1" customWidth="1"/>
    <col min="25" max="25" width="14.375" style="6" hidden="1" customWidth="1"/>
    <col min="26" max="26" width="13.00390625" style="6" hidden="1" customWidth="1"/>
    <col min="27" max="27" width="14.75390625" style="6" customWidth="1"/>
    <col min="28" max="28" width="13.00390625" style="6" customWidth="1"/>
    <col min="29" max="29" width="14.75390625" style="6" customWidth="1"/>
  </cols>
  <sheetData>
    <row r="1" spans="1:29" ht="12.75">
      <c r="A1" s="37"/>
      <c r="B1" s="37"/>
      <c r="C1" s="37"/>
      <c r="D1" s="37"/>
      <c r="E1" s="38" t="s">
        <v>264</v>
      </c>
      <c r="F1" s="38"/>
      <c r="G1" s="38" t="s">
        <v>265</v>
      </c>
      <c r="H1" s="38"/>
      <c r="I1" s="38" t="s">
        <v>266</v>
      </c>
      <c r="J1" s="38"/>
      <c r="K1" s="38" t="s">
        <v>267</v>
      </c>
      <c r="L1" s="38"/>
      <c r="M1" s="38" t="s">
        <v>268</v>
      </c>
      <c r="N1" s="38"/>
      <c r="O1" s="38" t="s">
        <v>269</v>
      </c>
      <c r="P1" s="38"/>
      <c r="Q1" s="38" t="s">
        <v>270</v>
      </c>
      <c r="R1" s="38"/>
      <c r="S1" s="38" t="s">
        <v>392</v>
      </c>
      <c r="T1" s="38"/>
      <c r="U1" s="38" t="s">
        <v>399</v>
      </c>
      <c r="V1" s="38"/>
      <c r="W1" s="38" t="s">
        <v>425</v>
      </c>
      <c r="X1" s="38"/>
      <c r="Y1" s="38" t="s">
        <v>438</v>
      </c>
      <c r="Z1" s="38"/>
      <c r="AA1" s="38" t="s">
        <v>444</v>
      </c>
      <c r="AB1" s="38"/>
      <c r="AC1" s="38"/>
    </row>
    <row r="2" spans="1:29" ht="12.75">
      <c r="A2" s="37"/>
      <c r="B2" s="37"/>
      <c r="C2" s="37"/>
      <c r="D2" s="37"/>
      <c r="E2" s="38" t="s">
        <v>211</v>
      </c>
      <c r="F2" s="38"/>
      <c r="G2" s="38" t="s">
        <v>230</v>
      </c>
      <c r="H2" s="38"/>
      <c r="I2" s="38" t="s">
        <v>233</v>
      </c>
      <c r="J2" s="38"/>
      <c r="K2" s="38" t="s">
        <v>237</v>
      </c>
      <c r="L2" s="38"/>
      <c r="M2" s="38" t="s">
        <v>239</v>
      </c>
      <c r="N2" s="38"/>
      <c r="O2" s="38" t="s">
        <v>247</v>
      </c>
      <c r="P2" s="38"/>
      <c r="Q2" s="38" t="s">
        <v>271</v>
      </c>
      <c r="R2" s="38"/>
      <c r="S2" s="38" t="s">
        <v>391</v>
      </c>
      <c r="T2" s="38"/>
      <c r="U2" s="38" t="s">
        <v>396</v>
      </c>
      <c r="V2" s="38"/>
      <c r="W2" s="38" t="s">
        <v>423</v>
      </c>
      <c r="X2" s="38"/>
      <c r="Y2" s="38" t="s">
        <v>436</v>
      </c>
      <c r="Z2" s="38"/>
      <c r="AA2" s="38" t="s">
        <v>441</v>
      </c>
      <c r="AB2" s="38"/>
      <c r="AC2" s="38"/>
    </row>
    <row r="3" spans="1:29" ht="12.75">
      <c r="A3" s="37"/>
      <c r="B3" s="37"/>
      <c r="C3" s="37"/>
      <c r="D3" s="37"/>
      <c r="E3" s="38" t="s">
        <v>272</v>
      </c>
      <c r="F3" s="38"/>
      <c r="G3" s="38" t="s">
        <v>264</v>
      </c>
      <c r="H3" s="38"/>
      <c r="I3" s="38" t="s">
        <v>265</v>
      </c>
      <c r="J3" s="38"/>
      <c r="K3" s="38" t="s">
        <v>266</v>
      </c>
      <c r="L3" s="38"/>
      <c r="M3" s="38" t="s">
        <v>267</v>
      </c>
      <c r="N3" s="38"/>
      <c r="O3" s="38" t="s">
        <v>268</v>
      </c>
      <c r="P3" s="38"/>
      <c r="Q3" s="38" t="s">
        <v>273</v>
      </c>
      <c r="R3" s="38"/>
      <c r="S3" s="38" t="s">
        <v>270</v>
      </c>
      <c r="T3" s="38"/>
      <c r="U3" s="38" t="s">
        <v>392</v>
      </c>
      <c r="V3" s="38"/>
      <c r="W3" s="38" t="s">
        <v>399</v>
      </c>
      <c r="X3" s="38"/>
      <c r="Y3" s="38" t="s">
        <v>425</v>
      </c>
      <c r="Z3" s="38"/>
      <c r="AA3" s="38" t="s">
        <v>438</v>
      </c>
      <c r="AB3" s="38"/>
      <c r="AC3" s="38"/>
    </row>
    <row r="4" spans="1:29" ht="12.75">
      <c r="A4" s="37"/>
      <c r="B4" s="37"/>
      <c r="C4" s="37"/>
      <c r="D4" s="37"/>
      <c r="E4" s="38" t="s">
        <v>209</v>
      </c>
      <c r="F4" s="38"/>
      <c r="G4" s="38" t="s">
        <v>215</v>
      </c>
      <c r="H4" s="38"/>
      <c r="I4" s="38" t="s">
        <v>231</v>
      </c>
      <c r="J4" s="38"/>
      <c r="K4" s="38" t="s">
        <v>235</v>
      </c>
      <c r="L4" s="38"/>
      <c r="M4" s="38" t="s">
        <v>238</v>
      </c>
      <c r="N4" s="38"/>
      <c r="O4" s="38" t="s">
        <v>241</v>
      </c>
      <c r="P4" s="38"/>
      <c r="Q4" s="38" t="s">
        <v>263</v>
      </c>
      <c r="R4" s="38"/>
      <c r="S4" s="38" t="s">
        <v>282</v>
      </c>
      <c r="T4" s="38"/>
      <c r="U4" s="38" t="s">
        <v>394</v>
      </c>
      <c r="V4" s="38"/>
      <c r="W4" s="38" t="s">
        <v>401</v>
      </c>
      <c r="X4" s="38"/>
      <c r="Y4" s="38" t="s">
        <v>429</v>
      </c>
      <c r="Z4" s="38"/>
      <c r="AA4" s="38" t="s">
        <v>442</v>
      </c>
      <c r="AB4" s="38"/>
      <c r="AC4" s="38"/>
    </row>
    <row r="5" spans="1:29" ht="27.75" customHeight="1">
      <c r="A5" s="180" t="s">
        <v>274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</row>
    <row r="6" spans="1:29" s="6" customFormat="1" ht="28.5" customHeight="1">
      <c r="A6" s="102" t="s">
        <v>0</v>
      </c>
      <c r="B6" s="102" t="s">
        <v>1</v>
      </c>
      <c r="C6" s="103" t="s">
        <v>2</v>
      </c>
      <c r="D6" s="102" t="s">
        <v>3</v>
      </c>
      <c r="E6" s="104" t="s">
        <v>116</v>
      </c>
      <c r="F6" s="104" t="s">
        <v>206</v>
      </c>
      <c r="G6" s="104" t="s">
        <v>117</v>
      </c>
      <c r="H6" s="104" t="s">
        <v>205</v>
      </c>
      <c r="I6" s="104" t="s">
        <v>117</v>
      </c>
      <c r="J6" s="104" t="s">
        <v>205</v>
      </c>
      <c r="K6" s="104" t="s">
        <v>117</v>
      </c>
      <c r="L6" s="104" t="s">
        <v>205</v>
      </c>
      <c r="M6" s="104" t="s">
        <v>117</v>
      </c>
      <c r="N6" s="104" t="s">
        <v>205</v>
      </c>
      <c r="O6" s="104" t="s">
        <v>117</v>
      </c>
      <c r="P6" s="104" t="s">
        <v>205</v>
      </c>
      <c r="Q6" s="104" t="s">
        <v>117</v>
      </c>
      <c r="R6" s="104" t="s">
        <v>205</v>
      </c>
      <c r="S6" s="104" t="s">
        <v>117</v>
      </c>
      <c r="T6" s="104" t="s">
        <v>205</v>
      </c>
      <c r="U6" s="104" t="s">
        <v>117</v>
      </c>
      <c r="V6" s="104" t="s">
        <v>205</v>
      </c>
      <c r="W6" s="104" t="s">
        <v>117</v>
      </c>
      <c r="X6" s="104" t="s">
        <v>205</v>
      </c>
      <c r="Y6" s="104" t="s">
        <v>117</v>
      </c>
      <c r="Z6" s="104" t="s">
        <v>205</v>
      </c>
      <c r="AA6" s="104" t="s">
        <v>117</v>
      </c>
      <c r="AB6" s="104" t="s">
        <v>205</v>
      </c>
      <c r="AC6" s="104" t="s">
        <v>275</v>
      </c>
    </row>
    <row r="7" spans="1:29" s="6" customFormat="1" ht="28.5" customHeight="1">
      <c r="A7" s="27" t="s">
        <v>4</v>
      </c>
      <c r="B7" s="102"/>
      <c r="C7" s="103"/>
      <c r="D7" s="30" t="s">
        <v>5</v>
      </c>
      <c r="E7" s="104"/>
      <c r="F7" s="104"/>
      <c r="G7" s="104"/>
      <c r="H7" s="104"/>
      <c r="I7" s="104"/>
      <c r="J7" s="104"/>
      <c r="K7" s="104"/>
      <c r="L7" s="104"/>
      <c r="M7" s="105">
        <f aca="true" t="shared" si="0" ref="M7:AB8">SUM(M8)</f>
        <v>0</v>
      </c>
      <c r="N7" s="105">
        <f t="shared" si="0"/>
        <v>285502</v>
      </c>
      <c r="O7" s="105">
        <f t="shared" si="0"/>
        <v>285502</v>
      </c>
      <c r="P7" s="105">
        <f t="shared" si="0"/>
        <v>0</v>
      </c>
      <c r="Q7" s="105">
        <f t="shared" si="0"/>
        <v>285502</v>
      </c>
      <c r="R7" s="105">
        <f t="shared" si="0"/>
        <v>0</v>
      </c>
      <c r="S7" s="105">
        <f t="shared" si="0"/>
        <v>285502</v>
      </c>
      <c r="T7" s="105">
        <f t="shared" si="0"/>
        <v>0</v>
      </c>
      <c r="U7" s="105">
        <f t="shared" si="0"/>
        <v>285502</v>
      </c>
      <c r="V7" s="105">
        <f t="shared" si="0"/>
        <v>0</v>
      </c>
      <c r="W7" s="105">
        <f t="shared" si="0"/>
        <v>285502</v>
      </c>
      <c r="X7" s="105">
        <f t="shared" si="0"/>
        <v>129947</v>
      </c>
      <c r="Y7" s="105">
        <f t="shared" si="0"/>
        <v>415449</v>
      </c>
      <c r="Z7" s="105">
        <f t="shared" si="0"/>
        <v>0</v>
      </c>
      <c r="AA7" s="105">
        <f t="shared" si="0"/>
        <v>415449</v>
      </c>
      <c r="AB7" s="105">
        <f t="shared" si="0"/>
        <v>134970</v>
      </c>
      <c r="AC7" s="105">
        <f>SUM(AC8)</f>
        <v>550419</v>
      </c>
    </row>
    <row r="8" spans="1:29" s="75" customFormat="1" ht="28.5" customHeight="1">
      <c r="A8" s="106"/>
      <c r="B8" s="107" t="s">
        <v>187</v>
      </c>
      <c r="C8" s="108"/>
      <c r="D8" s="99" t="s">
        <v>6</v>
      </c>
      <c r="E8" s="109"/>
      <c r="F8" s="109"/>
      <c r="G8" s="109"/>
      <c r="H8" s="109"/>
      <c r="I8" s="109"/>
      <c r="J8" s="109"/>
      <c r="K8" s="109"/>
      <c r="L8" s="109"/>
      <c r="M8" s="110">
        <f t="shared" si="0"/>
        <v>0</v>
      </c>
      <c r="N8" s="110">
        <f t="shared" si="0"/>
        <v>285502</v>
      </c>
      <c r="O8" s="110">
        <f t="shared" si="0"/>
        <v>285502</v>
      </c>
      <c r="P8" s="110">
        <f t="shared" si="0"/>
        <v>0</v>
      </c>
      <c r="Q8" s="110">
        <f t="shared" si="0"/>
        <v>285502</v>
      </c>
      <c r="R8" s="110">
        <f t="shared" si="0"/>
        <v>0</v>
      </c>
      <c r="S8" s="110">
        <f t="shared" si="0"/>
        <v>285502</v>
      </c>
      <c r="T8" s="110">
        <f t="shared" si="0"/>
        <v>0</v>
      </c>
      <c r="U8" s="110">
        <f t="shared" si="0"/>
        <v>285502</v>
      </c>
      <c r="V8" s="110">
        <f t="shared" si="0"/>
        <v>0</v>
      </c>
      <c r="W8" s="110">
        <f t="shared" si="0"/>
        <v>285502</v>
      </c>
      <c r="X8" s="110">
        <f t="shared" si="0"/>
        <v>129947</v>
      </c>
      <c r="Y8" s="110">
        <f t="shared" si="0"/>
        <v>415449</v>
      </c>
      <c r="Z8" s="110">
        <f t="shared" si="0"/>
        <v>0</v>
      </c>
      <c r="AA8" s="110">
        <f t="shared" si="0"/>
        <v>415449</v>
      </c>
      <c r="AB8" s="110">
        <f>SUM(AB9)</f>
        <v>134970</v>
      </c>
      <c r="AC8" s="110">
        <f>SUM(AC9)</f>
        <v>550419</v>
      </c>
    </row>
    <row r="9" spans="1:29" s="75" customFormat="1" ht="56.25">
      <c r="A9" s="106"/>
      <c r="B9" s="106"/>
      <c r="C9" s="108">
        <v>2010</v>
      </c>
      <c r="D9" s="31" t="s">
        <v>276</v>
      </c>
      <c r="E9" s="109"/>
      <c r="F9" s="109"/>
      <c r="G9" s="109"/>
      <c r="H9" s="109"/>
      <c r="I9" s="109"/>
      <c r="J9" s="109"/>
      <c r="K9" s="109"/>
      <c r="L9" s="109"/>
      <c r="M9" s="110">
        <v>0</v>
      </c>
      <c r="N9" s="110">
        <v>285502</v>
      </c>
      <c r="O9" s="110">
        <f>SUM(M9:N9)</f>
        <v>285502</v>
      </c>
      <c r="P9" s="110"/>
      <c r="Q9" s="110">
        <f>SUM(O9:P9)</f>
        <v>285502</v>
      </c>
      <c r="R9" s="110"/>
      <c r="S9" s="110">
        <f>SUM(Q9:R9)</f>
        <v>285502</v>
      </c>
      <c r="T9" s="110"/>
      <c r="U9" s="110">
        <f>SUM(S9:T9)</f>
        <v>285502</v>
      </c>
      <c r="V9" s="110"/>
      <c r="W9" s="110">
        <f>SUM(U9:V9)</f>
        <v>285502</v>
      </c>
      <c r="X9" s="110">
        <v>129947</v>
      </c>
      <c r="Y9" s="110">
        <f>SUM(W9:X9)</f>
        <v>415449</v>
      </c>
      <c r="Z9" s="110"/>
      <c r="AA9" s="110">
        <f>SUM(Y9:Z9)</f>
        <v>415449</v>
      </c>
      <c r="AB9" s="110">
        <v>134970</v>
      </c>
      <c r="AC9" s="110">
        <f>SUM(AA9:AB9)</f>
        <v>550419</v>
      </c>
    </row>
    <row r="10" spans="1:29" s="6" customFormat="1" ht="24" customHeight="1">
      <c r="A10" s="27" t="s">
        <v>14</v>
      </c>
      <c r="B10" s="111"/>
      <c r="C10" s="112"/>
      <c r="D10" s="30" t="s">
        <v>15</v>
      </c>
      <c r="E10" s="105">
        <f aca="true" t="shared" si="1" ref="E10:AC10">SUM(E11)</f>
        <v>156600</v>
      </c>
      <c r="F10" s="105">
        <f t="shared" si="1"/>
        <v>0</v>
      </c>
      <c r="G10" s="105">
        <f t="shared" si="1"/>
        <v>156600</v>
      </c>
      <c r="H10" s="105">
        <f t="shared" si="1"/>
        <v>0</v>
      </c>
      <c r="I10" s="105">
        <f t="shared" si="1"/>
        <v>156600</v>
      </c>
      <c r="J10" s="105">
        <f t="shared" si="1"/>
        <v>0</v>
      </c>
      <c r="K10" s="105">
        <f t="shared" si="1"/>
        <v>156600</v>
      </c>
      <c r="L10" s="105">
        <f t="shared" si="1"/>
        <v>0</v>
      </c>
      <c r="M10" s="105">
        <f t="shared" si="1"/>
        <v>156600</v>
      </c>
      <c r="N10" s="105">
        <f t="shared" si="1"/>
        <v>0</v>
      </c>
      <c r="O10" s="105">
        <f t="shared" si="1"/>
        <v>156600</v>
      </c>
      <c r="P10" s="105">
        <f t="shared" si="1"/>
        <v>0</v>
      </c>
      <c r="Q10" s="105">
        <f t="shared" si="1"/>
        <v>156600</v>
      </c>
      <c r="R10" s="105">
        <f t="shared" si="1"/>
        <v>0</v>
      </c>
      <c r="S10" s="105">
        <f t="shared" si="1"/>
        <v>156600</v>
      </c>
      <c r="T10" s="105">
        <f t="shared" si="1"/>
        <v>0</v>
      </c>
      <c r="U10" s="105">
        <f t="shared" si="1"/>
        <v>156600</v>
      </c>
      <c r="V10" s="105">
        <f t="shared" si="1"/>
        <v>0</v>
      </c>
      <c r="W10" s="105">
        <f t="shared" si="1"/>
        <v>156600</v>
      </c>
      <c r="X10" s="105">
        <f t="shared" si="1"/>
        <v>0</v>
      </c>
      <c r="Y10" s="105">
        <f t="shared" si="1"/>
        <v>156600</v>
      </c>
      <c r="Z10" s="105">
        <f t="shared" si="1"/>
        <v>0</v>
      </c>
      <c r="AA10" s="105">
        <f t="shared" si="1"/>
        <v>156600</v>
      </c>
      <c r="AB10" s="105">
        <f t="shared" si="1"/>
        <v>0</v>
      </c>
      <c r="AC10" s="105">
        <f t="shared" si="1"/>
        <v>156600</v>
      </c>
    </row>
    <row r="11" spans="1:29" s="20" customFormat="1" ht="21.75" customHeight="1">
      <c r="A11" s="41"/>
      <c r="B11" s="41">
        <v>75011</v>
      </c>
      <c r="C11" s="42"/>
      <c r="D11" s="31" t="s">
        <v>16</v>
      </c>
      <c r="E11" s="113">
        <f aca="true" t="shared" si="2" ref="E11:AC11">E12</f>
        <v>156600</v>
      </c>
      <c r="F11" s="113">
        <f t="shared" si="2"/>
        <v>0</v>
      </c>
      <c r="G11" s="113">
        <f t="shared" si="2"/>
        <v>156600</v>
      </c>
      <c r="H11" s="113">
        <f t="shared" si="2"/>
        <v>0</v>
      </c>
      <c r="I11" s="113">
        <f t="shared" si="2"/>
        <v>156600</v>
      </c>
      <c r="J11" s="113">
        <f t="shared" si="2"/>
        <v>0</v>
      </c>
      <c r="K11" s="113">
        <f t="shared" si="2"/>
        <v>156600</v>
      </c>
      <c r="L11" s="113">
        <f t="shared" si="2"/>
        <v>0</v>
      </c>
      <c r="M11" s="113">
        <f t="shared" si="2"/>
        <v>156600</v>
      </c>
      <c r="N11" s="113">
        <f t="shared" si="2"/>
        <v>0</v>
      </c>
      <c r="O11" s="113">
        <f t="shared" si="2"/>
        <v>156600</v>
      </c>
      <c r="P11" s="113">
        <f t="shared" si="2"/>
        <v>0</v>
      </c>
      <c r="Q11" s="113">
        <f t="shared" si="2"/>
        <v>156600</v>
      </c>
      <c r="R11" s="113">
        <f t="shared" si="2"/>
        <v>0</v>
      </c>
      <c r="S11" s="113">
        <f t="shared" si="2"/>
        <v>156600</v>
      </c>
      <c r="T11" s="113">
        <f t="shared" si="2"/>
        <v>0</v>
      </c>
      <c r="U11" s="113">
        <f t="shared" si="2"/>
        <v>156600</v>
      </c>
      <c r="V11" s="113">
        <f t="shared" si="2"/>
        <v>0</v>
      </c>
      <c r="W11" s="113">
        <f t="shared" si="2"/>
        <v>156600</v>
      </c>
      <c r="X11" s="113">
        <f t="shared" si="2"/>
        <v>0</v>
      </c>
      <c r="Y11" s="113">
        <f t="shared" si="2"/>
        <v>156600</v>
      </c>
      <c r="Z11" s="113">
        <f t="shared" si="2"/>
        <v>0</v>
      </c>
      <c r="AA11" s="113">
        <f t="shared" si="2"/>
        <v>156600</v>
      </c>
      <c r="AB11" s="113">
        <f t="shared" si="2"/>
        <v>0</v>
      </c>
      <c r="AC11" s="113">
        <f t="shared" si="2"/>
        <v>156600</v>
      </c>
    </row>
    <row r="12" spans="1:29" s="20" customFormat="1" ht="56.25">
      <c r="A12" s="41"/>
      <c r="B12" s="58"/>
      <c r="C12" s="43" t="s">
        <v>277</v>
      </c>
      <c r="D12" s="31" t="s">
        <v>276</v>
      </c>
      <c r="E12" s="113">
        <v>156600</v>
      </c>
      <c r="F12" s="113"/>
      <c r="G12" s="113">
        <f>SUM(E12:F12)</f>
        <v>156600</v>
      </c>
      <c r="H12" s="113"/>
      <c r="I12" s="113">
        <f>SUM(G12:H12)</f>
        <v>156600</v>
      </c>
      <c r="J12" s="113"/>
      <c r="K12" s="113">
        <f>SUM(I12:J12)</f>
        <v>156600</v>
      </c>
      <c r="L12" s="113"/>
      <c r="M12" s="113">
        <f>SUM(K12:L12)</f>
        <v>156600</v>
      </c>
      <c r="N12" s="113"/>
      <c r="O12" s="113">
        <f>SUM(M12:N12)</f>
        <v>156600</v>
      </c>
      <c r="P12" s="113"/>
      <c r="Q12" s="113">
        <f>SUM(O12:P12)</f>
        <v>156600</v>
      </c>
      <c r="R12" s="113"/>
      <c r="S12" s="113">
        <f>SUM(Q12:R12)</f>
        <v>156600</v>
      </c>
      <c r="T12" s="113"/>
      <c r="U12" s="113">
        <f>SUM(S12:T12)</f>
        <v>156600</v>
      </c>
      <c r="V12" s="113"/>
      <c r="W12" s="113">
        <f>SUM(U12:V12)</f>
        <v>156600</v>
      </c>
      <c r="X12" s="113"/>
      <c r="Y12" s="113">
        <f>SUM(W12:X12)</f>
        <v>156600</v>
      </c>
      <c r="Z12" s="113"/>
      <c r="AA12" s="113">
        <f>SUM(Y12:Z12)</f>
        <v>156600</v>
      </c>
      <c r="AB12" s="113"/>
      <c r="AC12" s="113">
        <f>SUM(AA12:AB12)</f>
        <v>156600</v>
      </c>
    </row>
    <row r="13" spans="1:29" s="6" customFormat="1" ht="40.5" customHeight="1">
      <c r="A13" s="27">
        <v>751</v>
      </c>
      <c r="B13" s="29"/>
      <c r="C13" s="114"/>
      <c r="D13" s="30" t="s">
        <v>19</v>
      </c>
      <c r="E13" s="115">
        <f>SUM(E14)</f>
        <v>3910</v>
      </c>
      <c r="F13" s="115">
        <f>SUM(F14)</f>
        <v>0</v>
      </c>
      <c r="G13" s="115">
        <f>SUM(G14)</f>
        <v>3910</v>
      </c>
      <c r="H13" s="115">
        <f>SUM(H14)</f>
        <v>0</v>
      </c>
      <c r="I13" s="115">
        <f aca="true" t="shared" si="3" ref="I13:O13">SUM(I14,I16)</f>
        <v>3910</v>
      </c>
      <c r="J13" s="115">
        <f t="shared" si="3"/>
        <v>19932</v>
      </c>
      <c r="K13" s="115">
        <f t="shared" si="3"/>
        <v>23842</v>
      </c>
      <c r="L13" s="115">
        <f t="shared" si="3"/>
        <v>0</v>
      </c>
      <c r="M13" s="115">
        <f t="shared" si="3"/>
        <v>23842</v>
      </c>
      <c r="N13" s="115">
        <f t="shared" si="3"/>
        <v>1000</v>
      </c>
      <c r="O13" s="115">
        <f t="shared" si="3"/>
        <v>24842</v>
      </c>
      <c r="P13" s="115">
        <f aca="true" t="shared" si="4" ref="P13:U13">SUM(P14,P16)</f>
        <v>21240</v>
      </c>
      <c r="Q13" s="115">
        <f t="shared" si="4"/>
        <v>46082</v>
      </c>
      <c r="R13" s="115">
        <f t="shared" si="4"/>
        <v>0</v>
      </c>
      <c r="S13" s="115">
        <f t="shared" si="4"/>
        <v>46082</v>
      </c>
      <c r="T13" s="115">
        <f t="shared" si="4"/>
        <v>0</v>
      </c>
      <c r="U13" s="115">
        <f t="shared" si="4"/>
        <v>46082</v>
      </c>
      <c r="V13" s="115">
        <f aca="true" t="shared" si="5" ref="V13:AA13">SUM(V14,V16)</f>
        <v>0</v>
      </c>
      <c r="W13" s="115">
        <f t="shared" si="5"/>
        <v>46082</v>
      </c>
      <c r="X13" s="115">
        <f t="shared" si="5"/>
        <v>0</v>
      </c>
      <c r="Y13" s="115">
        <f t="shared" si="5"/>
        <v>46082</v>
      </c>
      <c r="Z13" s="115">
        <f t="shared" si="5"/>
        <v>0</v>
      </c>
      <c r="AA13" s="115">
        <f t="shared" si="5"/>
        <v>46082</v>
      </c>
      <c r="AB13" s="115">
        <f>SUM(AB14,AB16)</f>
        <v>0</v>
      </c>
      <c r="AC13" s="115">
        <f>SUM(AC14,AC16)</f>
        <v>46082</v>
      </c>
    </row>
    <row r="14" spans="1:29" s="20" customFormat="1" ht="22.5">
      <c r="A14" s="58"/>
      <c r="B14" s="41">
        <v>75101</v>
      </c>
      <c r="C14" s="42"/>
      <c r="D14" s="31" t="s">
        <v>20</v>
      </c>
      <c r="E14" s="60">
        <f aca="true" t="shared" si="6" ref="E14:AC14">E15</f>
        <v>3910</v>
      </c>
      <c r="F14" s="60">
        <f t="shared" si="6"/>
        <v>0</v>
      </c>
      <c r="G14" s="60">
        <f t="shared" si="6"/>
        <v>3910</v>
      </c>
      <c r="H14" s="60">
        <f t="shared" si="6"/>
        <v>0</v>
      </c>
      <c r="I14" s="60">
        <f t="shared" si="6"/>
        <v>3910</v>
      </c>
      <c r="J14" s="60">
        <f t="shared" si="6"/>
        <v>0</v>
      </c>
      <c r="K14" s="60">
        <f t="shared" si="6"/>
        <v>3910</v>
      </c>
      <c r="L14" s="60">
        <f t="shared" si="6"/>
        <v>0</v>
      </c>
      <c r="M14" s="60">
        <f t="shared" si="6"/>
        <v>3910</v>
      </c>
      <c r="N14" s="60">
        <f t="shared" si="6"/>
        <v>0</v>
      </c>
      <c r="O14" s="60">
        <f t="shared" si="6"/>
        <v>3910</v>
      </c>
      <c r="P14" s="60">
        <f t="shared" si="6"/>
        <v>0</v>
      </c>
      <c r="Q14" s="60">
        <f t="shared" si="6"/>
        <v>3910</v>
      </c>
      <c r="R14" s="60">
        <f t="shared" si="6"/>
        <v>0</v>
      </c>
      <c r="S14" s="60">
        <f t="shared" si="6"/>
        <v>3910</v>
      </c>
      <c r="T14" s="60">
        <f t="shared" si="6"/>
        <v>0</v>
      </c>
      <c r="U14" s="60">
        <f t="shared" si="6"/>
        <v>3910</v>
      </c>
      <c r="V14" s="60">
        <f t="shared" si="6"/>
        <v>0</v>
      </c>
      <c r="W14" s="60">
        <f t="shared" si="6"/>
        <v>3910</v>
      </c>
      <c r="X14" s="60">
        <f t="shared" si="6"/>
        <v>0</v>
      </c>
      <c r="Y14" s="60">
        <f t="shared" si="6"/>
        <v>3910</v>
      </c>
      <c r="Z14" s="60">
        <f t="shared" si="6"/>
        <v>0</v>
      </c>
      <c r="AA14" s="60">
        <f t="shared" si="6"/>
        <v>3910</v>
      </c>
      <c r="AB14" s="60">
        <f t="shared" si="6"/>
        <v>0</v>
      </c>
      <c r="AC14" s="60">
        <f t="shared" si="6"/>
        <v>3910</v>
      </c>
    </row>
    <row r="15" spans="1:29" s="20" customFormat="1" ht="56.25">
      <c r="A15" s="58"/>
      <c r="B15" s="41"/>
      <c r="C15" s="43" t="s">
        <v>277</v>
      </c>
      <c r="D15" s="31" t="s">
        <v>278</v>
      </c>
      <c r="E15" s="60">
        <v>3910</v>
      </c>
      <c r="F15" s="60"/>
      <c r="G15" s="60">
        <f>SUM(E15:F15)</f>
        <v>3910</v>
      </c>
      <c r="H15" s="60"/>
      <c r="I15" s="60">
        <f>SUM(G15:H15)</f>
        <v>3910</v>
      </c>
      <c r="J15" s="60"/>
      <c r="K15" s="60">
        <f>SUM(I15:J15)</f>
        <v>3910</v>
      </c>
      <c r="L15" s="60"/>
      <c r="M15" s="60">
        <f>SUM(K15:L15)</f>
        <v>3910</v>
      </c>
      <c r="N15" s="60"/>
      <c r="O15" s="60">
        <f>SUM(M15:N15)</f>
        <v>3910</v>
      </c>
      <c r="P15" s="60"/>
      <c r="Q15" s="60">
        <f>SUM(O15:P15)</f>
        <v>3910</v>
      </c>
      <c r="R15" s="60"/>
      <c r="S15" s="60">
        <f>SUM(Q15:R15)</f>
        <v>3910</v>
      </c>
      <c r="T15" s="60"/>
      <c r="U15" s="60">
        <f>SUM(S15:T15)</f>
        <v>3910</v>
      </c>
      <c r="V15" s="60"/>
      <c r="W15" s="60">
        <f>SUM(U15:V15)</f>
        <v>3910</v>
      </c>
      <c r="X15" s="60"/>
      <c r="Y15" s="60">
        <f>SUM(W15:X15)</f>
        <v>3910</v>
      </c>
      <c r="Z15" s="60"/>
      <c r="AA15" s="60">
        <f>SUM(Y15:Z15)</f>
        <v>3910</v>
      </c>
      <c r="AB15" s="60"/>
      <c r="AC15" s="60">
        <f>SUM(AA15:AB15)</f>
        <v>3910</v>
      </c>
    </row>
    <row r="16" spans="1:29" s="20" customFormat="1" ht="24" customHeight="1">
      <c r="A16" s="58"/>
      <c r="B16" s="41">
        <v>75113</v>
      </c>
      <c r="C16" s="41"/>
      <c r="D16" s="31" t="s">
        <v>232</v>
      </c>
      <c r="E16" s="60"/>
      <c r="F16" s="60"/>
      <c r="G16" s="60"/>
      <c r="H16" s="60"/>
      <c r="I16" s="60">
        <f aca="true" t="shared" si="7" ref="I16:AC16">SUM(I17)</f>
        <v>0</v>
      </c>
      <c r="J16" s="60">
        <f t="shared" si="7"/>
        <v>19932</v>
      </c>
      <c r="K16" s="60">
        <f t="shared" si="7"/>
        <v>19932</v>
      </c>
      <c r="L16" s="60">
        <f t="shared" si="7"/>
        <v>0</v>
      </c>
      <c r="M16" s="60">
        <f t="shared" si="7"/>
        <v>19932</v>
      </c>
      <c r="N16" s="60">
        <f t="shared" si="7"/>
        <v>1000</v>
      </c>
      <c r="O16" s="60">
        <f t="shared" si="7"/>
        <v>20932</v>
      </c>
      <c r="P16" s="60">
        <f t="shared" si="7"/>
        <v>21240</v>
      </c>
      <c r="Q16" s="60">
        <f t="shared" si="7"/>
        <v>42172</v>
      </c>
      <c r="R16" s="60">
        <f t="shared" si="7"/>
        <v>0</v>
      </c>
      <c r="S16" s="60">
        <f t="shared" si="7"/>
        <v>42172</v>
      </c>
      <c r="T16" s="60">
        <f t="shared" si="7"/>
        <v>0</v>
      </c>
      <c r="U16" s="60">
        <f t="shared" si="7"/>
        <v>42172</v>
      </c>
      <c r="V16" s="60">
        <f t="shared" si="7"/>
        <v>0</v>
      </c>
      <c r="W16" s="60">
        <f t="shared" si="7"/>
        <v>42172</v>
      </c>
      <c r="X16" s="60">
        <f t="shared" si="7"/>
        <v>0</v>
      </c>
      <c r="Y16" s="60">
        <f t="shared" si="7"/>
        <v>42172</v>
      </c>
      <c r="Z16" s="60">
        <f t="shared" si="7"/>
        <v>0</v>
      </c>
      <c r="AA16" s="60">
        <f t="shared" si="7"/>
        <v>42172</v>
      </c>
      <c r="AB16" s="60">
        <f t="shared" si="7"/>
        <v>0</v>
      </c>
      <c r="AC16" s="60">
        <f t="shared" si="7"/>
        <v>42172</v>
      </c>
    </row>
    <row r="17" spans="1:29" s="20" customFormat="1" ht="56.25">
      <c r="A17" s="58"/>
      <c r="B17" s="41"/>
      <c r="C17" s="41">
        <v>2010</v>
      </c>
      <c r="D17" s="31" t="s">
        <v>278</v>
      </c>
      <c r="E17" s="60"/>
      <c r="F17" s="60"/>
      <c r="G17" s="60"/>
      <c r="H17" s="60"/>
      <c r="I17" s="60">
        <v>0</v>
      </c>
      <c r="J17" s="60">
        <v>19932</v>
      </c>
      <c r="K17" s="60">
        <f>SUM(I17:J17)</f>
        <v>19932</v>
      </c>
      <c r="L17" s="60"/>
      <c r="M17" s="60">
        <f>SUM(K17:L17)</f>
        <v>19932</v>
      </c>
      <c r="N17" s="60">
        <v>1000</v>
      </c>
      <c r="O17" s="60">
        <f>SUM(M17:N17)</f>
        <v>20932</v>
      </c>
      <c r="P17" s="60">
        <v>21240</v>
      </c>
      <c r="Q17" s="60">
        <f>SUM(O17:P17)</f>
        <v>42172</v>
      </c>
      <c r="R17" s="60"/>
      <c r="S17" s="60">
        <f>SUM(Q17:R17)</f>
        <v>42172</v>
      </c>
      <c r="T17" s="60"/>
      <c r="U17" s="60">
        <f>SUM(S17:T17)</f>
        <v>42172</v>
      </c>
      <c r="V17" s="60"/>
      <c r="W17" s="60">
        <f>SUM(U17:V17)</f>
        <v>42172</v>
      </c>
      <c r="X17" s="60"/>
      <c r="Y17" s="60">
        <f>SUM(W17:X17)</f>
        <v>42172</v>
      </c>
      <c r="Z17" s="60"/>
      <c r="AA17" s="60">
        <f>SUM(Y17:Z17)</f>
        <v>42172</v>
      </c>
      <c r="AB17" s="60"/>
      <c r="AC17" s="60">
        <f>SUM(AA17:AB17)</f>
        <v>42172</v>
      </c>
    </row>
    <row r="18" spans="1:29" s="9" customFormat="1" ht="24.75" customHeight="1">
      <c r="A18" s="116" t="s">
        <v>94</v>
      </c>
      <c r="B18" s="117"/>
      <c r="C18" s="118"/>
      <c r="D18" s="119" t="s">
        <v>95</v>
      </c>
      <c r="E18" s="120">
        <f aca="true" t="shared" si="8" ref="E18:Q18">SUM(E19,E23)</f>
        <v>55768</v>
      </c>
      <c r="F18" s="120">
        <f t="shared" si="8"/>
        <v>0</v>
      </c>
      <c r="G18" s="120">
        <f t="shared" si="8"/>
        <v>55768</v>
      </c>
      <c r="H18" s="120">
        <f t="shared" si="8"/>
        <v>0</v>
      </c>
      <c r="I18" s="120">
        <f t="shared" si="8"/>
        <v>55768</v>
      </c>
      <c r="J18" s="120">
        <f t="shared" si="8"/>
        <v>0</v>
      </c>
      <c r="K18" s="120">
        <f t="shared" si="8"/>
        <v>55768</v>
      </c>
      <c r="L18" s="120">
        <f t="shared" si="8"/>
        <v>0</v>
      </c>
      <c r="M18" s="120">
        <f t="shared" si="8"/>
        <v>55768</v>
      </c>
      <c r="N18" s="120">
        <f t="shared" si="8"/>
        <v>0</v>
      </c>
      <c r="O18" s="120">
        <f t="shared" si="8"/>
        <v>55768</v>
      </c>
      <c r="P18" s="120">
        <f t="shared" si="8"/>
        <v>0</v>
      </c>
      <c r="Q18" s="120">
        <f t="shared" si="8"/>
        <v>55768</v>
      </c>
      <c r="R18" s="120">
        <f aca="true" t="shared" si="9" ref="R18:W18">SUM(R19,R23)</f>
        <v>44050</v>
      </c>
      <c r="S18" s="120">
        <f t="shared" si="9"/>
        <v>99818</v>
      </c>
      <c r="T18" s="120">
        <f t="shared" si="9"/>
        <v>0</v>
      </c>
      <c r="U18" s="120">
        <f t="shared" si="9"/>
        <v>99818</v>
      </c>
      <c r="V18" s="120">
        <f t="shared" si="9"/>
        <v>-50986</v>
      </c>
      <c r="W18" s="120">
        <f t="shared" si="9"/>
        <v>48832</v>
      </c>
      <c r="X18" s="120">
        <f aca="true" t="shared" si="10" ref="X18:AC18">SUM(X19,X23)</f>
        <v>48495</v>
      </c>
      <c r="Y18" s="120">
        <f t="shared" si="10"/>
        <v>97327</v>
      </c>
      <c r="Z18" s="120">
        <f t="shared" si="10"/>
        <v>0</v>
      </c>
      <c r="AA18" s="120">
        <f t="shared" si="10"/>
        <v>97327</v>
      </c>
      <c r="AB18" s="120">
        <f t="shared" si="10"/>
        <v>0</v>
      </c>
      <c r="AC18" s="120">
        <f t="shared" si="10"/>
        <v>97327</v>
      </c>
    </row>
    <row r="19" spans="1:29" s="20" customFormat="1" ht="24.75" customHeight="1">
      <c r="A19" s="41"/>
      <c r="B19" s="55" t="s">
        <v>96</v>
      </c>
      <c r="C19" s="58"/>
      <c r="D19" s="31" t="s">
        <v>51</v>
      </c>
      <c r="E19" s="113">
        <f aca="true" t="shared" si="11" ref="E19:Q19">SUM(E22)</f>
        <v>4782</v>
      </c>
      <c r="F19" s="113">
        <f t="shared" si="11"/>
        <v>0</v>
      </c>
      <c r="G19" s="113">
        <f t="shared" si="11"/>
        <v>4782</v>
      </c>
      <c r="H19" s="113">
        <f t="shared" si="11"/>
        <v>0</v>
      </c>
      <c r="I19" s="113">
        <f t="shared" si="11"/>
        <v>4782</v>
      </c>
      <c r="J19" s="113">
        <f t="shared" si="11"/>
        <v>0</v>
      </c>
      <c r="K19" s="113">
        <f t="shared" si="11"/>
        <v>4782</v>
      </c>
      <c r="L19" s="113">
        <f t="shared" si="11"/>
        <v>0</v>
      </c>
      <c r="M19" s="113">
        <f t="shared" si="11"/>
        <v>4782</v>
      </c>
      <c r="N19" s="113">
        <f t="shared" si="11"/>
        <v>0</v>
      </c>
      <c r="O19" s="113">
        <f t="shared" si="11"/>
        <v>4782</v>
      </c>
      <c r="P19" s="113">
        <f t="shared" si="11"/>
        <v>0</v>
      </c>
      <c r="Q19" s="113">
        <f t="shared" si="11"/>
        <v>4782</v>
      </c>
      <c r="R19" s="113">
        <f>R20+R22</f>
        <v>44050</v>
      </c>
      <c r="S19" s="113">
        <f>S20+S22</f>
        <v>48832</v>
      </c>
      <c r="T19" s="113">
        <f>T20+T22</f>
        <v>0</v>
      </c>
      <c r="U19" s="113">
        <f>U20+U22</f>
        <v>48832</v>
      </c>
      <c r="V19" s="113">
        <f>V20+V22</f>
        <v>0</v>
      </c>
      <c r="W19" s="113">
        <f aca="true" t="shared" si="12" ref="W19:AC19">W20+W22+W21</f>
        <v>48832</v>
      </c>
      <c r="X19" s="113">
        <f t="shared" si="12"/>
        <v>47967</v>
      </c>
      <c r="Y19" s="113">
        <f t="shared" si="12"/>
        <v>96799</v>
      </c>
      <c r="Z19" s="113">
        <f t="shared" si="12"/>
        <v>0</v>
      </c>
      <c r="AA19" s="113">
        <f t="shared" si="12"/>
        <v>96799</v>
      </c>
      <c r="AB19" s="113">
        <f t="shared" si="12"/>
        <v>0</v>
      </c>
      <c r="AC19" s="113">
        <f t="shared" si="12"/>
        <v>96799</v>
      </c>
    </row>
    <row r="20" spans="1:29" s="20" customFormat="1" ht="57" customHeight="1">
      <c r="A20" s="41"/>
      <c r="B20" s="41"/>
      <c r="C20" s="58">
        <v>2010</v>
      </c>
      <c r="D20" s="31" t="s">
        <v>278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>
        <v>0</v>
      </c>
      <c r="R20" s="113">
        <v>44050</v>
      </c>
      <c r="S20" s="113">
        <v>44050</v>
      </c>
      <c r="T20" s="113"/>
      <c r="U20" s="113">
        <v>44050</v>
      </c>
      <c r="V20" s="113"/>
      <c r="W20" s="113">
        <f>SUM(U20:V20)</f>
        <v>44050</v>
      </c>
      <c r="X20" s="113"/>
      <c r="Y20" s="113">
        <f>SUM(W20:X20)</f>
        <v>44050</v>
      </c>
      <c r="Z20" s="113"/>
      <c r="AA20" s="113">
        <f>SUM(Y20:Z20)</f>
        <v>44050</v>
      </c>
      <c r="AB20" s="113"/>
      <c r="AC20" s="113">
        <f>SUM(AA20:AB20)</f>
        <v>44050</v>
      </c>
    </row>
    <row r="21" spans="1:29" s="20" customFormat="1" ht="36.75" customHeight="1">
      <c r="A21" s="41"/>
      <c r="B21" s="41"/>
      <c r="C21" s="42">
        <v>2030</v>
      </c>
      <c r="D21" s="50" t="s">
        <v>279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>
        <f>SUM(U21:V21)</f>
        <v>0</v>
      </c>
      <c r="X21" s="113">
        <v>47967</v>
      </c>
      <c r="Y21" s="113">
        <f>SUM(W21:X21)</f>
        <v>47967</v>
      </c>
      <c r="Z21" s="113"/>
      <c r="AA21" s="113">
        <f>SUM(Y21:Z21)</f>
        <v>47967</v>
      </c>
      <c r="AB21" s="113"/>
      <c r="AC21" s="113">
        <f>SUM(AA21:AB21)</f>
        <v>47967</v>
      </c>
    </row>
    <row r="22" spans="1:29" s="20" customFormat="1" ht="45">
      <c r="A22" s="58"/>
      <c r="B22" s="41"/>
      <c r="C22" s="69">
        <v>2310</v>
      </c>
      <c r="D22" s="31" t="s">
        <v>185</v>
      </c>
      <c r="E22" s="44">
        <v>4782</v>
      </c>
      <c r="F22" s="44"/>
      <c r="G22" s="44">
        <f>SUM(E22:F22)</f>
        <v>4782</v>
      </c>
      <c r="H22" s="44"/>
      <c r="I22" s="44">
        <f>SUM(G22:H22)</f>
        <v>4782</v>
      </c>
      <c r="J22" s="44"/>
      <c r="K22" s="44">
        <f>SUM(I22:J22)</f>
        <v>4782</v>
      </c>
      <c r="L22" s="44"/>
      <c r="M22" s="44">
        <f>SUM(K22:L22)</f>
        <v>4782</v>
      </c>
      <c r="N22" s="44"/>
      <c r="O22" s="44">
        <f>SUM(M22:N22)</f>
        <v>4782</v>
      </c>
      <c r="P22" s="44"/>
      <c r="Q22" s="44">
        <f>SUM(O22:P22)</f>
        <v>4782</v>
      </c>
      <c r="R22" s="44"/>
      <c r="S22" s="44">
        <f>SUM(Q22:R22)</f>
        <v>4782</v>
      </c>
      <c r="T22" s="44"/>
      <c r="U22" s="44">
        <f>SUM(S22:T22)</f>
        <v>4782</v>
      </c>
      <c r="V22" s="44"/>
      <c r="W22" s="113">
        <f>SUM(U22:V22)</f>
        <v>4782</v>
      </c>
      <c r="X22" s="44"/>
      <c r="Y22" s="113">
        <f>SUM(W22:X22)</f>
        <v>4782</v>
      </c>
      <c r="Z22" s="44"/>
      <c r="AA22" s="113">
        <f>SUM(Y22:Z22)</f>
        <v>4782</v>
      </c>
      <c r="AB22" s="44"/>
      <c r="AC22" s="113">
        <f>SUM(AA22:AB22)</f>
        <v>4782</v>
      </c>
    </row>
    <row r="23" spans="1:29" s="20" customFormat="1" ht="24" customHeight="1">
      <c r="A23" s="58"/>
      <c r="B23" s="41">
        <v>80195</v>
      </c>
      <c r="C23" s="69"/>
      <c r="D23" s="31" t="s">
        <v>6</v>
      </c>
      <c r="E23" s="44">
        <f aca="true" t="shared" si="13" ref="E23:AC23">SUM(E24)</f>
        <v>50986</v>
      </c>
      <c r="F23" s="44">
        <f t="shared" si="13"/>
        <v>0</v>
      </c>
      <c r="G23" s="44">
        <f t="shared" si="13"/>
        <v>50986</v>
      </c>
      <c r="H23" s="44">
        <f t="shared" si="13"/>
        <v>0</v>
      </c>
      <c r="I23" s="44">
        <f t="shared" si="13"/>
        <v>50986</v>
      </c>
      <c r="J23" s="44">
        <f t="shared" si="13"/>
        <v>0</v>
      </c>
      <c r="K23" s="44">
        <f t="shared" si="13"/>
        <v>50986</v>
      </c>
      <c r="L23" s="44">
        <f t="shared" si="13"/>
        <v>0</v>
      </c>
      <c r="M23" s="44">
        <f t="shared" si="13"/>
        <v>50986</v>
      </c>
      <c r="N23" s="44">
        <f t="shared" si="13"/>
        <v>0</v>
      </c>
      <c r="O23" s="44">
        <f t="shared" si="13"/>
        <v>50986</v>
      </c>
      <c r="P23" s="44">
        <f t="shared" si="13"/>
        <v>0</v>
      </c>
      <c r="Q23" s="44">
        <f t="shared" si="13"/>
        <v>50986</v>
      </c>
      <c r="R23" s="44">
        <f t="shared" si="13"/>
        <v>0</v>
      </c>
      <c r="S23" s="44">
        <f t="shared" si="13"/>
        <v>50986</v>
      </c>
      <c r="T23" s="44">
        <f t="shared" si="13"/>
        <v>0</v>
      </c>
      <c r="U23" s="44">
        <f t="shared" si="13"/>
        <v>50986</v>
      </c>
      <c r="V23" s="44">
        <f t="shared" si="13"/>
        <v>-50986</v>
      </c>
      <c r="W23" s="44">
        <f t="shared" si="13"/>
        <v>0</v>
      </c>
      <c r="X23" s="44">
        <f t="shared" si="13"/>
        <v>528</v>
      </c>
      <c r="Y23" s="44">
        <f t="shared" si="13"/>
        <v>528</v>
      </c>
      <c r="Z23" s="44">
        <f t="shared" si="13"/>
        <v>0</v>
      </c>
      <c r="AA23" s="44">
        <f t="shared" si="13"/>
        <v>528</v>
      </c>
      <c r="AB23" s="44">
        <f t="shared" si="13"/>
        <v>0</v>
      </c>
      <c r="AC23" s="44">
        <f t="shared" si="13"/>
        <v>528</v>
      </c>
    </row>
    <row r="24" spans="1:29" s="20" customFormat="1" ht="45">
      <c r="A24" s="58"/>
      <c r="B24" s="41"/>
      <c r="C24" s="69">
        <v>2030</v>
      </c>
      <c r="D24" s="50" t="s">
        <v>279</v>
      </c>
      <c r="E24" s="44">
        <v>50986</v>
      </c>
      <c r="F24" s="44"/>
      <c r="G24" s="44">
        <f>SUM(E24:F24)</f>
        <v>50986</v>
      </c>
      <c r="H24" s="44"/>
      <c r="I24" s="44">
        <f>SUM(G24:H24)</f>
        <v>50986</v>
      </c>
      <c r="J24" s="44"/>
      <c r="K24" s="44">
        <f>SUM(I24:J24)</f>
        <v>50986</v>
      </c>
      <c r="L24" s="44"/>
      <c r="M24" s="44">
        <f>SUM(K24:L24)</f>
        <v>50986</v>
      </c>
      <c r="N24" s="44"/>
      <c r="O24" s="44">
        <f>SUM(M24:N24)</f>
        <v>50986</v>
      </c>
      <c r="P24" s="44"/>
      <c r="Q24" s="44">
        <f>SUM(O24:P24)</f>
        <v>50986</v>
      </c>
      <c r="R24" s="44"/>
      <c r="S24" s="44">
        <f>SUM(Q24:R24)</f>
        <v>50986</v>
      </c>
      <c r="T24" s="44"/>
      <c r="U24" s="44">
        <f>SUM(S24:T24)</f>
        <v>50986</v>
      </c>
      <c r="V24" s="44">
        <v>-50986</v>
      </c>
      <c r="W24" s="44">
        <f>SUM(U24:V24)</f>
        <v>0</v>
      </c>
      <c r="X24" s="44">
        <v>528</v>
      </c>
      <c r="Y24" s="44">
        <f>SUM(W24:X24)</f>
        <v>528</v>
      </c>
      <c r="Z24" s="44"/>
      <c r="AA24" s="44">
        <f>SUM(Y24:Z24)</f>
        <v>528</v>
      </c>
      <c r="AB24" s="44"/>
      <c r="AC24" s="44">
        <f>SUM(AA24:AB24)</f>
        <v>528</v>
      </c>
    </row>
    <row r="25" spans="1:29" s="32" customFormat="1" ht="27" customHeight="1">
      <c r="A25" s="27" t="s">
        <v>125</v>
      </c>
      <c r="B25" s="29"/>
      <c r="C25" s="114"/>
      <c r="D25" s="30" t="s">
        <v>156</v>
      </c>
      <c r="E25" s="105">
        <f aca="true" t="shared" si="14" ref="E25:Q25">SUM(E26,E28,E31,E34,E36,)</f>
        <v>8801400</v>
      </c>
      <c r="F25" s="105">
        <f t="shared" si="14"/>
        <v>0</v>
      </c>
      <c r="G25" s="105">
        <f t="shared" si="14"/>
        <v>8801400</v>
      </c>
      <c r="H25" s="105">
        <f t="shared" si="14"/>
        <v>312600</v>
      </c>
      <c r="I25" s="105">
        <f t="shared" si="14"/>
        <v>9114000</v>
      </c>
      <c r="J25" s="105">
        <f t="shared" si="14"/>
        <v>13050</v>
      </c>
      <c r="K25" s="105">
        <f t="shared" si="14"/>
        <v>9127050</v>
      </c>
      <c r="L25" s="105">
        <f t="shared" si="14"/>
        <v>75000</v>
      </c>
      <c r="M25" s="105">
        <f t="shared" si="14"/>
        <v>9202050</v>
      </c>
      <c r="N25" s="105">
        <f t="shared" si="14"/>
        <v>0</v>
      </c>
      <c r="O25" s="105">
        <f t="shared" si="14"/>
        <v>9202050</v>
      </c>
      <c r="P25" s="105">
        <f t="shared" si="14"/>
        <v>0</v>
      </c>
      <c r="Q25" s="105">
        <f t="shared" si="14"/>
        <v>9202050</v>
      </c>
      <c r="R25" s="105">
        <f aca="true" t="shared" si="15" ref="R25:W25">SUM(R26,R28,R31,R34,R36,)</f>
        <v>196618</v>
      </c>
      <c r="S25" s="105">
        <f t="shared" si="15"/>
        <v>9398668</v>
      </c>
      <c r="T25" s="105">
        <f t="shared" si="15"/>
        <v>0</v>
      </c>
      <c r="U25" s="105">
        <f t="shared" si="15"/>
        <v>9398668</v>
      </c>
      <c r="V25" s="105">
        <f t="shared" si="15"/>
        <v>-803079</v>
      </c>
      <c r="W25" s="105">
        <f t="shared" si="15"/>
        <v>8595589</v>
      </c>
      <c r="X25" s="105">
        <f aca="true" t="shared" si="16" ref="X25:AC25">SUM(X26,X28,X31,X34,X36,)</f>
        <v>7150</v>
      </c>
      <c r="Y25" s="105">
        <f t="shared" si="16"/>
        <v>8602739</v>
      </c>
      <c r="Z25" s="105">
        <f t="shared" si="16"/>
        <v>288824</v>
      </c>
      <c r="AA25" s="105">
        <f t="shared" si="16"/>
        <v>8891563</v>
      </c>
      <c r="AB25" s="105">
        <f t="shared" si="16"/>
        <v>0</v>
      </c>
      <c r="AC25" s="105">
        <f t="shared" si="16"/>
        <v>8891563</v>
      </c>
    </row>
    <row r="26" spans="1:29" s="20" customFormat="1" ht="45">
      <c r="A26" s="41"/>
      <c r="B26" s="34">
        <v>85212</v>
      </c>
      <c r="C26" s="52"/>
      <c r="D26" s="50" t="s">
        <v>216</v>
      </c>
      <c r="E26" s="121">
        <f aca="true" t="shared" si="17" ref="E26:AC26">SUM(E27)</f>
        <v>6479100</v>
      </c>
      <c r="F26" s="121">
        <f t="shared" si="17"/>
        <v>0</v>
      </c>
      <c r="G26" s="121">
        <f t="shared" si="17"/>
        <v>6479100</v>
      </c>
      <c r="H26" s="121">
        <f t="shared" si="17"/>
        <v>334300</v>
      </c>
      <c r="I26" s="121">
        <f t="shared" si="17"/>
        <v>6813400</v>
      </c>
      <c r="J26" s="121">
        <f t="shared" si="17"/>
        <v>0</v>
      </c>
      <c r="K26" s="121">
        <f t="shared" si="17"/>
        <v>6813400</v>
      </c>
      <c r="L26" s="121">
        <f t="shared" si="17"/>
        <v>0</v>
      </c>
      <c r="M26" s="121">
        <f t="shared" si="17"/>
        <v>6813400</v>
      </c>
      <c r="N26" s="121">
        <f t="shared" si="17"/>
        <v>0</v>
      </c>
      <c r="O26" s="121">
        <f t="shared" si="17"/>
        <v>6813400</v>
      </c>
      <c r="P26" s="121">
        <f t="shared" si="17"/>
        <v>0</v>
      </c>
      <c r="Q26" s="121">
        <f t="shared" si="17"/>
        <v>6813400</v>
      </c>
      <c r="R26" s="121">
        <f t="shared" si="17"/>
        <v>0</v>
      </c>
      <c r="S26" s="121">
        <f t="shared" si="17"/>
        <v>6813400</v>
      </c>
      <c r="T26" s="121">
        <f t="shared" si="17"/>
        <v>0</v>
      </c>
      <c r="U26" s="121">
        <f t="shared" si="17"/>
        <v>6813400</v>
      </c>
      <c r="V26" s="121">
        <f t="shared" si="17"/>
        <v>-763299</v>
      </c>
      <c r="W26" s="121">
        <f t="shared" si="17"/>
        <v>6050101</v>
      </c>
      <c r="X26" s="121">
        <f t="shared" si="17"/>
        <v>-300000</v>
      </c>
      <c r="Y26" s="121">
        <f t="shared" si="17"/>
        <v>5750101</v>
      </c>
      <c r="Z26" s="121">
        <f t="shared" si="17"/>
        <v>288824</v>
      </c>
      <c r="AA26" s="121">
        <f t="shared" si="17"/>
        <v>6038925</v>
      </c>
      <c r="AB26" s="121">
        <f t="shared" si="17"/>
        <v>0</v>
      </c>
      <c r="AC26" s="121">
        <f t="shared" si="17"/>
        <v>6038925</v>
      </c>
    </row>
    <row r="27" spans="1:29" s="20" customFormat="1" ht="56.25">
      <c r="A27" s="41"/>
      <c r="B27" s="34"/>
      <c r="C27" s="52">
        <v>2010</v>
      </c>
      <c r="D27" s="31" t="s">
        <v>276</v>
      </c>
      <c r="E27" s="121">
        <v>6479100</v>
      </c>
      <c r="F27" s="121"/>
      <c r="G27" s="121">
        <f>SUM(E27:F27)</f>
        <v>6479100</v>
      </c>
      <c r="H27" s="121">
        <v>334300</v>
      </c>
      <c r="I27" s="121">
        <f>SUM(G27:H27)</f>
        <v>6813400</v>
      </c>
      <c r="J27" s="121"/>
      <c r="K27" s="121">
        <f>SUM(I27:J27)</f>
        <v>6813400</v>
      </c>
      <c r="L27" s="121"/>
      <c r="M27" s="121">
        <f>SUM(K27:L27)</f>
        <v>6813400</v>
      </c>
      <c r="N27" s="121"/>
      <c r="O27" s="121">
        <f>SUM(M27:N27)</f>
        <v>6813400</v>
      </c>
      <c r="P27" s="121"/>
      <c r="Q27" s="121">
        <f>SUM(O27:P27)</f>
        <v>6813400</v>
      </c>
      <c r="R27" s="121"/>
      <c r="S27" s="121">
        <f>SUM(Q27:R27)</f>
        <v>6813400</v>
      </c>
      <c r="T27" s="121"/>
      <c r="U27" s="121">
        <f>SUM(S27:T27)</f>
        <v>6813400</v>
      </c>
      <c r="V27" s="121">
        <v>-763299</v>
      </c>
      <c r="W27" s="121">
        <f>SUM(U27:V27)</f>
        <v>6050101</v>
      </c>
      <c r="X27" s="121">
        <v>-300000</v>
      </c>
      <c r="Y27" s="121">
        <f>SUM(W27:X27)</f>
        <v>5750101</v>
      </c>
      <c r="Z27" s="121">
        <v>288824</v>
      </c>
      <c r="AA27" s="121">
        <f>SUM(Y27:Z27)</f>
        <v>6038925</v>
      </c>
      <c r="AB27" s="121"/>
      <c r="AC27" s="121">
        <f>SUM(AA27:AB27)</f>
        <v>6038925</v>
      </c>
    </row>
    <row r="28" spans="1:29" s="20" customFormat="1" ht="67.5">
      <c r="A28" s="41"/>
      <c r="B28" s="58">
        <v>85213</v>
      </c>
      <c r="C28" s="42"/>
      <c r="D28" s="50" t="s">
        <v>204</v>
      </c>
      <c r="E28" s="121">
        <f aca="true" t="shared" si="18" ref="E28:R28">SUM(E29)</f>
        <v>59100</v>
      </c>
      <c r="F28" s="121">
        <f t="shared" si="18"/>
        <v>0</v>
      </c>
      <c r="G28" s="121">
        <f t="shared" si="18"/>
        <v>59100</v>
      </c>
      <c r="H28" s="121">
        <f t="shared" si="18"/>
        <v>-4100</v>
      </c>
      <c r="I28" s="121">
        <f t="shared" si="18"/>
        <v>55000</v>
      </c>
      <c r="J28" s="121">
        <f t="shared" si="18"/>
        <v>0</v>
      </c>
      <c r="K28" s="121">
        <f t="shared" si="18"/>
        <v>55000</v>
      </c>
      <c r="L28" s="121">
        <f t="shared" si="18"/>
        <v>0</v>
      </c>
      <c r="M28" s="121">
        <f t="shared" si="18"/>
        <v>55000</v>
      </c>
      <c r="N28" s="121">
        <f t="shared" si="18"/>
        <v>0</v>
      </c>
      <c r="O28" s="121">
        <f t="shared" si="18"/>
        <v>55000</v>
      </c>
      <c r="P28" s="121">
        <f t="shared" si="18"/>
        <v>0</v>
      </c>
      <c r="Q28" s="121">
        <f t="shared" si="18"/>
        <v>55000</v>
      </c>
      <c r="R28" s="121">
        <f t="shared" si="18"/>
        <v>0</v>
      </c>
      <c r="S28" s="121">
        <f aca="true" t="shared" si="19" ref="S28:Y28">SUM(S29,S30)</f>
        <v>55000</v>
      </c>
      <c r="T28" s="121">
        <f t="shared" si="19"/>
        <v>0</v>
      </c>
      <c r="U28" s="121">
        <f t="shared" si="19"/>
        <v>55000</v>
      </c>
      <c r="V28" s="121">
        <f t="shared" si="19"/>
        <v>-3945</v>
      </c>
      <c r="W28" s="121">
        <f t="shared" si="19"/>
        <v>51055</v>
      </c>
      <c r="X28" s="121">
        <f t="shared" si="19"/>
        <v>-1550</v>
      </c>
      <c r="Y28" s="121">
        <f t="shared" si="19"/>
        <v>49505</v>
      </c>
      <c r="Z28" s="121">
        <f>SUM(Z29,Z30)</f>
        <v>0</v>
      </c>
      <c r="AA28" s="121">
        <f>SUM(AA29,AA30)</f>
        <v>49505</v>
      </c>
      <c r="AB28" s="121">
        <f>SUM(AB29,AB30)</f>
        <v>0</v>
      </c>
      <c r="AC28" s="121">
        <f>SUM(AC29,AC30)</f>
        <v>49505</v>
      </c>
    </row>
    <row r="29" spans="1:29" s="20" customFormat="1" ht="56.25">
      <c r="A29" s="41"/>
      <c r="B29" s="58"/>
      <c r="C29" s="42">
        <v>2010</v>
      </c>
      <c r="D29" s="31" t="s">
        <v>172</v>
      </c>
      <c r="E29" s="121">
        <v>59100</v>
      </c>
      <c r="F29" s="121"/>
      <c r="G29" s="121">
        <f>SUM(E29:F29)</f>
        <v>59100</v>
      </c>
      <c r="H29" s="121">
        <v>-4100</v>
      </c>
      <c r="I29" s="121">
        <f>SUM(G29:H29)</f>
        <v>55000</v>
      </c>
      <c r="J29" s="121"/>
      <c r="K29" s="121">
        <f>SUM(I29:J29)</f>
        <v>55000</v>
      </c>
      <c r="L29" s="121"/>
      <c r="M29" s="121">
        <f>SUM(K29:L29)</f>
        <v>55000</v>
      </c>
      <c r="N29" s="121"/>
      <c r="O29" s="121">
        <f>SUM(M29:N29)</f>
        <v>55000</v>
      </c>
      <c r="P29" s="121"/>
      <c r="Q29" s="121">
        <f>SUM(O29:P29)</f>
        <v>55000</v>
      </c>
      <c r="R29" s="121"/>
      <c r="S29" s="121">
        <f>SUM(Q29:R29)</f>
        <v>55000</v>
      </c>
      <c r="T29" s="121">
        <v>-18550</v>
      </c>
      <c r="U29" s="121">
        <f>SUM(S29:T29)</f>
        <v>36450</v>
      </c>
      <c r="V29" s="121">
        <v>-3945</v>
      </c>
      <c r="W29" s="121">
        <f>SUM(U29:V29)</f>
        <v>32505</v>
      </c>
      <c r="X29" s="121"/>
      <c r="Y29" s="121">
        <f>SUM(W29:X29)</f>
        <v>32505</v>
      </c>
      <c r="Z29" s="121"/>
      <c r="AA29" s="121">
        <f>SUM(Y29:Z29)</f>
        <v>32505</v>
      </c>
      <c r="AB29" s="121"/>
      <c r="AC29" s="121">
        <f>SUM(AA29:AB29)</f>
        <v>32505</v>
      </c>
    </row>
    <row r="30" spans="1:29" s="20" customFormat="1" ht="38.25" customHeight="1">
      <c r="A30" s="41"/>
      <c r="B30" s="58"/>
      <c r="C30" s="42">
        <v>2030</v>
      </c>
      <c r="D30" s="50" t="s">
        <v>173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>
        <v>0</v>
      </c>
      <c r="T30" s="121">
        <v>18550</v>
      </c>
      <c r="U30" s="121">
        <f>SUM(S30:T30)</f>
        <v>18550</v>
      </c>
      <c r="V30" s="121"/>
      <c r="W30" s="121">
        <f>SUM(U30:V30)</f>
        <v>18550</v>
      </c>
      <c r="X30" s="121">
        <v>-1550</v>
      </c>
      <c r="Y30" s="121">
        <f>SUM(W30:X30)</f>
        <v>17000</v>
      </c>
      <c r="Z30" s="121"/>
      <c r="AA30" s="121">
        <f>SUM(Y30:Z30)</f>
        <v>17000</v>
      </c>
      <c r="AB30" s="121"/>
      <c r="AC30" s="121">
        <f>SUM(AA30:AB30)</f>
        <v>17000</v>
      </c>
    </row>
    <row r="31" spans="1:29" s="20" customFormat="1" ht="22.5">
      <c r="A31" s="41"/>
      <c r="B31" s="41" t="s">
        <v>126</v>
      </c>
      <c r="C31" s="42"/>
      <c r="D31" s="31" t="s">
        <v>280</v>
      </c>
      <c r="E31" s="113">
        <f aca="true" t="shared" si="20" ref="E31:Q31">SUM(E32:E33)</f>
        <v>1124100</v>
      </c>
      <c r="F31" s="113">
        <f t="shared" si="20"/>
        <v>0</v>
      </c>
      <c r="G31" s="113">
        <f t="shared" si="20"/>
        <v>1124100</v>
      </c>
      <c r="H31" s="113">
        <f t="shared" si="20"/>
        <v>-17600</v>
      </c>
      <c r="I31" s="113">
        <f t="shared" si="20"/>
        <v>1106500</v>
      </c>
      <c r="J31" s="113">
        <f t="shared" si="20"/>
        <v>0</v>
      </c>
      <c r="K31" s="113">
        <f t="shared" si="20"/>
        <v>1106500</v>
      </c>
      <c r="L31" s="113">
        <f t="shared" si="20"/>
        <v>0</v>
      </c>
      <c r="M31" s="113">
        <f t="shared" si="20"/>
        <v>1106500</v>
      </c>
      <c r="N31" s="113">
        <f t="shared" si="20"/>
        <v>0</v>
      </c>
      <c r="O31" s="113">
        <f t="shared" si="20"/>
        <v>1106500</v>
      </c>
      <c r="P31" s="113">
        <f t="shared" si="20"/>
        <v>0</v>
      </c>
      <c r="Q31" s="113">
        <f t="shared" si="20"/>
        <v>1106500</v>
      </c>
      <c r="R31" s="113">
        <f aca="true" t="shared" si="21" ref="R31:W31">SUM(R32:R33)</f>
        <v>110109</v>
      </c>
      <c r="S31" s="113">
        <f t="shared" si="21"/>
        <v>1216609</v>
      </c>
      <c r="T31" s="113">
        <f t="shared" si="21"/>
        <v>0</v>
      </c>
      <c r="U31" s="113">
        <f t="shared" si="21"/>
        <v>1216609</v>
      </c>
      <c r="V31" s="113">
        <f t="shared" si="21"/>
        <v>0</v>
      </c>
      <c r="W31" s="113">
        <f t="shared" si="21"/>
        <v>1216609</v>
      </c>
      <c r="X31" s="113">
        <f aca="true" t="shared" si="22" ref="X31:AC31">SUM(X32:X33)</f>
        <v>20000</v>
      </c>
      <c r="Y31" s="113">
        <f t="shared" si="22"/>
        <v>1236609</v>
      </c>
      <c r="Z31" s="113">
        <f t="shared" si="22"/>
        <v>0</v>
      </c>
      <c r="AA31" s="113">
        <f t="shared" si="22"/>
        <v>1236609</v>
      </c>
      <c r="AB31" s="113">
        <f t="shared" si="22"/>
        <v>0</v>
      </c>
      <c r="AC31" s="113">
        <f t="shared" si="22"/>
        <v>1236609</v>
      </c>
    </row>
    <row r="32" spans="1:29" s="20" customFormat="1" ht="56.25">
      <c r="A32" s="41"/>
      <c r="B32" s="41"/>
      <c r="C32" s="43" t="s">
        <v>277</v>
      </c>
      <c r="D32" s="31" t="s">
        <v>281</v>
      </c>
      <c r="E32" s="113">
        <v>468000</v>
      </c>
      <c r="F32" s="113"/>
      <c r="G32" s="113">
        <f>SUM(E32:F32)</f>
        <v>468000</v>
      </c>
      <c r="H32" s="113">
        <v>50700</v>
      </c>
      <c r="I32" s="113">
        <f>SUM(G32:H32)</f>
        <v>518700</v>
      </c>
      <c r="J32" s="113"/>
      <c r="K32" s="113">
        <f>SUM(I32:J32)</f>
        <v>518700</v>
      </c>
      <c r="L32" s="113"/>
      <c r="M32" s="113">
        <f>SUM(K32:L32)</f>
        <v>518700</v>
      </c>
      <c r="N32" s="113"/>
      <c r="O32" s="113">
        <f>SUM(M32:N32)</f>
        <v>518700</v>
      </c>
      <c r="P32" s="113"/>
      <c r="Q32" s="113">
        <f>SUM(O32:P32)</f>
        <v>518700</v>
      </c>
      <c r="R32" s="113"/>
      <c r="S32" s="113">
        <f>SUM(Q32:R32)</f>
        <v>518700</v>
      </c>
      <c r="T32" s="113">
        <v>-273035</v>
      </c>
      <c r="U32" s="113">
        <f>SUM(S32:T32)</f>
        <v>245665</v>
      </c>
      <c r="V32" s="113"/>
      <c r="W32" s="113">
        <f>SUM(U32:V32)</f>
        <v>245665</v>
      </c>
      <c r="X32" s="113"/>
      <c r="Y32" s="113">
        <f>SUM(W32:X32)</f>
        <v>245665</v>
      </c>
      <c r="Z32" s="113"/>
      <c r="AA32" s="113">
        <f>SUM(Y32:Z32)</f>
        <v>245665</v>
      </c>
      <c r="AB32" s="113"/>
      <c r="AC32" s="113">
        <f>SUM(AA32:AB32)</f>
        <v>245665</v>
      </c>
    </row>
    <row r="33" spans="1:29" s="20" customFormat="1" ht="33.75">
      <c r="A33" s="41"/>
      <c r="B33" s="41"/>
      <c r="C33" s="43">
        <v>2030</v>
      </c>
      <c r="D33" s="50" t="s">
        <v>173</v>
      </c>
      <c r="E33" s="113">
        <v>656100</v>
      </c>
      <c r="F33" s="113"/>
      <c r="G33" s="113">
        <f>SUM(E33:F33)</f>
        <v>656100</v>
      </c>
      <c r="H33" s="113">
        <v>-68300</v>
      </c>
      <c r="I33" s="113">
        <f>SUM(G33:H33)</f>
        <v>587800</v>
      </c>
      <c r="J33" s="113"/>
      <c r="K33" s="113">
        <f>SUM(I33:J33)</f>
        <v>587800</v>
      </c>
      <c r="L33" s="113"/>
      <c r="M33" s="113">
        <f>SUM(K33:L33)</f>
        <v>587800</v>
      </c>
      <c r="N33" s="113"/>
      <c r="O33" s="113">
        <f>SUM(M33:N33)</f>
        <v>587800</v>
      </c>
      <c r="P33" s="113"/>
      <c r="Q33" s="113">
        <f>SUM(O33:P33)</f>
        <v>587800</v>
      </c>
      <c r="R33" s="113">
        <v>110109</v>
      </c>
      <c r="S33" s="113">
        <f>SUM(Q33:R33)</f>
        <v>697909</v>
      </c>
      <c r="T33" s="113">
        <v>273035</v>
      </c>
      <c r="U33" s="113">
        <f>SUM(S33:T33)</f>
        <v>970944</v>
      </c>
      <c r="V33" s="113"/>
      <c r="W33" s="113">
        <f>SUM(U33:V33)</f>
        <v>970944</v>
      </c>
      <c r="X33" s="113">
        <f>10400+9600</f>
        <v>20000</v>
      </c>
      <c r="Y33" s="113">
        <f>SUM(W33:X33)</f>
        <v>990944</v>
      </c>
      <c r="Z33" s="113"/>
      <c r="AA33" s="113">
        <f>SUM(Y33:Z33)</f>
        <v>990944</v>
      </c>
      <c r="AB33" s="113"/>
      <c r="AC33" s="113">
        <f>SUM(AA33:AB33)</f>
        <v>990944</v>
      </c>
    </row>
    <row r="34" spans="1:29" s="20" customFormat="1" ht="23.25" customHeight="1">
      <c r="A34" s="41"/>
      <c r="B34" s="41" t="s">
        <v>127</v>
      </c>
      <c r="C34" s="42"/>
      <c r="D34" s="31" t="s">
        <v>57</v>
      </c>
      <c r="E34" s="113">
        <f aca="true" t="shared" si="23" ref="E34:AC34">E35</f>
        <v>597800</v>
      </c>
      <c r="F34" s="113">
        <f t="shared" si="23"/>
        <v>0</v>
      </c>
      <c r="G34" s="113">
        <f t="shared" si="23"/>
        <v>597800</v>
      </c>
      <c r="H34" s="113">
        <f t="shared" si="23"/>
        <v>0</v>
      </c>
      <c r="I34" s="113">
        <f t="shared" si="23"/>
        <v>597800</v>
      </c>
      <c r="J34" s="113">
        <f t="shared" si="23"/>
        <v>13050</v>
      </c>
      <c r="K34" s="113">
        <f t="shared" si="23"/>
        <v>610850</v>
      </c>
      <c r="L34" s="113">
        <f t="shared" si="23"/>
        <v>0</v>
      </c>
      <c r="M34" s="113">
        <f t="shared" si="23"/>
        <v>610850</v>
      </c>
      <c r="N34" s="113">
        <f t="shared" si="23"/>
        <v>0</v>
      </c>
      <c r="O34" s="113">
        <f t="shared" si="23"/>
        <v>610850</v>
      </c>
      <c r="P34" s="113">
        <f t="shared" si="23"/>
        <v>0</v>
      </c>
      <c r="Q34" s="113">
        <f t="shared" si="23"/>
        <v>610850</v>
      </c>
      <c r="R34" s="113">
        <f t="shared" si="23"/>
        <v>11509</v>
      </c>
      <c r="S34" s="113">
        <f t="shared" si="23"/>
        <v>622359</v>
      </c>
      <c r="T34" s="113">
        <f t="shared" si="23"/>
        <v>0</v>
      </c>
      <c r="U34" s="113">
        <f t="shared" si="23"/>
        <v>622359</v>
      </c>
      <c r="V34" s="113">
        <f t="shared" si="23"/>
        <v>-35835</v>
      </c>
      <c r="W34" s="113">
        <f t="shared" si="23"/>
        <v>586524</v>
      </c>
      <c r="X34" s="113">
        <f t="shared" si="23"/>
        <v>0</v>
      </c>
      <c r="Y34" s="113">
        <f t="shared" si="23"/>
        <v>586524</v>
      </c>
      <c r="Z34" s="113">
        <f t="shared" si="23"/>
        <v>0</v>
      </c>
      <c r="AA34" s="113">
        <f t="shared" si="23"/>
        <v>586524</v>
      </c>
      <c r="AB34" s="113">
        <f t="shared" si="23"/>
        <v>0</v>
      </c>
      <c r="AC34" s="113">
        <f t="shared" si="23"/>
        <v>586524</v>
      </c>
    </row>
    <row r="35" spans="1:29" s="20" customFormat="1" ht="45">
      <c r="A35" s="41"/>
      <c r="B35" s="41"/>
      <c r="C35" s="43">
        <v>2030</v>
      </c>
      <c r="D35" s="50" t="s">
        <v>279</v>
      </c>
      <c r="E35" s="113">
        <v>597800</v>
      </c>
      <c r="F35" s="113"/>
      <c r="G35" s="113">
        <f>SUM(E35:F35)</f>
        <v>597800</v>
      </c>
      <c r="H35" s="113"/>
      <c r="I35" s="113">
        <f>SUM(G35:H35)</f>
        <v>597800</v>
      </c>
      <c r="J35" s="113">
        <v>13050</v>
      </c>
      <c r="K35" s="113">
        <f>SUM(I35:J35)</f>
        <v>610850</v>
      </c>
      <c r="L35" s="113"/>
      <c r="M35" s="113">
        <f>SUM(K35:L35)</f>
        <v>610850</v>
      </c>
      <c r="N35" s="113"/>
      <c r="O35" s="113">
        <f>SUM(M35:N35)</f>
        <v>610850</v>
      </c>
      <c r="P35" s="113"/>
      <c r="Q35" s="113">
        <f>SUM(O35:P35)</f>
        <v>610850</v>
      </c>
      <c r="R35" s="113">
        <v>11509</v>
      </c>
      <c r="S35" s="113">
        <f>SUM(Q35:R35)</f>
        <v>622359</v>
      </c>
      <c r="T35" s="113"/>
      <c r="U35" s="113">
        <f>SUM(S35:T35)</f>
        <v>622359</v>
      </c>
      <c r="V35" s="113">
        <v>-35835</v>
      </c>
      <c r="W35" s="113">
        <f>SUM(U35:V35)</f>
        <v>586524</v>
      </c>
      <c r="X35" s="113"/>
      <c r="Y35" s="113">
        <f>SUM(W35:X35)</f>
        <v>586524</v>
      </c>
      <c r="Z35" s="113"/>
      <c r="AA35" s="113">
        <f>SUM(Y35:Z35)</f>
        <v>586524</v>
      </c>
      <c r="AB35" s="113"/>
      <c r="AC35" s="113">
        <f>SUM(AA35:AB35)</f>
        <v>586524</v>
      </c>
    </row>
    <row r="36" spans="1:29" s="20" customFormat="1" ht="24" customHeight="1">
      <c r="A36" s="41"/>
      <c r="B36" s="41">
        <v>85295</v>
      </c>
      <c r="C36" s="43"/>
      <c r="D36" s="50" t="s">
        <v>6</v>
      </c>
      <c r="E36" s="113">
        <f aca="true" t="shared" si="24" ref="E36:AC36">SUM(E37)</f>
        <v>541300</v>
      </c>
      <c r="F36" s="113">
        <f t="shared" si="24"/>
        <v>0</v>
      </c>
      <c r="G36" s="113">
        <f t="shared" si="24"/>
        <v>541300</v>
      </c>
      <c r="H36" s="113">
        <f t="shared" si="24"/>
        <v>0</v>
      </c>
      <c r="I36" s="113">
        <f t="shared" si="24"/>
        <v>541300</v>
      </c>
      <c r="J36" s="113">
        <f t="shared" si="24"/>
        <v>0</v>
      </c>
      <c r="K36" s="113">
        <f t="shared" si="24"/>
        <v>541300</v>
      </c>
      <c r="L36" s="113">
        <f t="shared" si="24"/>
        <v>75000</v>
      </c>
      <c r="M36" s="113">
        <f t="shared" si="24"/>
        <v>616300</v>
      </c>
      <c r="N36" s="113">
        <f t="shared" si="24"/>
        <v>0</v>
      </c>
      <c r="O36" s="113">
        <f t="shared" si="24"/>
        <v>616300</v>
      </c>
      <c r="P36" s="113">
        <f t="shared" si="24"/>
        <v>0</v>
      </c>
      <c r="Q36" s="113">
        <f t="shared" si="24"/>
        <v>616300</v>
      </c>
      <c r="R36" s="113">
        <f t="shared" si="24"/>
        <v>75000</v>
      </c>
      <c r="S36" s="113">
        <f t="shared" si="24"/>
        <v>691300</v>
      </c>
      <c r="T36" s="113">
        <f t="shared" si="24"/>
        <v>0</v>
      </c>
      <c r="U36" s="113">
        <f t="shared" si="24"/>
        <v>691300</v>
      </c>
      <c r="V36" s="113">
        <f t="shared" si="24"/>
        <v>0</v>
      </c>
      <c r="W36" s="113">
        <f t="shared" si="24"/>
        <v>691300</v>
      </c>
      <c r="X36" s="113">
        <f t="shared" si="24"/>
        <v>288700</v>
      </c>
      <c r="Y36" s="113">
        <f t="shared" si="24"/>
        <v>980000</v>
      </c>
      <c r="Z36" s="113">
        <f t="shared" si="24"/>
        <v>0</v>
      </c>
      <c r="AA36" s="113">
        <f t="shared" si="24"/>
        <v>980000</v>
      </c>
      <c r="AB36" s="113">
        <f t="shared" si="24"/>
        <v>0</v>
      </c>
      <c r="AC36" s="113">
        <f t="shared" si="24"/>
        <v>980000</v>
      </c>
    </row>
    <row r="37" spans="1:29" s="20" customFormat="1" ht="33.75">
      <c r="A37" s="41"/>
      <c r="B37" s="41"/>
      <c r="C37" s="43">
        <v>2030</v>
      </c>
      <c r="D37" s="50" t="s">
        <v>173</v>
      </c>
      <c r="E37" s="113">
        <v>541300</v>
      </c>
      <c r="F37" s="113"/>
      <c r="G37" s="113">
        <f>SUM(E37:F37)</f>
        <v>541300</v>
      </c>
      <c r="H37" s="113"/>
      <c r="I37" s="113">
        <f>SUM(G37:H37)</f>
        <v>541300</v>
      </c>
      <c r="J37" s="113"/>
      <c r="K37" s="113">
        <f>SUM(I37:J37)</f>
        <v>541300</v>
      </c>
      <c r="L37" s="113">
        <v>75000</v>
      </c>
      <c r="M37" s="113">
        <f>SUM(K37:L37)</f>
        <v>616300</v>
      </c>
      <c r="N37" s="113"/>
      <c r="O37" s="113">
        <f>SUM(M37:N37)</f>
        <v>616300</v>
      </c>
      <c r="P37" s="113"/>
      <c r="Q37" s="113">
        <f>SUM(O37:P37)</f>
        <v>616300</v>
      </c>
      <c r="R37" s="113">
        <v>75000</v>
      </c>
      <c r="S37" s="113">
        <f>SUM(Q37:R37)</f>
        <v>691300</v>
      </c>
      <c r="T37" s="113"/>
      <c r="U37" s="113">
        <f>SUM(S37:T37)</f>
        <v>691300</v>
      </c>
      <c r="V37" s="113"/>
      <c r="W37" s="113">
        <f>SUM(U37:V37)</f>
        <v>691300</v>
      </c>
      <c r="X37" s="113">
        <v>288700</v>
      </c>
      <c r="Y37" s="113">
        <f>SUM(W37:X37)</f>
        <v>980000</v>
      </c>
      <c r="Z37" s="113"/>
      <c r="AA37" s="113">
        <f>SUM(Y37:Z37)</f>
        <v>980000</v>
      </c>
      <c r="AB37" s="113"/>
      <c r="AC37" s="113">
        <f>SUM(AA37:AB37)</f>
        <v>980000</v>
      </c>
    </row>
    <row r="38" spans="1:29" s="73" customFormat="1" ht="24" customHeight="1">
      <c r="A38" s="88">
        <v>854</v>
      </c>
      <c r="B38" s="92"/>
      <c r="C38" s="93"/>
      <c r="D38" s="30" t="s">
        <v>58</v>
      </c>
      <c r="E38" s="122">
        <f aca="true" t="shared" si="25" ref="E38:AB39">SUM(E39)</f>
        <v>0</v>
      </c>
      <c r="F38" s="122">
        <f t="shared" si="25"/>
        <v>252163</v>
      </c>
      <c r="G38" s="122">
        <f t="shared" si="25"/>
        <v>252163</v>
      </c>
      <c r="H38" s="122">
        <f t="shared" si="25"/>
        <v>0</v>
      </c>
      <c r="I38" s="122">
        <f t="shared" si="25"/>
        <v>252163</v>
      </c>
      <c r="J38" s="122">
        <f t="shared" si="25"/>
        <v>0</v>
      </c>
      <c r="K38" s="122">
        <f t="shared" si="25"/>
        <v>252163</v>
      </c>
      <c r="L38" s="122">
        <f t="shared" si="25"/>
        <v>0</v>
      </c>
      <c r="M38" s="122">
        <f t="shared" si="25"/>
        <v>252163</v>
      </c>
      <c r="N38" s="122">
        <f t="shared" si="25"/>
        <v>0</v>
      </c>
      <c r="O38" s="122">
        <f t="shared" si="25"/>
        <v>252163</v>
      </c>
      <c r="P38" s="122">
        <f t="shared" si="25"/>
        <v>0</v>
      </c>
      <c r="Q38" s="122">
        <f t="shared" si="25"/>
        <v>304103</v>
      </c>
      <c r="R38" s="122">
        <f t="shared" si="25"/>
        <v>0</v>
      </c>
      <c r="S38" s="122">
        <f t="shared" si="25"/>
        <v>304103</v>
      </c>
      <c r="T38" s="122">
        <f t="shared" si="25"/>
        <v>0</v>
      </c>
      <c r="U38" s="122">
        <f>SUM(U39)</f>
        <v>304103</v>
      </c>
      <c r="V38" s="122">
        <f t="shared" si="25"/>
        <v>0</v>
      </c>
      <c r="W38" s="122">
        <f>SUM(W39)</f>
        <v>304103</v>
      </c>
      <c r="X38" s="122">
        <f t="shared" si="25"/>
        <v>186528</v>
      </c>
      <c r="Y38" s="122">
        <f>SUM(Y39)</f>
        <v>490631</v>
      </c>
      <c r="Z38" s="122">
        <f t="shared" si="25"/>
        <v>0</v>
      </c>
      <c r="AA38" s="122">
        <f>SUM(AA39)</f>
        <v>490631</v>
      </c>
      <c r="AB38" s="122">
        <f t="shared" si="25"/>
        <v>0</v>
      </c>
      <c r="AC38" s="122">
        <f>SUM(AC39)</f>
        <v>490631</v>
      </c>
    </row>
    <row r="39" spans="1:29" s="20" customFormat="1" ht="21.75" customHeight="1">
      <c r="A39" s="45"/>
      <c r="B39" s="46">
        <v>85415</v>
      </c>
      <c r="C39" s="47"/>
      <c r="D39" s="31" t="s">
        <v>184</v>
      </c>
      <c r="E39" s="113">
        <f t="shared" si="25"/>
        <v>0</v>
      </c>
      <c r="F39" s="113">
        <f t="shared" si="25"/>
        <v>252163</v>
      </c>
      <c r="G39" s="113">
        <f t="shared" si="25"/>
        <v>252163</v>
      </c>
      <c r="H39" s="113">
        <f t="shared" si="25"/>
        <v>0</v>
      </c>
      <c r="I39" s="113">
        <f t="shared" si="25"/>
        <v>252163</v>
      </c>
      <c r="J39" s="113">
        <f t="shared" si="25"/>
        <v>0</v>
      </c>
      <c r="K39" s="113">
        <f t="shared" si="25"/>
        <v>252163</v>
      </c>
      <c r="L39" s="113">
        <f t="shared" si="25"/>
        <v>0</v>
      </c>
      <c r="M39" s="113">
        <f t="shared" si="25"/>
        <v>252163</v>
      </c>
      <c r="N39" s="113">
        <f t="shared" si="25"/>
        <v>0</v>
      </c>
      <c r="O39" s="113">
        <f t="shared" si="25"/>
        <v>252163</v>
      </c>
      <c r="P39" s="113">
        <f t="shared" si="25"/>
        <v>0</v>
      </c>
      <c r="Q39" s="113">
        <f t="shared" si="25"/>
        <v>304103</v>
      </c>
      <c r="R39" s="113">
        <f t="shared" si="25"/>
        <v>0</v>
      </c>
      <c r="S39" s="113">
        <f t="shared" si="25"/>
        <v>304103</v>
      </c>
      <c r="T39" s="113">
        <f>SUM(T40)</f>
        <v>0</v>
      </c>
      <c r="U39" s="113">
        <f>SUM(U40)</f>
        <v>304103</v>
      </c>
      <c r="V39" s="113">
        <f>SUM(V40)</f>
        <v>0</v>
      </c>
      <c r="W39" s="113">
        <f>SUM(W40)</f>
        <v>304103</v>
      </c>
      <c r="X39" s="113">
        <f>SUM(X40)</f>
        <v>186528</v>
      </c>
      <c r="Y39" s="113">
        <f>SUM(Y40)</f>
        <v>490631</v>
      </c>
      <c r="Z39" s="113">
        <f>SUM(Z40)</f>
        <v>0</v>
      </c>
      <c r="AA39" s="113">
        <f>SUM(AA40)</f>
        <v>490631</v>
      </c>
      <c r="AB39" s="113">
        <f>SUM(AB40)</f>
        <v>0</v>
      </c>
      <c r="AC39" s="113">
        <f>SUM(AC40)</f>
        <v>490631</v>
      </c>
    </row>
    <row r="40" spans="1:29" s="20" customFormat="1" ht="22.5" customHeight="1">
      <c r="A40" s="41"/>
      <c r="B40" s="41"/>
      <c r="C40" s="43">
        <v>2030</v>
      </c>
      <c r="D40" s="50" t="s">
        <v>173</v>
      </c>
      <c r="E40" s="113">
        <v>0</v>
      </c>
      <c r="F40" s="113">
        <v>252163</v>
      </c>
      <c r="G40" s="113">
        <f>SUM(E40:F40)</f>
        <v>252163</v>
      </c>
      <c r="H40" s="113"/>
      <c r="I40" s="113">
        <f>SUM(G40:H40)</f>
        <v>252163</v>
      </c>
      <c r="J40" s="113"/>
      <c r="K40" s="113">
        <f>SUM(I40:J40)</f>
        <v>252163</v>
      </c>
      <c r="L40" s="113"/>
      <c r="M40" s="113">
        <f>SUM(K40:L40)</f>
        <v>252163</v>
      </c>
      <c r="N40" s="113"/>
      <c r="O40" s="113">
        <f>SUM(M40:N40)</f>
        <v>252163</v>
      </c>
      <c r="P40" s="113"/>
      <c r="Q40" s="113">
        <v>304103</v>
      </c>
      <c r="R40" s="113"/>
      <c r="S40" s="113">
        <f>SUM(Q40:R40)</f>
        <v>304103</v>
      </c>
      <c r="T40" s="113"/>
      <c r="U40" s="113">
        <f>SUM(S40:T40)</f>
        <v>304103</v>
      </c>
      <c r="V40" s="113"/>
      <c r="W40" s="113">
        <f>SUM(U40:V40)</f>
        <v>304103</v>
      </c>
      <c r="X40" s="113">
        <v>186528</v>
      </c>
      <c r="Y40" s="113">
        <f>SUM(W40:X40)</f>
        <v>490631</v>
      </c>
      <c r="Z40" s="113"/>
      <c r="AA40" s="113">
        <f>SUM(Y40:Z40)</f>
        <v>490631</v>
      </c>
      <c r="AB40" s="113"/>
      <c r="AC40" s="113">
        <f>SUM(AA40:AB40)</f>
        <v>490631</v>
      </c>
    </row>
    <row r="41" spans="1:29" s="6" customFormat="1" ht="24.75" customHeight="1">
      <c r="A41" s="27" t="s">
        <v>61</v>
      </c>
      <c r="B41" s="111"/>
      <c r="C41" s="112"/>
      <c r="D41" s="30" t="s">
        <v>67</v>
      </c>
      <c r="E41" s="105">
        <f>SUM(E44)</f>
        <v>60000</v>
      </c>
      <c r="F41" s="105">
        <f>SUM(F44)</f>
        <v>0</v>
      </c>
      <c r="G41" s="105">
        <f aca="true" t="shared" si="26" ref="G41:S41">SUM(G44,G42)</f>
        <v>60000</v>
      </c>
      <c r="H41" s="105">
        <f t="shared" si="26"/>
        <v>9350</v>
      </c>
      <c r="I41" s="105">
        <f t="shared" si="26"/>
        <v>69350</v>
      </c>
      <c r="J41" s="105">
        <f t="shared" si="26"/>
        <v>0</v>
      </c>
      <c r="K41" s="105">
        <f t="shared" si="26"/>
        <v>69350</v>
      </c>
      <c r="L41" s="105">
        <f t="shared" si="26"/>
        <v>0</v>
      </c>
      <c r="M41" s="105">
        <f t="shared" si="26"/>
        <v>69350</v>
      </c>
      <c r="N41" s="105">
        <f t="shared" si="26"/>
        <v>0</v>
      </c>
      <c r="O41" s="105">
        <f t="shared" si="26"/>
        <v>69350</v>
      </c>
      <c r="P41" s="105">
        <f t="shared" si="26"/>
        <v>0</v>
      </c>
      <c r="Q41" s="105">
        <f t="shared" si="26"/>
        <v>69350</v>
      </c>
      <c r="R41" s="105">
        <f t="shared" si="26"/>
        <v>0</v>
      </c>
      <c r="S41" s="105">
        <f t="shared" si="26"/>
        <v>69350</v>
      </c>
      <c r="T41" s="105">
        <f aca="true" t="shared" si="27" ref="T41:Y41">SUM(T44,T42)</f>
        <v>0</v>
      </c>
      <c r="U41" s="105">
        <f t="shared" si="27"/>
        <v>69350</v>
      </c>
      <c r="V41" s="105">
        <f t="shared" si="27"/>
        <v>0</v>
      </c>
      <c r="W41" s="105">
        <f t="shared" si="27"/>
        <v>69350</v>
      </c>
      <c r="X41" s="105">
        <f t="shared" si="27"/>
        <v>0</v>
      </c>
      <c r="Y41" s="105">
        <f t="shared" si="27"/>
        <v>69350</v>
      </c>
      <c r="Z41" s="105">
        <f>SUM(Z44,Z42)</f>
        <v>0</v>
      </c>
      <c r="AA41" s="105">
        <f>SUM(AA44,AA42)</f>
        <v>69350</v>
      </c>
      <c r="AB41" s="105">
        <f>SUM(AB44,AB42)</f>
        <v>0</v>
      </c>
      <c r="AC41" s="105">
        <f>SUM(AC44,AC42)</f>
        <v>69350</v>
      </c>
    </row>
    <row r="42" spans="1:29" s="20" customFormat="1" ht="24.75" customHeight="1">
      <c r="A42" s="123"/>
      <c r="B42" s="82">
        <v>92105</v>
      </c>
      <c r="C42" s="85"/>
      <c r="D42" s="97" t="s">
        <v>219</v>
      </c>
      <c r="E42" s="124"/>
      <c r="F42" s="124"/>
      <c r="G42" s="110">
        <f aca="true" t="shared" si="28" ref="G42:AC42">SUM(G43)</f>
        <v>0</v>
      </c>
      <c r="H42" s="110">
        <f t="shared" si="28"/>
        <v>9350</v>
      </c>
      <c r="I42" s="110">
        <f t="shared" si="28"/>
        <v>9350</v>
      </c>
      <c r="J42" s="110">
        <f t="shared" si="28"/>
        <v>0</v>
      </c>
      <c r="K42" s="110">
        <f t="shared" si="28"/>
        <v>9350</v>
      </c>
      <c r="L42" s="110">
        <f t="shared" si="28"/>
        <v>0</v>
      </c>
      <c r="M42" s="110">
        <f t="shared" si="28"/>
        <v>9350</v>
      </c>
      <c r="N42" s="110">
        <f t="shared" si="28"/>
        <v>0</v>
      </c>
      <c r="O42" s="110">
        <f t="shared" si="28"/>
        <v>9350</v>
      </c>
      <c r="P42" s="110">
        <f t="shared" si="28"/>
        <v>0</v>
      </c>
      <c r="Q42" s="110">
        <f t="shared" si="28"/>
        <v>9350</v>
      </c>
      <c r="R42" s="110">
        <f t="shared" si="28"/>
        <v>0</v>
      </c>
      <c r="S42" s="110">
        <f t="shared" si="28"/>
        <v>9350</v>
      </c>
      <c r="T42" s="110">
        <f t="shared" si="28"/>
        <v>0</v>
      </c>
      <c r="U42" s="110">
        <f t="shared" si="28"/>
        <v>9350</v>
      </c>
      <c r="V42" s="110">
        <f t="shared" si="28"/>
        <v>0</v>
      </c>
      <c r="W42" s="110">
        <f t="shared" si="28"/>
        <v>9350</v>
      </c>
      <c r="X42" s="110">
        <f t="shared" si="28"/>
        <v>0</v>
      </c>
      <c r="Y42" s="110">
        <f t="shared" si="28"/>
        <v>9350</v>
      </c>
      <c r="Z42" s="110">
        <f t="shared" si="28"/>
        <v>0</v>
      </c>
      <c r="AA42" s="110">
        <f t="shared" si="28"/>
        <v>9350</v>
      </c>
      <c r="AB42" s="110">
        <f t="shared" si="28"/>
        <v>0</v>
      </c>
      <c r="AC42" s="110">
        <f t="shared" si="28"/>
        <v>9350</v>
      </c>
    </row>
    <row r="43" spans="1:29" s="20" customFormat="1" ht="45">
      <c r="A43" s="123"/>
      <c r="B43" s="82"/>
      <c r="C43" s="85">
        <v>2320</v>
      </c>
      <c r="D43" s="50" t="s">
        <v>174</v>
      </c>
      <c r="E43" s="124"/>
      <c r="F43" s="124"/>
      <c r="G43" s="110">
        <v>0</v>
      </c>
      <c r="H43" s="110">
        <v>9350</v>
      </c>
      <c r="I43" s="110">
        <f>SUM(G43:H43)</f>
        <v>9350</v>
      </c>
      <c r="J43" s="110"/>
      <c r="K43" s="110">
        <f>SUM(I43:J43)</f>
        <v>9350</v>
      </c>
      <c r="L43" s="110"/>
      <c r="M43" s="110">
        <f>SUM(K43:L43)</f>
        <v>9350</v>
      </c>
      <c r="N43" s="110"/>
      <c r="O43" s="110">
        <f>SUM(M43:N43)</f>
        <v>9350</v>
      </c>
      <c r="P43" s="110"/>
      <c r="Q43" s="110">
        <f>SUM(O43:P43)</f>
        <v>9350</v>
      </c>
      <c r="R43" s="110"/>
      <c r="S43" s="110">
        <f>SUM(Q43:R43)</f>
        <v>9350</v>
      </c>
      <c r="T43" s="110"/>
      <c r="U43" s="110">
        <f>SUM(S43:T43)</f>
        <v>9350</v>
      </c>
      <c r="V43" s="110"/>
      <c r="W43" s="110">
        <f>SUM(U43:V43)</f>
        <v>9350</v>
      </c>
      <c r="X43" s="110"/>
      <c r="Y43" s="110">
        <f>SUM(W43:X43)</f>
        <v>9350</v>
      </c>
      <c r="Z43" s="110"/>
      <c r="AA43" s="110">
        <f>SUM(Y43:Z43)</f>
        <v>9350</v>
      </c>
      <c r="AB43" s="110"/>
      <c r="AC43" s="110">
        <f>SUM(AA43:AB43)</f>
        <v>9350</v>
      </c>
    </row>
    <row r="44" spans="1:29" s="20" customFormat="1" ht="21.75" customHeight="1">
      <c r="A44" s="41"/>
      <c r="B44" s="41" t="s">
        <v>62</v>
      </c>
      <c r="C44" s="42"/>
      <c r="D44" s="31" t="s">
        <v>63</v>
      </c>
      <c r="E44" s="113">
        <f aca="true" t="shared" si="29" ref="E44:AC44">E45</f>
        <v>60000</v>
      </c>
      <c r="F44" s="113">
        <f t="shared" si="29"/>
        <v>0</v>
      </c>
      <c r="G44" s="113">
        <f t="shared" si="29"/>
        <v>60000</v>
      </c>
      <c r="H44" s="113">
        <f t="shared" si="29"/>
        <v>0</v>
      </c>
      <c r="I44" s="113">
        <f t="shared" si="29"/>
        <v>60000</v>
      </c>
      <c r="J44" s="113">
        <f t="shared" si="29"/>
        <v>0</v>
      </c>
      <c r="K44" s="113">
        <f t="shared" si="29"/>
        <v>60000</v>
      </c>
      <c r="L44" s="113">
        <f t="shared" si="29"/>
        <v>0</v>
      </c>
      <c r="M44" s="113">
        <f t="shared" si="29"/>
        <v>60000</v>
      </c>
      <c r="N44" s="113">
        <f t="shared" si="29"/>
        <v>0</v>
      </c>
      <c r="O44" s="113">
        <f t="shared" si="29"/>
        <v>60000</v>
      </c>
      <c r="P44" s="113">
        <f t="shared" si="29"/>
        <v>0</v>
      </c>
      <c r="Q44" s="113">
        <f t="shared" si="29"/>
        <v>60000</v>
      </c>
      <c r="R44" s="113">
        <f t="shared" si="29"/>
        <v>0</v>
      </c>
      <c r="S44" s="113">
        <f t="shared" si="29"/>
        <v>60000</v>
      </c>
      <c r="T44" s="113">
        <f t="shared" si="29"/>
        <v>0</v>
      </c>
      <c r="U44" s="113">
        <f t="shared" si="29"/>
        <v>60000</v>
      </c>
      <c r="V44" s="113">
        <f t="shared" si="29"/>
        <v>0</v>
      </c>
      <c r="W44" s="113">
        <f t="shared" si="29"/>
        <v>60000</v>
      </c>
      <c r="X44" s="113">
        <f t="shared" si="29"/>
        <v>0</v>
      </c>
      <c r="Y44" s="113">
        <f t="shared" si="29"/>
        <v>60000</v>
      </c>
      <c r="Z44" s="113">
        <f t="shared" si="29"/>
        <v>0</v>
      </c>
      <c r="AA44" s="113">
        <f t="shared" si="29"/>
        <v>60000</v>
      </c>
      <c r="AB44" s="113">
        <f t="shared" si="29"/>
        <v>0</v>
      </c>
      <c r="AC44" s="113">
        <f t="shared" si="29"/>
        <v>60000</v>
      </c>
    </row>
    <row r="45" spans="1:29" s="20" customFormat="1" ht="45">
      <c r="A45" s="41"/>
      <c r="B45" s="41"/>
      <c r="C45" s="43">
        <v>2320</v>
      </c>
      <c r="D45" s="31" t="s">
        <v>174</v>
      </c>
      <c r="E45" s="113">
        <v>60000</v>
      </c>
      <c r="F45" s="113"/>
      <c r="G45" s="113">
        <f>SUM(E45:F45)</f>
        <v>60000</v>
      </c>
      <c r="H45" s="113"/>
      <c r="I45" s="113">
        <f>SUM(G45:H45)</f>
        <v>60000</v>
      </c>
      <c r="J45" s="113"/>
      <c r="K45" s="113">
        <f>SUM(I45:J45)</f>
        <v>60000</v>
      </c>
      <c r="L45" s="113"/>
      <c r="M45" s="113">
        <f>SUM(K45:L45)</f>
        <v>60000</v>
      </c>
      <c r="N45" s="113"/>
      <c r="O45" s="113">
        <f>SUM(M45:N45)</f>
        <v>60000</v>
      </c>
      <c r="P45" s="113"/>
      <c r="Q45" s="113">
        <f>SUM(O45:P45)</f>
        <v>60000</v>
      </c>
      <c r="R45" s="113"/>
      <c r="S45" s="113">
        <f>SUM(Q45:R45)</f>
        <v>60000</v>
      </c>
      <c r="T45" s="113"/>
      <c r="U45" s="113">
        <f>SUM(S45:T45)</f>
        <v>60000</v>
      </c>
      <c r="V45" s="113"/>
      <c r="W45" s="113">
        <f>SUM(U45:V45)</f>
        <v>60000</v>
      </c>
      <c r="X45" s="113"/>
      <c r="Y45" s="113">
        <f>SUM(W45:X45)</f>
        <v>60000</v>
      </c>
      <c r="Z45" s="113"/>
      <c r="AA45" s="113">
        <f>SUM(Y45:Z45)</f>
        <v>60000</v>
      </c>
      <c r="AB45" s="113"/>
      <c r="AC45" s="113">
        <f>SUM(AA45:AB45)</f>
        <v>60000</v>
      </c>
    </row>
    <row r="46" spans="1:29" s="20" customFormat="1" ht="24">
      <c r="A46" s="92">
        <v>926</v>
      </c>
      <c r="B46" s="92"/>
      <c r="C46" s="92"/>
      <c r="D46" s="30" t="s">
        <v>111</v>
      </c>
      <c r="E46" s="113"/>
      <c r="F46" s="113"/>
      <c r="G46" s="122">
        <f aca="true" t="shared" si="30" ref="G46:AB47">SUM(G47)</f>
        <v>0</v>
      </c>
      <c r="H46" s="122">
        <f t="shared" si="30"/>
        <v>3200</v>
      </c>
      <c r="I46" s="122">
        <f t="shared" si="30"/>
        <v>3200</v>
      </c>
      <c r="J46" s="122">
        <f t="shared" si="30"/>
        <v>0</v>
      </c>
      <c r="K46" s="122">
        <f t="shared" si="30"/>
        <v>3200</v>
      </c>
      <c r="L46" s="122">
        <f t="shared" si="30"/>
        <v>0</v>
      </c>
      <c r="M46" s="122">
        <f t="shared" si="30"/>
        <v>3200</v>
      </c>
      <c r="N46" s="122">
        <f t="shared" si="30"/>
        <v>0</v>
      </c>
      <c r="O46" s="122">
        <f t="shared" si="30"/>
        <v>3200</v>
      </c>
      <c r="P46" s="122">
        <f t="shared" si="30"/>
        <v>0</v>
      </c>
      <c r="Q46" s="122">
        <f t="shared" si="30"/>
        <v>3200</v>
      </c>
      <c r="R46" s="122">
        <f t="shared" si="30"/>
        <v>0</v>
      </c>
      <c r="S46" s="122">
        <f t="shared" si="30"/>
        <v>3200</v>
      </c>
      <c r="T46" s="122">
        <f t="shared" si="30"/>
        <v>0</v>
      </c>
      <c r="U46" s="122">
        <f t="shared" si="30"/>
        <v>3200</v>
      </c>
      <c r="V46" s="122">
        <f t="shared" si="30"/>
        <v>0</v>
      </c>
      <c r="W46" s="122">
        <f>SUM(W47)</f>
        <v>3200</v>
      </c>
      <c r="X46" s="122">
        <f t="shared" si="30"/>
        <v>0</v>
      </c>
      <c r="Y46" s="122">
        <f>SUM(Y47)</f>
        <v>3200</v>
      </c>
      <c r="Z46" s="122">
        <f t="shared" si="30"/>
        <v>0</v>
      </c>
      <c r="AA46" s="122">
        <f>SUM(AA47)</f>
        <v>3200</v>
      </c>
      <c r="AB46" s="122">
        <f t="shared" si="30"/>
        <v>0</v>
      </c>
      <c r="AC46" s="122">
        <f>SUM(AC47)</f>
        <v>3200</v>
      </c>
    </row>
    <row r="47" spans="1:29" s="20" customFormat="1" ht="22.5">
      <c r="A47" s="46"/>
      <c r="B47" s="46">
        <v>92605</v>
      </c>
      <c r="C47" s="46"/>
      <c r="D47" s="31" t="s">
        <v>65</v>
      </c>
      <c r="E47" s="113"/>
      <c r="F47" s="113"/>
      <c r="G47" s="113">
        <f t="shared" si="30"/>
        <v>0</v>
      </c>
      <c r="H47" s="113">
        <f t="shared" si="30"/>
        <v>3200</v>
      </c>
      <c r="I47" s="113">
        <f t="shared" si="30"/>
        <v>3200</v>
      </c>
      <c r="J47" s="113">
        <f t="shared" si="30"/>
        <v>0</v>
      </c>
      <c r="K47" s="113">
        <f t="shared" si="30"/>
        <v>3200</v>
      </c>
      <c r="L47" s="113">
        <f t="shared" si="30"/>
        <v>0</v>
      </c>
      <c r="M47" s="113">
        <f t="shared" si="30"/>
        <v>3200</v>
      </c>
      <c r="N47" s="113">
        <f t="shared" si="30"/>
        <v>0</v>
      </c>
      <c r="O47" s="113">
        <f t="shared" si="30"/>
        <v>3200</v>
      </c>
      <c r="P47" s="113">
        <f t="shared" si="30"/>
        <v>0</v>
      </c>
      <c r="Q47" s="113">
        <f t="shared" si="30"/>
        <v>3200</v>
      </c>
      <c r="R47" s="113">
        <f t="shared" si="30"/>
        <v>0</v>
      </c>
      <c r="S47" s="113">
        <f t="shared" si="30"/>
        <v>3200</v>
      </c>
      <c r="T47" s="113">
        <f t="shared" si="30"/>
        <v>0</v>
      </c>
      <c r="U47" s="113">
        <f t="shared" si="30"/>
        <v>3200</v>
      </c>
      <c r="V47" s="113">
        <f>SUM(V48)</f>
        <v>0</v>
      </c>
      <c r="W47" s="113">
        <f>SUM(W48)</f>
        <v>3200</v>
      </c>
      <c r="X47" s="113">
        <f>SUM(X48)</f>
        <v>0</v>
      </c>
      <c r="Y47" s="113">
        <f>SUM(Y48)</f>
        <v>3200</v>
      </c>
      <c r="Z47" s="113">
        <f>SUM(Z48)</f>
        <v>0</v>
      </c>
      <c r="AA47" s="113">
        <f>SUM(AA48)</f>
        <v>3200</v>
      </c>
      <c r="AB47" s="113">
        <f>SUM(AB48)</f>
        <v>0</v>
      </c>
      <c r="AC47" s="113">
        <f>SUM(AC48)</f>
        <v>3200</v>
      </c>
    </row>
    <row r="48" spans="1:29" s="20" customFormat="1" ht="45">
      <c r="A48" s="46"/>
      <c r="B48" s="46"/>
      <c r="C48" s="46">
        <v>2320</v>
      </c>
      <c r="D48" s="50" t="s">
        <v>174</v>
      </c>
      <c r="E48" s="113"/>
      <c r="F48" s="113"/>
      <c r="G48" s="113">
        <v>0</v>
      </c>
      <c r="H48" s="113">
        <v>3200</v>
      </c>
      <c r="I48" s="113">
        <f>SUM(G48:H48)</f>
        <v>3200</v>
      </c>
      <c r="J48" s="113"/>
      <c r="K48" s="113">
        <f>SUM(I48:J48)</f>
        <v>3200</v>
      </c>
      <c r="L48" s="113"/>
      <c r="M48" s="113">
        <f>SUM(K48:L48)</f>
        <v>3200</v>
      </c>
      <c r="N48" s="113"/>
      <c r="O48" s="113">
        <f>SUM(M48:N48)</f>
        <v>3200</v>
      </c>
      <c r="P48" s="113"/>
      <c r="Q48" s="113">
        <f>SUM(O48:P48)</f>
        <v>3200</v>
      </c>
      <c r="R48" s="113"/>
      <c r="S48" s="113">
        <f>SUM(Q48:R48)</f>
        <v>3200</v>
      </c>
      <c r="T48" s="113"/>
      <c r="U48" s="113">
        <f>SUM(S48:T48)</f>
        <v>3200</v>
      </c>
      <c r="V48" s="113"/>
      <c r="W48" s="113">
        <f>SUM(U48:V48)</f>
        <v>3200</v>
      </c>
      <c r="X48" s="113"/>
      <c r="Y48" s="113">
        <f>SUM(W48:X48)</f>
        <v>3200</v>
      </c>
      <c r="Z48" s="113"/>
      <c r="AA48" s="113">
        <f>SUM(Y48:Z48)</f>
        <v>3200</v>
      </c>
      <c r="AB48" s="113"/>
      <c r="AC48" s="113">
        <f>SUM(AA48:AB48)</f>
        <v>3200</v>
      </c>
    </row>
    <row r="49" spans="1:29" s="20" customFormat="1" ht="25.5" customHeight="1">
      <c r="A49" s="125"/>
      <c r="B49" s="126"/>
      <c r="C49" s="127"/>
      <c r="D49" s="128" t="s">
        <v>66</v>
      </c>
      <c r="E49" s="129">
        <f>SUM(E41,E25,E13,E10,E18,E38)</f>
        <v>9077678</v>
      </c>
      <c r="F49" s="129">
        <f>SUM(F41,F25,F13,F10,F18,F38)</f>
        <v>252163</v>
      </c>
      <c r="G49" s="129">
        <f aca="true" t="shared" si="31" ref="G49:L49">SUM(G41,G25,G13,G10,G18,G38,G46)</f>
        <v>9329841</v>
      </c>
      <c r="H49" s="129">
        <f t="shared" si="31"/>
        <v>325150</v>
      </c>
      <c r="I49" s="129">
        <f t="shared" si="31"/>
        <v>9654991</v>
      </c>
      <c r="J49" s="129">
        <f t="shared" si="31"/>
        <v>32982</v>
      </c>
      <c r="K49" s="129">
        <f t="shared" si="31"/>
        <v>9687973</v>
      </c>
      <c r="L49" s="129">
        <f t="shared" si="31"/>
        <v>75000</v>
      </c>
      <c r="M49" s="129">
        <f aca="true" t="shared" si="32" ref="M49:S49">SUM(M41,M25,M13,M10,M18,M38,M46,M7)</f>
        <v>9762973</v>
      </c>
      <c r="N49" s="129">
        <f t="shared" si="32"/>
        <v>286502</v>
      </c>
      <c r="O49" s="129">
        <f t="shared" si="32"/>
        <v>10049475</v>
      </c>
      <c r="P49" s="129">
        <f t="shared" si="32"/>
        <v>21240</v>
      </c>
      <c r="Q49" s="129">
        <f t="shared" si="32"/>
        <v>10122655</v>
      </c>
      <c r="R49" s="129">
        <f t="shared" si="32"/>
        <v>240668</v>
      </c>
      <c r="S49" s="129">
        <f t="shared" si="32"/>
        <v>10363323</v>
      </c>
      <c r="T49" s="129">
        <f aca="true" t="shared" si="33" ref="T49:Y49">SUM(T41,T25,T13,T10,T18,T38,T46,T7)</f>
        <v>0</v>
      </c>
      <c r="U49" s="129">
        <f t="shared" si="33"/>
        <v>10363323</v>
      </c>
      <c r="V49" s="129">
        <f t="shared" si="33"/>
        <v>-854065</v>
      </c>
      <c r="W49" s="129">
        <f t="shared" si="33"/>
        <v>9509258</v>
      </c>
      <c r="X49" s="129">
        <f t="shared" si="33"/>
        <v>372120</v>
      </c>
      <c r="Y49" s="129">
        <f t="shared" si="33"/>
        <v>9881378</v>
      </c>
      <c r="Z49" s="129">
        <f>SUM(Z41,Z25,Z13,Z10,Z18,Z38,Z46,Z7)</f>
        <v>288824</v>
      </c>
      <c r="AA49" s="129">
        <f>SUM(AA41,AA25,AA13,AA10,AA18,AA38,AA46,AA7)</f>
        <v>10170202</v>
      </c>
      <c r="AB49" s="129">
        <f>SUM(AB41,AB25,AB13,AB10,AB18,AB38,AB46,AB7)</f>
        <v>134970</v>
      </c>
      <c r="AC49" s="129">
        <f>SUM(AC41,AC25,AC13,AC10,AC18,AC38,AC46,AC7)</f>
        <v>10305172</v>
      </c>
    </row>
    <row r="50" spans="1:3" ht="12.75">
      <c r="A50" s="37"/>
      <c r="B50" s="37"/>
      <c r="C50" s="37"/>
    </row>
    <row r="53" spans="5:29" ht="12.75"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21">
        <v>47967</v>
      </c>
      <c r="Y53" s="130" t="s">
        <v>412</v>
      </c>
      <c r="Z53" s="21"/>
      <c r="AA53" s="130"/>
      <c r="AB53" s="21"/>
      <c r="AC53" s="130"/>
    </row>
    <row r="54" spans="24:28" ht="12.75">
      <c r="X54" s="21">
        <v>-300000</v>
      </c>
      <c r="Y54" s="6" t="s">
        <v>411</v>
      </c>
      <c r="Z54" s="21"/>
      <c r="AB54" s="21"/>
    </row>
    <row r="55" spans="24:28" ht="12.75">
      <c r="X55" s="21">
        <v>10400</v>
      </c>
      <c r="Y55" s="6" t="s">
        <v>228</v>
      </c>
      <c r="Z55" s="21"/>
      <c r="AB55" s="21"/>
    </row>
    <row r="56" spans="24:28" ht="12.75">
      <c r="X56" s="21">
        <v>186528</v>
      </c>
      <c r="Y56" s="6" t="s">
        <v>413</v>
      </c>
      <c r="Z56" s="21"/>
      <c r="AB56" s="21"/>
    </row>
    <row r="57" spans="24:28" ht="12.75">
      <c r="X57" s="21">
        <v>-1550</v>
      </c>
      <c r="Y57" s="6" t="s">
        <v>419</v>
      </c>
      <c r="Z57" s="21"/>
      <c r="AB57" s="21"/>
    </row>
    <row r="58" spans="24:28" ht="12.75">
      <c r="X58" s="21">
        <v>9600</v>
      </c>
      <c r="Y58" s="6" t="s">
        <v>228</v>
      </c>
      <c r="Z58" s="21"/>
      <c r="AB58" s="21"/>
    </row>
    <row r="59" spans="24:28" ht="12.75">
      <c r="X59" s="21">
        <v>288700</v>
      </c>
      <c r="Y59" s="6" t="s">
        <v>420</v>
      </c>
      <c r="Z59" s="21"/>
      <c r="AB59" s="21"/>
    </row>
    <row r="60" spans="24:28" ht="12.75">
      <c r="X60" s="21">
        <v>528</v>
      </c>
      <c r="Y60" s="6" t="s">
        <v>422</v>
      </c>
      <c r="Z60" s="21"/>
      <c r="AB60" s="21"/>
    </row>
    <row r="61" spans="24:28" ht="12.75">
      <c r="X61" s="21">
        <v>129947</v>
      </c>
      <c r="Y61" s="6" t="s">
        <v>421</v>
      </c>
      <c r="Z61" s="21"/>
      <c r="AB61" s="21"/>
    </row>
    <row r="62" spans="24:28" ht="12.75">
      <c r="X62" s="169">
        <f>SUM(X53:X61)</f>
        <v>372120</v>
      </c>
      <c r="Z62" s="169"/>
      <c r="AB62" s="169"/>
    </row>
    <row r="63" spans="24:28" ht="12.75">
      <c r="X63" s="21"/>
      <c r="Z63" s="21"/>
      <c r="AB63" s="21"/>
    </row>
    <row r="64" spans="24:28" ht="12.75">
      <c r="X64" s="21"/>
      <c r="Z64" s="21"/>
      <c r="AB64" s="21"/>
    </row>
    <row r="65" spans="24:28" ht="12.75">
      <c r="X65" s="21"/>
      <c r="Z65" s="21"/>
      <c r="AB65" s="21"/>
    </row>
    <row r="66" spans="24:28" ht="12.75">
      <c r="X66" s="21"/>
      <c r="Z66" s="21"/>
      <c r="AB66" s="21"/>
    </row>
    <row r="67" spans="24:28" ht="12.75">
      <c r="X67" s="21"/>
      <c r="Z67" s="21"/>
      <c r="AB67" s="21"/>
    </row>
  </sheetData>
  <sheetProtection/>
  <mergeCells count="1">
    <mergeCell ref="A5:AC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G83"/>
  <sheetViews>
    <sheetView tabSelected="1" zoomScalePageLayoutView="0" workbookViewId="0" topLeftCell="A1">
      <selection activeCell="AD66" sqref="AD66"/>
    </sheetView>
  </sheetViews>
  <sheetFormatPr defaultColWidth="9.00390625" defaultRowHeight="12.75"/>
  <cols>
    <col min="1" max="1" width="4.875" style="6" customWidth="1"/>
    <col min="2" max="2" width="7.25390625" style="6" bestFit="1" customWidth="1"/>
    <col min="3" max="3" width="5.75390625" style="6" customWidth="1"/>
    <col min="4" max="4" width="32.25390625" style="6" customWidth="1"/>
    <col min="5" max="5" width="13.375" style="0" hidden="1" customWidth="1"/>
    <col min="6" max="6" width="13.875" style="0" hidden="1" customWidth="1"/>
    <col min="7" max="7" width="0.12890625" style="0" hidden="1" customWidth="1"/>
    <col min="8" max="8" width="11.00390625" style="0" hidden="1" customWidth="1"/>
    <col min="9" max="9" width="40.00390625" style="0" hidden="1" customWidth="1"/>
    <col min="10" max="10" width="9.875" style="0" hidden="1" customWidth="1"/>
    <col min="11" max="11" width="14.125" style="0" hidden="1" customWidth="1"/>
    <col min="12" max="12" width="11.00390625" style="0" hidden="1" customWidth="1"/>
    <col min="13" max="13" width="14.125" style="0" hidden="1" customWidth="1"/>
    <col min="14" max="14" width="11.00390625" style="0" hidden="1" customWidth="1"/>
    <col min="15" max="15" width="12.75390625" style="0" hidden="1" customWidth="1"/>
    <col min="16" max="16" width="10.75390625" style="0" hidden="1" customWidth="1"/>
    <col min="17" max="17" width="0.12890625" style="0" hidden="1" customWidth="1"/>
    <col min="18" max="18" width="10.375" style="0" hidden="1" customWidth="1"/>
    <col min="19" max="19" width="45.75390625" style="0" hidden="1" customWidth="1"/>
    <col min="20" max="20" width="10.375" style="0" hidden="1" customWidth="1"/>
    <col min="21" max="22" width="14.125" style="0" hidden="1" customWidth="1"/>
    <col min="23" max="23" width="0.12890625" style="0" hidden="1" customWidth="1"/>
    <col min="24" max="24" width="14.125" style="0" hidden="1" customWidth="1"/>
    <col min="25" max="27" width="14.125" style="0" customWidth="1"/>
  </cols>
  <sheetData>
    <row r="1" spans="5:27" ht="12.75">
      <c r="E1" s="38" t="s">
        <v>375</v>
      </c>
      <c r="F1" s="38"/>
      <c r="G1" s="38" t="s">
        <v>376</v>
      </c>
      <c r="H1" s="38"/>
      <c r="I1" s="38" t="s">
        <v>377</v>
      </c>
      <c r="J1" s="38"/>
      <c r="K1" s="38" t="s">
        <v>378</v>
      </c>
      <c r="L1" s="38"/>
      <c r="M1" s="38" t="s">
        <v>379</v>
      </c>
      <c r="N1" s="38"/>
      <c r="O1" s="38" t="s">
        <v>380</v>
      </c>
      <c r="P1" s="38"/>
      <c r="Q1" s="38" t="s">
        <v>393</v>
      </c>
      <c r="R1" s="38"/>
      <c r="S1" s="38" t="s">
        <v>400</v>
      </c>
      <c r="T1" s="38"/>
      <c r="U1" s="38" t="s">
        <v>424</v>
      </c>
      <c r="V1" s="38"/>
      <c r="W1" s="38" t="s">
        <v>439</v>
      </c>
      <c r="X1" s="38"/>
      <c r="Y1" s="38" t="s">
        <v>445</v>
      </c>
      <c r="Z1" s="38"/>
      <c r="AA1" s="38"/>
    </row>
    <row r="2" spans="4:27" ht="12.75">
      <c r="D2" s="6" t="s">
        <v>381</v>
      </c>
      <c r="E2" s="38" t="s">
        <v>230</v>
      </c>
      <c r="F2" s="38"/>
      <c r="G2" s="38" t="s">
        <v>233</v>
      </c>
      <c r="H2" s="38"/>
      <c r="I2" s="38" t="s">
        <v>239</v>
      </c>
      <c r="J2" s="38"/>
      <c r="K2" s="38" t="s">
        <v>245</v>
      </c>
      <c r="L2" s="38"/>
      <c r="M2" s="38" t="s">
        <v>247</v>
      </c>
      <c r="N2" s="38"/>
      <c r="O2" s="38" t="s">
        <v>271</v>
      </c>
      <c r="P2" s="38"/>
      <c r="Q2" s="38" t="s">
        <v>391</v>
      </c>
      <c r="R2" s="38"/>
      <c r="S2" s="38" t="s">
        <v>396</v>
      </c>
      <c r="T2" s="38"/>
      <c r="U2" s="38" t="s">
        <v>423</v>
      </c>
      <c r="V2" s="38"/>
      <c r="W2" s="38" t="s">
        <v>436</v>
      </c>
      <c r="X2" s="38"/>
      <c r="Y2" s="38" t="s">
        <v>441</v>
      </c>
      <c r="Z2" s="38"/>
      <c r="AA2" s="38"/>
    </row>
    <row r="3" spans="4:27" ht="12.75">
      <c r="D3" s="6" t="s">
        <v>170</v>
      </c>
      <c r="E3" s="38" t="s">
        <v>212</v>
      </c>
      <c r="F3" s="38"/>
      <c r="G3" s="38" t="s">
        <v>375</v>
      </c>
      <c r="H3" s="38"/>
      <c r="I3" s="38" t="s">
        <v>376</v>
      </c>
      <c r="J3" s="38"/>
      <c r="K3" s="38" t="s">
        <v>377</v>
      </c>
      <c r="L3" s="38"/>
      <c r="M3" s="38" t="s">
        <v>378</v>
      </c>
      <c r="N3" s="38"/>
      <c r="O3" s="38" t="s">
        <v>382</v>
      </c>
      <c r="P3" s="38"/>
      <c r="Q3" s="38" t="s">
        <v>380</v>
      </c>
      <c r="R3" s="38"/>
      <c r="S3" s="38" t="s">
        <v>393</v>
      </c>
      <c r="T3" s="38"/>
      <c r="U3" s="38" t="s">
        <v>400</v>
      </c>
      <c r="V3" s="38"/>
      <c r="W3" s="38" t="s">
        <v>424</v>
      </c>
      <c r="X3" s="38"/>
      <c r="Y3" s="38" t="s">
        <v>439</v>
      </c>
      <c r="Z3" s="38"/>
      <c r="AA3" s="38"/>
    </row>
    <row r="4" spans="5:27" ht="12.75">
      <c r="E4" s="38" t="s">
        <v>209</v>
      </c>
      <c r="F4" s="38"/>
      <c r="G4" s="38" t="s">
        <v>231</v>
      </c>
      <c r="H4" s="38"/>
      <c r="I4" s="38" t="s">
        <v>383</v>
      </c>
      <c r="J4" s="38"/>
      <c r="K4" s="38" t="s">
        <v>241</v>
      </c>
      <c r="L4" s="38"/>
      <c r="M4" s="38" t="s">
        <v>248</v>
      </c>
      <c r="N4" s="38"/>
      <c r="O4" s="38" t="s">
        <v>384</v>
      </c>
      <c r="P4" s="38"/>
      <c r="Q4" s="38" t="s">
        <v>282</v>
      </c>
      <c r="R4" s="38"/>
      <c r="S4" s="38" t="s">
        <v>394</v>
      </c>
      <c r="T4" s="38"/>
      <c r="U4" s="38" t="s">
        <v>401</v>
      </c>
      <c r="V4" s="38"/>
      <c r="W4" s="38" t="s">
        <v>428</v>
      </c>
      <c r="X4" s="38"/>
      <c r="Y4" s="38" t="s">
        <v>442</v>
      </c>
      <c r="Z4" s="38"/>
      <c r="AA4" s="38"/>
    </row>
    <row r="5" spans="1:27" ht="44.25" customHeight="1">
      <c r="A5" s="181" t="s">
        <v>385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</row>
    <row r="6" spans="1:27" s="6" customFormat="1" ht="24.75" customHeight="1">
      <c r="A6" s="10" t="s">
        <v>0</v>
      </c>
      <c r="B6" s="10" t="s">
        <v>1</v>
      </c>
      <c r="C6" s="10" t="s">
        <v>2</v>
      </c>
      <c r="D6" s="16" t="s">
        <v>3</v>
      </c>
      <c r="E6" s="65" t="s">
        <v>116</v>
      </c>
      <c r="F6" s="65" t="s">
        <v>206</v>
      </c>
      <c r="G6" s="65" t="s">
        <v>117</v>
      </c>
      <c r="H6" s="65" t="s">
        <v>206</v>
      </c>
      <c r="I6" s="65" t="s">
        <v>117</v>
      </c>
      <c r="J6" s="65" t="s">
        <v>206</v>
      </c>
      <c r="K6" s="65" t="s">
        <v>117</v>
      </c>
      <c r="L6" s="65" t="s">
        <v>206</v>
      </c>
      <c r="M6" s="65" t="s">
        <v>117</v>
      </c>
      <c r="N6" s="65" t="s">
        <v>206</v>
      </c>
      <c r="O6" s="65" t="s">
        <v>117</v>
      </c>
      <c r="P6" s="65" t="s">
        <v>206</v>
      </c>
      <c r="Q6" s="65" t="s">
        <v>117</v>
      </c>
      <c r="R6" s="65" t="s">
        <v>206</v>
      </c>
      <c r="S6" s="65" t="s">
        <v>117</v>
      </c>
      <c r="T6" s="65" t="s">
        <v>206</v>
      </c>
      <c r="U6" s="65" t="s">
        <v>117</v>
      </c>
      <c r="V6" s="65" t="s">
        <v>206</v>
      </c>
      <c r="W6" s="65" t="s">
        <v>117</v>
      </c>
      <c r="X6" s="65" t="s">
        <v>206</v>
      </c>
      <c r="Y6" s="65" t="s">
        <v>117</v>
      </c>
      <c r="Z6" s="65" t="s">
        <v>206</v>
      </c>
      <c r="AA6" s="65" t="s">
        <v>386</v>
      </c>
    </row>
    <row r="7" spans="1:27" s="6" customFormat="1" ht="24.75" customHeight="1">
      <c r="A7" s="25" t="s">
        <v>4</v>
      </c>
      <c r="B7" s="10"/>
      <c r="C7" s="11"/>
      <c r="D7" s="24" t="s">
        <v>5</v>
      </c>
      <c r="E7" s="65"/>
      <c r="F7" s="65"/>
      <c r="G7" s="65"/>
      <c r="H7" s="65"/>
      <c r="I7" s="68">
        <f aca="true" t="shared" si="0" ref="I7:AA7">SUM(I8)</f>
        <v>0</v>
      </c>
      <c r="J7" s="68">
        <f t="shared" si="0"/>
        <v>285502</v>
      </c>
      <c r="K7" s="68">
        <f t="shared" si="0"/>
        <v>285502</v>
      </c>
      <c r="L7" s="68">
        <f t="shared" si="0"/>
        <v>0</v>
      </c>
      <c r="M7" s="68">
        <f t="shared" si="0"/>
        <v>285502</v>
      </c>
      <c r="N7" s="68">
        <f t="shared" si="0"/>
        <v>0</v>
      </c>
      <c r="O7" s="68">
        <f t="shared" si="0"/>
        <v>285502</v>
      </c>
      <c r="P7" s="68">
        <f t="shared" si="0"/>
        <v>0</v>
      </c>
      <c r="Q7" s="68">
        <f t="shared" si="0"/>
        <v>285502</v>
      </c>
      <c r="R7" s="68">
        <f t="shared" si="0"/>
        <v>0</v>
      </c>
      <c r="S7" s="68">
        <f t="shared" si="0"/>
        <v>285502</v>
      </c>
      <c r="T7" s="68">
        <f t="shared" si="0"/>
        <v>0</v>
      </c>
      <c r="U7" s="68">
        <f t="shared" si="0"/>
        <v>285502</v>
      </c>
      <c r="V7" s="68">
        <f t="shared" si="0"/>
        <v>129947</v>
      </c>
      <c r="W7" s="68">
        <f t="shared" si="0"/>
        <v>415449</v>
      </c>
      <c r="X7" s="68">
        <f t="shared" si="0"/>
        <v>0</v>
      </c>
      <c r="Y7" s="68">
        <f t="shared" si="0"/>
        <v>415449</v>
      </c>
      <c r="Z7" s="68">
        <f t="shared" si="0"/>
        <v>134970</v>
      </c>
      <c r="AA7" s="68">
        <f t="shared" si="0"/>
        <v>550419</v>
      </c>
    </row>
    <row r="8" spans="1:27" s="75" customFormat="1" ht="24.75" customHeight="1">
      <c r="A8" s="98"/>
      <c r="B8" s="77" t="s">
        <v>187</v>
      </c>
      <c r="C8" s="83"/>
      <c r="D8" s="97" t="s">
        <v>6</v>
      </c>
      <c r="E8" s="87"/>
      <c r="F8" s="87"/>
      <c r="G8" s="87"/>
      <c r="H8" s="87"/>
      <c r="I8" s="91">
        <f>SUM(I12:I14)</f>
        <v>0</v>
      </c>
      <c r="J8" s="91">
        <f>SUM(J12:J14)</f>
        <v>285502</v>
      </c>
      <c r="K8" s="91">
        <f aca="true" t="shared" si="1" ref="K8:Q8">SUM(K9:K16)</f>
        <v>285502</v>
      </c>
      <c r="L8" s="91">
        <f t="shared" si="1"/>
        <v>0</v>
      </c>
      <c r="M8" s="91">
        <f t="shared" si="1"/>
        <v>285502</v>
      </c>
      <c r="N8" s="91">
        <f t="shared" si="1"/>
        <v>0</v>
      </c>
      <c r="O8" s="91">
        <f t="shared" si="1"/>
        <v>285502</v>
      </c>
      <c r="P8" s="91">
        <f t="shared" si="1"/>
        <v>0</v>
      </c>
      <c r="Q8" s="91">
        <f t="shared" si="1"/>
        <v>285502</v>
      </c>
      <c r="R8" s="91">
        <f aca="true" t="shared" si="2" ref="R8:W8">SUM(R9:R16)</f>
        <v>0</v>
      </c>
      <c r="S8" s="91">
        <f t="shared" si="2"/>
        <v>285502</v>
      </c>
      <c r="T8" s="91">
        <f t="shared" si="2"/>
        <v>0</v>
      </c>
      <c r="U8" s="91">
        <f t="shared" si="2"/>
        <v>285502</v>
      </c>
      <c r="V8" s="91">
        <f t="shared" si="2"/>
        <v>129947</v>
      </c>
      <c r="W8" s="91">
        <f t="shared" si="2"/>
        <v>415449</v>
      </c>
      <c r="X8" s="91">
        <f>SUM(X9:X16)</f>
        <v>0</v>
      </c>
      <c r="Y8" s="91">
        <f>SUM(Y9:Y16)</f>
        <v>415449</v>
      </c>
      <c r="Z8" s="91">
        <f>SUM(Z9:Z16)</f>
        <v>134970</v>
      </c>
      <c r="AA8" s="91">
        <f>SUM(AA9:AA16)</f>
        <v>550419</v>
      </c>
    </row>
    <row r="9" spans="1:27" s="75" customFormat="1" ht="24.75" customHeight="1">
      <c r="A9" s="98"/>
      <c r="B9" s="77"/>
      <c r="C9" s="83">
        <v>4010</v>
      </c>
      <c r="D9" s="50" t="s">
        <v>79</v>
      </c>
      <c r="E9" s="87"/>
      <c r="F9" s="87"/>
      <c r="G9" s="87"/>
      <c r="H9" s="87"/>
      <c r="I9" s="91"/>
      <c r="J9" s="91"/>
      <c r="K9" s="91">
        <v>0</v>
      </c>
      <c r="L9" s="91">
        <v>3378</v>
      </c>
      <c r="M9" s="91">
        <f>SUM(K9:L9)</f>
        <v>3378</v>
      </c>
      <c r="N9" s="91"/>
      <c r="O9" s="91">
        <f>SUM(M9:N9)</f>
        <v>3378</v>
      </c>
      <c r="P9" s="91"/>
      <c r="Q9" s="91">
        <f>SUM(O9:P9)</f>
        <v>3378</v>
      </c>
      <c r="R9" s="91"/>
      <c r="S9" s="91">
        <f>SUM(Q9:R9)</f>
        <v>3378</v>
      </c>
      <c r="T9" s="91"/>
      <c r="U9" s="91">
        <f>SUM(S9:T9)</f>
        <v>3378</v>
      </c>
      <c r="V9" s="91"/>
      <c r="W9" s="91">
        <f>SUM(U9:V9)</f>
        <v>3378</v>
      </c>
      <c r="X9" s="91"/>
      <c r="Y9" s="91">
        <f>SUM(W9:X9)</f>
        <v>3378</v>
      </c>
      <c r="Z9" s="91">
        <v>3378</v>
      </c>
      <c r="AA9" s="91">
        <f>SUM(Y9:Z9)</f>
        <v>6756</v>
      </c>
    </row>
    <row r="10" spans="1:27" s="75" customFormat="1" ht="24.75" customHeight="1">
      <c r="A10" s="98"/>
      <c r="B10" s="77"/>
      <c r="C10" s="83">
        <v>4110</v>
      </c>
      <c r="D10" s="50" t="s">
        <v>81</v>
      </c>
      <c r="E10" s="87"/>
      <c r="F10" s="87"/>
      <c r="G10" s="87"/>
      <c r="H10" s="87"/>
      <c r="I10" s="91"/>
      <c r="J10" s="91"/>
      <c r="K10" s="91">
        <v>0</v>
      </c>
      <c r="L10" s="91">
        <v>513</v>
      </c>
      <c r="M10" s="91">
        <f aca="true" t="shared" si="3" ref="M10:M16">SUM(K10:L10)</f>
        <v>513</v>
      </c>
      <c r="N10" s="91"/>
      <c r="O10" s="91">
        <f aca="true" t="shared" si="4" ref="O10:O16">SUM(M10:N10)</f>
        <v>513</v>
      </c>
      <c r="P10" s="91"/>
      <c r="Q10" s="91">
        <f aca="true" t="shared" si="5" ref="Q10:Q16">SUM(O10:P10)</f>
        <v>513</v>
      </c>
      <c r="R10" s="91"/>
      <c r="S10" s="91">
        <f aca="true" t="shared" si="6" ref="S10:S16">SUM(Q10:R10)</f>
        <v>513</v>
      </c>
      <c r="T10" s="91"/>
      <c r="U10" s="91">
        <f aca="true" t="shared" si="7" ref="U10:U16">SUM(S10:T10)</f>
        <v>513</v>
      </c>
      <c r="V10" s="91"/>
      <c r="W10" s="91">
        <f aca="true" t="shared" si="8" ref="W10:W16">SUM(U10:V10)</f>
        <v>513</v>
      </c>
      <c r="X10" s="91"/>
      <c r="Y10" s="91">
        <f aca="true" t="shared" si="9" ref="Y10:Y16">SUM(W10:X10)</f>
        <v>513</v>
      </c>
      <c r="Z10" s="91">
        <v>513</v>
      </c>
      <c r="AA10" s="91">
        <f aca="true" t="shared" si="10" ref="AA10:AA16">SUM(Y10:Z10)</f>
        <v>1026</v>
      </c>
    </row>
    <row r="11" spans="1:27" s="75" customFormat="1" ht="24.75" customHeight="1">
      <c r="A11" s="98"/>
      <c r="B11" s="77"/>
      <c r="C11" s="83">
        <v>4120</v>
      </c>
      <c r="D11" s="50" t="s">
        <v>82</v>
      </c>
      <c r="E11" s="87"/>
      <c r="F11" s="87"/>
      <c r="G11" s="87"/>
      <c r="H11" s="87"/>
      <c r="I11" s="91"/>
      <c r="J11" s="91"/>
      <c r="K11" s="91">
        <v>0</v>
      </c>
      <c r="L11" s="91">
        <v>82</v>
      </c>
      <c r="M11" s="91">
        <f t="shared" si="3"/>
        <v>82</v>
      </c>
      <c r="N11" s="91"/>
      <c r="O11" s="91">
        <f t="shared" si="4"/>
        <v>82</v>
      </c>
      <c r="P11" s="91"/>
      <c r="Q11" s="91">
        <f t="shared" si="5"/>
        <v>82</v>
      </c>
      <c r="R11" s="91"/>
      <c r="S11" s="91">
        <f t="shared" si="6"/>
        <v>82</v>
      </c>
      <c r="T11" s="91"/>
      <c r="U11" s="91">
        <f t="shared" si="7"/>
        <v>82</v>
      </c>
      <c r="V11" s="91"/>
      <c r="W11" s="91">
        <f t="shared" si="8"/>
        <v>82</v>
      </c>
      <c r="X11" s="91"/>
      <c r="Y11" s="91">
        <f t="shared" si="9"/>
        <v>82</v>
      </c>
      <c r="Z11" s="91">
        <v>82</v>
      </c>
      <c r="AA11" s="91">
        <f t="shared" si="10"/>
        <v>164</v>
      </c>
    </row>
    <row r="12" spans="1:27" s="75" customFormat="1" ht="24.75" customHeight="1">
      <c r="A12" s="98"/>
      <c r="B12" s="77"/>
      <c r="C12" s="83">
        <v>4210</v>
      </c>
      <c r="D12" s="97" t="s">
        <v>86</v>
      </c>
      <c r="E12" s="87"/>
      <c r="F12" s="87"/>
      <c r="G12" s="87"/>
      <c r="H12" s="87"/>
      <c r="I12" s="91">
        <v>0</v>
      </c>
      <c r="J12" s="91">
        <v>5598</v>
      </c>
      <c r="K12" s="91">
        <f>SUM(I12:J12)</f>
        <v>5598</v>
      </c>
      <c r="L12" s="91">
        <v>-5347</v>
      </c>
      <c r="M12" s="91">
        <f t="shared" si="3"/>
        <v>251</v>
      </c>
      <c r="N12" s="91"/>
      <c r="O12" s="91">
        <f t="shared" si="4"/>
        <v>251</v>
      </c>
      <c r="P12" s="91"/>
      <c r="Q12" s="91">
        <f t="shared" si="5"/>
        <v>251</v>
      </c>
      <c r="R12" s="91"/>
      <c r="S12" s="91">
        <f t="shared" si="6"/>
        <v>251</v>
      </c>
      <c r="T12" s="91"/>
      <c r="U12" s="91">
        <f t="shared" si="7"/>
        <v>251</v>
      </c>
      <c r="V12" s="91"/>
      <c r="W12" s="91">
        <f t="shared" si="8"/>
        <v>251</v>
      </c>
      <c r="X12" s="91"/>
      <c r="Y12" s="91">
        <f t="shared" si="9"/>
        <v>251</v>
      </c>
      <c r="Z12" s="91">
        <v>137</v>
      </c>
      <c r="AA12" s="91">
        <f t="shared" si="10"/>
        <v>388</v>
      </c>
    </row>
    <row r="13" spans="1:27" s="75" customFormat="1" ht="24.75" customHeight="1">
      <c r="A13" s="98"/>
      <c r="B13" s="77"/>
      <c r="C13" s="83">
        <v>4300</v>
      </c>
      <c r="D13" s="99" t="s">
        <v>75</v>
      </c>
      <c r="E13" s="87"/>
      <c r="F13" s="87"/>
      <c r="G13" s="87"/>
      <c r="H13" s="87"/>
      <c r="I13" s="91"/>
      <c r="J13" s="91"/>
      <c r="K13" s="91">
        <v>0</v>
      </c>
      <c r="L13" s="91">
        <v>1090</v>
      </c>
      <c r="M13" s="91">
        <f t="shared" si="3"/>
        <v>1090</v>
      </c>
      <c r="N13" s="91"/>
      <c r="O13" s="91">
        <f t="shared" si="4"/>
        <v>1090</v>
      </c>
      <c r="P13" s="91"/>
      <c r="Q13" s="91">
        <f t="shared" si="5"/>
        <v>1090</v>
      </c>
      <c r="R13" s="91"/>
      <c r="S13" s="91">
        <f t="shared" si="6"/>
        <v>1090</v>
      </c>
      <c r="T13" s="91"/>
      <c r="U13" s="91">
        <f t="shared" si="7"/>
        <v>1090</v>
      </c>
      <c r="V13" s="91"/>
      <c r="W13" s="91">
        <f t="shared" si="8"/>
        <v>1090</v>
      </c>
      <c r="X13" s="91"/>
      <c r="Y13" s="91">
        <f t="shared" si="9"/>
        <v>1090</v>
      </c>
      <c r="Z13" s="91">
        <v>800</v>
      </c>
      <c r="AA13" s="91">
        <f t="shared" si="10"/>
        <v>1890</v>
      </c>
    </row>
    <row r="14" spans="1:27" s="75" customFormat="1" ht="24.75" customHeight="1">
      <c r="A14" s="98"/>
      <c r="B14" s="98"/>
      <c r="C14" s="83">
        <v>4430</v>
      </c>
      <c r="D14" s="99" t="s">
        <v>87</v>
      </c>
      <c r="E14" s="87"/>
      <c r="F14" s="87"/>
      <c r="G14" s="87"/>
      <c r="H14" s="87"/>
      <c r="I14" s="91">
        <v>0</v>
      </c>
      <c r="J14" s="91">
        <v>279904</v>
      </c>
      <c r="K14" s="91">
        <f>SUM(I14:J14)</f>
        <v>279904</v>
      </c>
      <c r="L14" s="91">
        <v>0</v>
      </c>
      <c r="M14" s="91">
        <f t="shared" si="3"/>
        <v>279904</v>
      </c>
      <c r="N14" s="91"/>
      <c r="O14" s="91">
        <f t="shared" si="4"/>
        <v>279904</v>
      </c>
      <c r="P14" s="91"/>
      <c r="Q14" s="91">
        <f t="shared" si="5"/>
        <v>279904</v>
      </c>
      <c r="R14" s="91"/>
      <c r="S14" s="91">
        <f t="shared" si="6"/>
        <v>279904</v>
      </c>
      <c r="T14" s="91"/>
      <c r="U14" s="91">
        <f t="shared" si="7"/>
        <v>279904</v>
      </c>
      <c r="V14" s="91">
        <v>129947</v>
      </c>
      <c r="W14" s="91">
        <f t="shared" si="8"/>
        <v>409851</v>
      </c>
      <c r="X14" s="91"/>
      <c r="Y14" s="91">
        <f t="shared" si="9"/>
        <v>409851</v>
      </c>
      <c r="Z14" s="91">
        <f>134970-5194</f>
        <v>129776</v>
      </c>
      <c r="AA14" s="91">
        <f t="shared" si="10"/>
        <v>539627</v>
      </c>
    </row>
    <row r="15" spans="1:27" s="75" customFormat="1" ht="24.75" customHeight="1">
      <c r="A15" s="98"/>
      <c r="B15" s="98"/>
      <c r="C15" s="83">
        <v>4740</v>
      </c>
      <c r="D15" s="99" t="s">
        <v>183</v>
      </c>
      <c r="E15" s="87"/>
      <c r="F15" s="87"/>
      <c r="G15" s="87"/>
      <c r="H15" s="87"/>
      <c r="I15" s="91"/>
      <c r="J15" s="91"/>
      <c r="K15" s="91">
        <v>0</v>
      </c>
      <c r="L15" s="91">
        <v>25</v>
      </c>
      <c r="M15" s="91">
        <f t="shared" si="3"/>
        <v>25</v>
      </c>
      <c r="N15" s="91"/>
      <c r="O15" s="91">
        <f t="shared" si="4"/>
        <v>25</v>
      </c>
      <c r="P15" s="91"/>
      <c r="Q15" s="91">
        <f t="shared" si="5"/>
        <v>25</v>
      </c>
      <c r="R15" s="91"/>
      <c r="S15" s="91">
        <f t="shared" si="6"/>
        <v>25</v>
      </c>
      <c r="T15" s="91"/>
      <c r="U15" s="91">
        <f t="shared" si="7"/>
        <v>25</v>
      </c>
      <c r="V15" s="91"/>
      <c r="W15" s="91">
        <f t="shared" si="8"/>
        <v>25</v>
      </c>
      <c r="X15" s="91"/>
      <c r="Y15" s="91">
        <f t="shared" si="9"/>
        <v>25</v>
      </c>
      <c r="Z15" s="91">
        <v>25</v>
      </c>
      <c r="AA15" s="91">
        <f t="shared" si="10"/>
        <v>50</v>
      </c>
    </row>
    <row r="16" spans="1:27" s="75" customFormat="1" ht="24.75" customHeight="1">
      <c r="A16" s="98"/>
      <c r="B16" s="98"/>
      <c r="C16" s="83">
        <v>4750</v>
      </c>
      <c r="D16" s="99" t="s">
        <v>197</v>
      </c>
      <c r="E16" s="87"/>
      <c r="F16" s="87"/>
      <c r="G16" s="87"/>
      <c r="H16" s="87"/>
      <c r="I16" s="91"/>
      <c r="J16" s="91"/>
      <c r="K16" s="91">
        <v>0</v>
      </c>
      <c r="L16" s="91">
        <v>259</v>
      </c>
      <c r="M16" s="91">
        <f t="shared" si="3"/>
        <v>259</v>
      </c>
      <c r="N16" s="91"/>
      <c r="O16" s="91">
        <f t="shared" si="4"/>
        <v>259</v>
      </c>
      <c r="P16" s="91"/>
      <c r="Q16" s="91">
        <f t="shared" si="5"/>
        <v>259</v>
      </c>
      <c r="R16" s="91"/>
      <c r="S16" s="91">
        <f t="shared" si="6"/>
        <v>259</v>
      </c>
      <c r="T16" s="91"/>
      <c r="U16" s="91">
        <f t="shared" si="7"/>
        <v>259</v>
      </c>
      <c r="V16" s="91"/>
      <c r="W16" s="91">
        <f t="shared" si="8"/>
        <v>259</v>
      </c>
      <c r="X16" s="91"/>
      <c r="Y16" s="91">
        <f t="shared" si="9"/>
        <v>259</v>
      </c>
      <c r="Z16" s="91">
        <v>259</v>
      </c>
      <c r="AA16" s="91">
        <f t="shared" si="10"/>
        <v>518</v>
      </c>
    </row>
    <row r="17" spans="1:27" s="20" customFormat="1" ht="21" customHeight="1">
      <c r="A17" s="25" t="s">
        <v>14</v>
      </c>
      <c r="B17" s="3"/>
      <c r="C17" s="18"/>
      <c r="D17" s="24" t="s">
        <v>15</v>
      </c>
      <c r="E17" s="33">
        <f aca="true" t="shared" si="11" ref="E17:AA17">SUM(E18)</f>
        <v>156600</v>
      </c>
      <c r="F17" s="33">
        <f t="shared" si="11"/>
        <v>0</v>
      </c>
      <c r="G17" s="33">
        <f t="shared" si="11"/>
        <v>156600</v>
      </c>
      <c r="H17" s="33">
        <f t="shared" si="11"/>
        <v>0</v>
      </c>
      <c r="I17" s="33">
        <f t="shared" si="11"/>
        <v>156600</v>
      </c>
      <c r="J17" s="33">
        <f t="shared" si="11"/>
        <v>0</v>
      </c>
      <c r="K17" s="33">
        <f t="shared" si="11"/>
        <v>156600</v>
      </c>
      <c r="L17" s="33">
        <f t="shared" si="11"/>
        <v>0</v>
      </c>
      <c r="M17" s="33">
        <f t="shared" si="11"/>
        <v>156600</v>
      </c>
      <c r="N17" s="33">
        <f t="shared" si="11"/>
        <v>0</v>
      </c>
      <c r="O17" s="33">
        <f t="shared" si="11"/>
        <v>156600</v>
      </c>
      <c r="P17" s="33">
        <f t="shared" si="11"/>
        <v>0</v>
      </c>
      <c r="Q17" s="33">
        <f t="shared" si="11"/>
        <v>156600</v>
      </c>
      <c r="R17" s="33">
        <f t="shared" si="11"/>
        <v>0</v>
      </c>
      <c r="S17" s="33">
        <f t="shared" si="11"/>
        <v>156600</v>
      </c>
      <c r="T17" s="33">
        <f t="shared" si="11"/>
        <v>0</v>
      </c>
      <c r="U17" s="33">
        <f t="shared" si="11"/>
        <v>156600</v>
      </c>
      <c r="V17" s="33">
        <f t="shared" si="11"/>
        <v>0</v>
      </c>
      <c r="W17" s="33">
        <f t="shared" si="11"/>
        <v>156600</v>
      </c>
      <c r="X17" s="33">
        <f t="shared" si="11"/>
        <v>0</v>
      </c>
      <c r="Y17" s="33">
        <f t="shared" si="11"/>
        <v>156600</v>
      </c>
      <c r="Z17" s="33">
        <f t="shared" si="11"/>
        <v>0</v>
      </c>
      <c r="AA17" s="33">
        <f t="shared" si="11"/>
        <v>156600</v>
      </c>
    </row>
    <row r="18" spans="1:27" s="20" customFormat="1" ht="21" customHeight="1">
      <c r="A18" s="46"/>
      <c r="B18" s="46">
        <v>75011</v>
      </c>
      <c r="C18" s="53"/>
      <c r="D18" s="50" t="s">
        <v>16</v>
      </c>
      <c r="E18" s="59">
        <f aca="true" t="shared" si="12" ref="E18:Q18">SUM(E19:E23)</f>
        <v>156600</v>
      </c>
      <c r="F18" s="59">
        <f t="shared" si="12"/>
        <v>0</v>
      </c>
      <c r="G18" s="59">
        <f t="shared" si="12"/>
        <v>156600</v>
      </c>
      <c r="H18" s="59">
        <f t="shared" si="12"/>
        <v>0</v>
      </c>
      <c r="I18" s="59">
        <f t="shared" si="12"/>
        <v>156600</v>
      </c>
      <c r="J18" s="59">
        <f t="shared" si="12"/>
        <v>0</v>
      </c>
      <c r="K18" s="59">
        <f t="shared" si="12"/>
        <v>156600</v>
      </c>
      <c r="L18" s="59">
        <f t="shared" si="12"/>
        <v>0</v>
      </c>
      <c r="M18" s="59">
        <f t="shared" si="12"/>
        <v>156600</v>
      </c>
      <c r="N18" s="59">
        <f t="shared" si="12"/>
        <v>0</v>
      </c>
      <c r="O18" s="59">
        <f t="shared" si="12"/>
        <v>156600</v>
      </c>
      <c r="P18" s="59">
        <f t="shared" si="12"/>
        <v>0</v>
      </c>
      <c r="Q18" s="59">
        <f t="shared" si="12"/>
        <v>156600</v>
      </c>
      <c r="R18" s="59">
        <f aca="true" t="shared" si="13" ref="R18:W18">SUM(R19:R23)</f>
        <v>0</v>
      </c>
      <c r="S18" s="59">
        <f t="shared" si="13"/>
        <v>156600</v>
      </c>
      <c r="T18" s="59">
        <f t="shared" si="13"/>
        <v>0</v>
      </c>
      <c r="U18" s="59">
        <f t="shared" si="13"/>
        <v>156600</v>
      </c>
      <c r="V18" s="59">
        <f t="shared" si="13"/>
        <v>0</v>
      </c>
      <c r="W18" s="59">
        <f t="shared" si="13"/>
        <v>156600</v>
      </c>
      <c r="X18" s="59">
        <f>SUM(X19:X23)</f>
        <v>0</v>
      </c>
      <c r="Y18" s="59">
        <f>SUM(Y19:Y23)</f>
        <v>156600</v>
      </c>
      <c r="Z18" s="59">
        <f>SUM(Z19:Z23)</f>
        <v>0</v>
      </c>
      <c r="AA18" s="59">
        <f>SUM(AA19:AA23)</f>
        <v>156600</v>
      </c>
    </row>
    <row r="19" spans="1:27" s="20" customFormat="1" ht="21" customHeight="1">
      <c r="A19" s="46"/>
      <c r="B19" s="34"/>
      <c r="C19" s="47">
        <v>4010</v>
      </c>
      <c r="D19" s="50" t="s">
        <v>79</v>
      </c>
      <c r="E19" s="59">
        <v>112525</v>
      </c>
      <c r="F19" s="59"/>
      <c r="G19" s="59">
        <f>SUM(E19:F19)</f>
        <v>112525</v>
      </c>
      <c r="H19" s="59"/>
      <c r="I19" s="59">
        <f>SUM(G19:H19)</f>
        <v>112525</v>
      </c>
      <c r="J19" s="59"/>
      <c r="K19" s="59">
        <f>SUM(I19:J19)</f>
        <v>112525</v>
      </c>
      <c r="L19" s="59"/>
      <c r="M19" s="59">
        <f>SUM(K19:L19)</f>
        <v>112525</v>
      </c>
      <c r="N19" s="59"/>
      <c r="O19" s="59">
        <f>SUM(M19:N19)</f>
        <v>112525</v>
      </c>
      <c r="P19" s="59"/>
      <c r="Q19" s="59">
        <f>SUM(O19:P19)</f>
        <v>112525</v>
      </c>
      <c r="R19" s="59"/>
      <c r="S19" s="59">
        <f>SUM(Q19:R19)</f>
        <v>112525</v>
      </c>
      <c r="T19" s="59"/>
      <c r="U19" s="59">
        <f>SUM(S19:T19)</f>
        <v>112525</v>
      </c>
      <c r="V19" s="59"/>
      <c r="W19" s="59">
        <f>SUM(U19:V19)</f>
        <v>112525</v>
      </c>
      <c r="X19" s="59">
        <v>1462</v>
      </c>
      <c r="Y19" s="59">
        <f>SUM(W19:X19)</f>
        <v>113987</v>
      </c>
      <c r="Z19" s="59"/>
      <c r="AA19" s="59">
        <f>SUM(Y19:Z19)</f>
        <v>113987</v>
      </c>
    </row>
    <row r="20" spans="1:27" s="20" customFormat="1" ht="21" customHeight="1">
      <c r="A20" s="46"/>
      <c r="B20" s="34"/>
      <c r="C20" s="47">
        <v>4040</v>
      </c>
      <c r="D20" s="50" t="s">
        <v>80</v>
      </c>
      <c r="E20" s="59">
        <v>19000</v>
      </c>
      <c r="F20" s="59"/>
      <c r="G20" s="59">
        <f>SUM(E20:F20)</f>
        <v>19000</v>
      </c>
      <c r="H20" s="59"/>
      <c r="I20" s="59">
        <f>SUM(G20:H20)</f>
        <v>19000</v>
      </c>
      <c r="J20" s="59"/>
      <c r="K20" s="59">
        <f>SUM(I20:J20)</f>
        <v>19000</v>
      </c>
      <c r="L20" s="59"/>
      <c r="M20" s="59">
        <f>SUM(K20:L20)</f>
        <v>19000</v>
      </c>
      <c r="N20" s="59"/>
      <c r="O20" s="59">
        <f>SUM(M20:N20)</f>
        <v>19000</v>
      </c>
      <c r="P20" s="59"/>
      <c r="Q20" s="59">
        <f>SUM(O20:P20)</f>
        <v>19000</v>
      </c>
      <c r="R20" s="59"/>
      <c r="S20" s="59">
        <f>SUM(Q20:R20)</f>
        <v>19000</v>
      </c>
      <c r="T20" s="59"/>
      <c r="U20" s="59">
        <f>SUM(S20:T20)</f>
        <v>19000</v>
      </c>
      <c r="V20" s="59"/>
      <c r="W20" s="59">
        <f>SUM(U20:V20)</f>
        <v>19000</v>
      </c>
      <c r="X20" s="59">
        <v>-1700</v>
      </c>
      <c r="Y20" s="59">
        <f>SUM(W20:X20)</f>
        <v>17300</v>
      </c>
      <c r="Z20" s="59"/>
      <c r="AA20" s="59">
        <f>SUM(Y20:Z20)</f>
        <v>17300</v>
      </c>
    </row>
    <row r="21" spans="1:27" s="20" customFormat="1" ht="21" customHeight="1">
      <c r="A21" s="46"/>
      <c r="B21" s="34"/>
      <c r="C21" s="47">
        <v>4110</v>
      </c>
      <c r="D21" s="50" t="s">
        <v>81</v>
      </c>
      <c r="E21" s="59">
        <v>13626</v>
      </c>
      <c r="F21" s="59"/>
      <c r="G21" s="59">
        <f>SUM(E21:F21)</f>
        <v>13626</v>
      </c>
      <c r="H21" s="59"/>
      <c r="I21" s="59">
        <f>SUM(G21:H21)</f>
        <v>13626</v>
      </c>
      <c r="J21" s="59"/>
      <c r="K21" s="59">
        <f>SUM(I21:J21)</f>
        <v>13626</v>
      </c>
      <c r="L21" s="59"/>
      <c r="M21" s="59">
        <f>SUM(K21:L21)</f>
        <v>13626</v>
      </c>
      <c r="N21" s="59"/>
      <c r="O21" s="59">
        <f>SUM(M21:N21)</f>
        <v>13626</v>
      </c>
      <c r="P21" s="59"/>
      <c r="Q21" s="59">
        <f>SUM(O21:P21)</f>
        <v>13626</v>
      </c>
      <c r="R21" s="59"/>
      <c r="S21" s="59">
        <f>SUM(Q21:R21)</f>
        <v>13626</v>
      </c>
      <c r="T21" s="59"/>
      <c r="U21" s="59">
        <f>SUM(S21:T21)</f>
        <v>13626</v>
      </c>
      <c r="V21" s="59"/>
      <c r="W21" s="59">
        <f>SUM(U21:V21)</f>
        <v>13626</v>
      </c>
      <c r="X21" s="59"/>
      <c r="Y21" s="59">
        <f>SUM(W21:X21)</f>
        <v>13626</v>
      </c>
      <c r="Z21" s="59"/>
      <c r="AA21" s="59">
        <f>SUM(Y21:Z21)</f>
        <v>13626</v>
      </c>
    </row>
    <row r="22" spans="1:27" s="20" customFormat="1" ht="21" customHeight="1">
      <c r="A22" s="46"/>
      <c r="B22" s="34"/>
      <c r="C22" s="47">
        <v>4120</v>
      </c>
      <c r="D22" s="50" t="s">
        <v>82</v>
      </c>
      <c r="E22" s="59">
        <v>2186</v>
      </c>
      <c r="F22" s="59"/>
      <c r="G22" s="59">
        <f>SUM(E22:F22)</f>
        <v>2186</v>
      </c>
      <c r="H22" s="59"/>
      <c r="I22" s="59">
        <f>SUM(G22:H22)</f>
        <v>2186</v>
      </c>
      <c r="J22" s="59"/>
      <c r="K22" s="59">
        <f>SUM(I22:J22)</f>
        <v>2186</v>
      </c>
      <c r="L22" s="59"/>
      <c r="M22" s="59">
        <f>SUM(K22:L22)</f>
        <v>2186</v>
      </c>
      <c r="N22" s="59"/>
      <c r="O22" s="59">
        <f>SUM(M22:N22)</f>
        <v>2186</v>
      </c>
      <c r="P22" s="59"/>
      <c r="Q22" s="59">
        <f>SUM(O22:P22)</f>
        <v>2186</v>
      </c>
      <c r="R22" s="59"/>
      <c r="S22" s="59">
        <f>SUM(Q22:R22)</f>
        <v>2186</v>
      </c>
      <c r="T22" s="59"/>
      <c r="U22" s="59">
        <f>SUM(S22:T22)</f>
        <v>2186</v>
      </c>
      <c r="V22" s="59"/>
      <c r="W22" s="59">
        <f>SUM(U22:V22)</f>
        <v>2186</v>
      </c>
      <c r="X22" s="59"/>
      <c r="Y22" s="59">
        <f>SUM(W22:X22)</f>
        <v>2186</v>
      </c>
      <c r="Z22" s="59"/>
      <c r="AA22" s="59">
        <f>SUM(Y22:Z22)</f>
        <v>2186</v>
      </c>
    </row>
    <row r="23" spans="1:27" s="20" customFormat="1" ht="22.5">
      <c r="A23" s="46"/>
      <c r="B23" s="34"/>
      <c r="C23" s="48">
        <v>4440</v>
      </c>
      <c r="D23" s="50" t="s">
        <v>83</v>
      </c>
      <c r="E23" s="59">
        <v>9263</v>
      </c>
      <c r="F23" s="59"/>
      <c r="G23" s="59">
        <f>SUM(E23:F23)</f>
        <v>9263</v>
      </c>
      <c r="H23" s="59"/>
      <c r="I23" s="59">
        <f>SUM(G23:H23)</f>
        <v>9263</v>
      </c>
      <c r="J23" s="59"/>
      <c r="K23" s="59">
        <f>SUM(I23:J23)</f>
        <v>9263</v>
      </c>
      <c r="L23" s="59"/>
      <c r="M23" s="59">
        <f>SUM(K23:L23)</f>
        <v>9263</v>
      </c>
      <c r="N23" s="59"/>
      <c r="O23" s="59">
        <f>SUM(M23:N23)</f>
        <v>9263</v>
      </c>
      <c r="P23" s="59"/>
      <c r="Q23" s="59">
        <f>SUM(O23:P23)</f>
        <v>9263</v>
      </c>
      <c r="R23" s="59"/>
      <c r="S23" s="59">
        <f>SUM(Q23:R23)</f>
        <v>9263</v>
      </c>
      <c r="T23" s="59"/>
      <c r="U23" s="59">
        <f>SUM(S23:T23)</f>
        <v>9263</v>
      </c>
      <c r="V23" s="59"/>
      <c r="W23" s="59">
        <f>SUM(U23:V23)</f>
        <v>9263</v>
      </c>
      <c r="X23" s="59">
        <v>238</v>
      </c>
      <c r="Y23" s="59">
        <f>SUM(W23:X23)</f>
        <v>9501</v>
      </c>
      <c r="Z23" s="59"/>
      <c r="AA23" s="59">
        <f>SUM(Y23:Z23)</f>
        <v>9501</v>
      </c>
    </row>
    <row r="24" spans="1:27" s="20" customFormat="1" ht="36">
      <c r="A24" s="25">
        <v>751</v>
      </c>
      <c r="B24" s="3"/>
      <c r="C24" s="18"/>
      <c r="D24" s="24" t="s">
        <v>19</v>
      </c>
      <c r="E24" s="33">
        <f>E25</f>
        <v>3910</v>
      </c>
      <c r="F24" s="33">
        <f>F25</f>
        <v>0</v>
      </c>
      <c r="G24" s="33">
        <f aca="true" t="shared" si="14" ref="G24:M24">G25+G33</f>
        <v>3910</v>
      </c>
      <c r="H24" s="33">
        <f t="shared" si="14"/>
        <v>19932</v>
      </c>
      <c r="I24" s="33">
        <f t="shared" si="14"/>
        <v>23842</v>
      </c>
      <c r="J24" s="33">
        <f t="shared" si="14"/>
        <v>1000</v>
      </c>
      <c r="K24" s="33">
        <f t="shared" si="14"/>
        <v>24842</v>
      </c>
      <c r="L24" s="33">
        <f t="shared" si="14"/>
        <v>0</v>
      </c>
      <c r="M24" s="33">
        <f t="shared" si="14"/>
        <v>24842</v>
      </c>
      <c r="N24" s="33">
        <f aca="true" t="shared" si="15" ref="N24:S24">N25+N33</f>
        <v>21240</v>
      </c>
      <c r="O24" s="33">
        <f t="shared" si="15"/>
        <v>46082</v>
      </c>
      <c r="P24" s="33">
        <f t="shared" si="15"/>
        <v>0</v>
      </c>
      <c r="Q24" s="33">
        <f t="shared" si="15"/>
        <v>46082</v>
      </c>
      <c r="R24" s="33">
        <f t="shared" si="15"/>
        <v>0</v>
      </c>
      <c r="S24" s="33">
        <f t="shared" si="15"/>
        <v>46082</v>
      </c>
      <c r="T24" s="33">
        <f aca="true" t="shared" si="16" ref="T24:Y24">T25+T33</f>
        <v>0</v>
      </c>
      <c r="U24" s="33">
        <f t="shared" si="16"/>
        <v>46082</v>
      </c>
      <c r="V24" s="33">
        <f t="shared" si="16"/>
        <v>0</v>
      </c>
      <c r="W24" s="33">
        <f t="shared" si="16"/>
        <v>46082</v>
      </c>
      <c r="X24" s="33">
        <f t="shared" si="16"/>
        <v>0</v>
      </c>
      <c r="Y24" s="33">
        <f t="shared" si="16"/>
        <v>46082</v>
      </c>
      <c r="Z24" s="33">
        <f>Z25+Z33</f>
        <v>0</v>
      </c>
      <c r="AA24" s="33">
        <f>AA25+AA33</f>
        <v>46082</v>
      </c>
    </row>
    <row r="25" spans="1:27" s="20" customFormat="1" ht="22.5">
      <c r="A25" s="34"/>
      <c r="B25" s="46">
        <v>75101</v>
      </c>
      <c r="C25" s="53"/>
      <c r="D25" s="50" t="s">
        <v>20</v>
      </c>
      <c r="E25" s="59">
        <f aca="true" t="shared" si="17" ref="E25:K25">SUM(E29:E32)</f>
        <v>3910</v>
      </c>
      <c r="F25" s="59">
        <f t="shared" si="17"/>
        <v>0</v>
      </c>
      <c r="G25" s="59">
        <f t="shared" si="17"/>
        <v>3910</v>
      </c>
      <c r="H25" s="59">
        <f t="shared" si="17"/>
        <v>0</v>
      </c>
      <c r="I25" s="59">
        <f t="shared" si="17"/>
        <v>3910</v>
      </c>
      <c r="J25" s="59">
        <f t="shared" si="17"/>
        <v>0</v>
      </c>
      <c r="K25" s="59">
        <f t="shared" si="17"/>
        <v>3910</v>
      </c>
      <c r="L25" s="59">
        <f>SUM(L29:L32)</f>
        <v>0</v>
      </c>
      <c r="M25" s="59">
        <f>SUM(M29:M32)</f>
        <v>3910</v>
      </c>
      <c r="N25" s="59">
        <f>SUM(N29:N32)</f>
        <v>0</v>
      </c>
      <c r="O25" s="59">
        <f aca="true" t="shared" si="18" ref="O25:U25">SUM(O26:O32)</f>
        <v>3910</v>
      </c>
      <c r="P25" s="59">
        <f t="shared" si="18"/>
        <v>0</v>
      </c>
      <c r="Q25" s="59">
        <f t="shared" si="18"/>
        <v>3910</v>
      </c>
      <c r="R25" s="59">
        <f t="shared" si="18"/>
        <v>0</v>
      </c>
      <c r="S25" s="59">
        <f t="shared" si="18"/>
        <v>3910</v>
      </c>
      <c r="T25" s="59">
        <f t="shared" si="18"/>
        <v>0</v>
      </c>
      <c r="U25" s="59">
        <f t="shared" si="18"/>
        <v>3910</v>
      </c>
      <c r="V25" s="59">
        <f aca="true" t="shared" si="19" ref="V25:AA25">SUM(V26:V32)</f>
        <v>0</v>
      </c>
      <c r="W25" s="59">
        <f t="shared" si="19"/>
        <v>3910</v>
      </c>
      <c r="X25" s="59">
        <f t="shared" si="19"/>
        <v>0</v>
      </c>
      <c r="Y25" s="59">
        <f t="shared" si="19"/>
        <v>3910</v>
      </c>
      <c r="Z25" s="59">
        <f t="shared" si="19"/>
        <v>0</v>
      </c>
      <c r="AA25" s="59">
        <f t="shared" si="19"/>
        <v>3910</v>
      </c>
    </row>
    <row r="26" spans="1:27" s="20" customFormat="1" ht="24.75" customHeight="1">
      <c r="A26" s="34"/>
      <c r="B26" s="46"/>
      <c r="C26" s="53">
        <v>4010</v>
      </c>
      <c r="D26" s="50" t="s">
        <v>79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>
        <v>2771</v>
      </c>
      <c r="P26" s="59"/>
      <c r="Q26" s="59">
        <f aca="true" t="shared" si="20" ref="Q26:Q32">SUM(O26:P26)</f>
        <v>2771</v>
      </c>
      <c r="R26" s="59"/>
      <c r="S26" s="59">
        <f aca="true" t="shared" si="21" ref="S26:S32">SUM(Q26:R26)</f>
        <v>2771</v>
      </c>
      <c r="T26" s="59"/>
      <c r="U26" s="59">
        <f aca="true" t="shared" si="22" ref="U26:U32">SUM(S26:T26)</f>
        <v>2771</v>
      </c>
      <c r="V26" s="59"/>
      <c r="W26" s="59">
        <f aca="true" t="shared" si="23" ref="W26:W32">SUM(U26:V26)</f>
        <v>2771</v>
      </c>
      <c r="X26" s="59"/>
      <c r="Y26" s="59">
        <f aca="true" t="shared" si="24" ref="Y26:Y32">SUM(W26:X26)</f>
        <v>2771</v>
      </c>
      <c r="Z26" s="59"/>
      <c r="AA26" s="59">
        <f aca="true" t="shared" si="25" ref="AA26:AA32">SUM(Y26:Z26)</f>
        <v>2771</v>
      </c>
    </row>
    <row r="27" spans="1:27" s="20" customFormat="1" ht="24.75" customHeight="1">
      <c r="A27" s="34"/>
      <c r="B27" s="46"/>
      <c r="C27" s="53">
        <v>4110</v>
      </c>
      <c r="D27" s="50" t="s">
        <v>81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>
        <v>420</v>
      </c>
      <c r="P27" s="59"/>
      <c r="Q27" s="59">
        <f t="shared" si="20"/>
        <v>420</v>
      </c>
      <c r="R27" s="59"/>
      <c r="S27" s="59">
        <f t="shared" si="21"/>
        <v>420</v>
      </c>
      <c r="T27" s="59"/>
      <c r="U27" s="59">
        <f t="shared" si="22"/>
        <v>420</v>
      </c>
      <c r="V27" s="59"/>
      <c r="W27" s="59">
        <f t="shared" si="23"/>
        <v>420</v>
      </c>
      <c r="X27" s="59"/>
      <c r="Y27" s="59">
        <f t="shared" si="24"/>
        <v>420</v>
      </c>
      <c r="Z27" s="59"/>
      <c r="AA27" s="59">
        <f t="shared" si="25"/>
        <v>420</v>
      </c>
    </row>
    <row r="28" spans="1:27" s="20" customFormat="1" ht="24" customHeight="1">
      <c r="A28" s="34"/>
      <c r="B28" s="46"/>
      <c r="C28" s="53">
        <v>4120</v>
      </c>
      <c r="D28" s="50" t="s">
        <v>82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>
        <v>67</v>
      </c>
      <c r="P28" s="59"/>
      <c r="Q28" s="59">
        <f t="shared" si="20"/>
        <v>67</v>
      </c>
      <c r="R28" s="59"/>
      <c r="S28" s="59">
        <f t="shared" si="21"/>
        <v>67</v>
      </c>
      <c r="T28" s="59"/>
      <c r="U28" s="59">
        <f t="shared" si="22"/>
        <v>67</v>
      </c>
      <c r="V28" s="59"/>
      <c r="W28" s="59">
        <f t="shared" si="23"/>
        <v>67</v>
      </c>
      <c r="X28" s="59"/>
      <c r="Y28" s="59">
        <f t="shared" si="24"/>
        <v>67</v>
      </c>
      <c r="Z28" s="59"/>
      <c r="AA28" s="59">
        <f t="shared" si="25"/>
        <v>67</v>
      </c>
    </row>
    <row r="29" spans="1:27" s="20" customFormat="1" ht="21" customHeight="1">
      <c r="A29" s="34"/>
      <c r="B29" s="46"/>
      <c r="C29" s="47">
        <v>4210</v>
      </c>
      <c r="D29" s="50" t="s">
        <v>86</v>
      </c>
      <c r="E29" s="59">
        <v>1410</v>
      </c>
      <c r="F29" s="59"/>
      <c r="G29" s="59">
        <f>SUM(E29:F29)</f>
        <v>1410</v>
      </c>
      <c r="H29" s="59"/>
      <c r="I29" s="59">
        <f>SUM(G29:H29)</f>
        <v>1410</v>
      </c>
      <c r="J29" s="59"/>
      <c r="K29" s="59">
        <f>SUM(I29:J29)</f>
        <v>1410</v>
      </c>
      <c r="L29" s="59"/>
      <c r="M29" s="59">
        <f>SUM(K29:L29)</f>
        <v>1410</v>
      </c>
      <c r="N29" s="59"/>
      <c r="O29" s="59">
        <v>292</v>
      </c>
      <c r="P29" s="59"/>
      <c r="Q29" s="59">
        <f t="shared" si="20"/>
        <v>292</v>
      </c>
      <c r="R29" s="59"/>
      <c r="S29" s="59">
        <f t="shared" si="21"/>
        <v>292</v>
      </c>
      <c r="T29" s="59"/>
      <c r="U29" s="59">
        <f t="shared" si="22"/>
        <v>292</v>
      </c>
      <c r="V29" s="59"/>
      <c r="W29" s="59">
        <f t="shared" si="23"/>
        <v>292</v>
      </c>
      <c r="X29" s="59"/>
      <c r="Y29" s="59">
        <f t="shared" si="24"/>
        <v>292</v>
      </c>
      <c r="Z29" s="59"/>
      <c r="AA29" s="59">
        <f t="shared" si="25"/>
        <v>292</v>
      </c>
    </row>
    <row r="30" spans="1:27" s="20" customFormat="1" ht="22.5">
      <c r="A30" s="34"/>
      <c r="B30" s="46"/>
      <c r="C30" s="47">
        <v>4700</v>
      </c>
      <c r="D30" s="31" t="s">
        <v>193</v>
      </c>
      <c r="E30" s="59">
        <v>500</v>
      </c>
      <c r="F30" s="59"/>
      <c r="G30" s="59">
        <f>SUM(E30:F30)</f>
        <v>500</v>
      </c>
      <c r="H30" s="59"/>
      <c r="I30" s="59">
        <f>SUM(G30:H30)</f>
        <v>500</v>
      </c>
      <c r="J30" s="59"/>
      <c r="K30" s="59">
        <f>SUM(I30:J30)</f>
        <v>500</v>
      </c>
      <c r="L30" s="59"/>
      <c r="M30" s="59">
        <f>SUM(K30:L30)</f>
        <v>500</v>
      </c>
      <c r="N30" s="59"/>
      <c r="O30" s="59">
        <v>360</v>
      </c>
      <c r="P30" s="59"/>
      <c r="Q30" s="59">
        <f t="shared" si="20"/>
        <v>360</v>
      </c>
      <c r="R30" s="59"/>
      <c r="S30" s="59">
        <f t="shared" si="21"/>
        <v>360</v>
      </c>
      <c r="T30" s="59"/>
      <c r="U30" s="59">
        <f t="shared" si="22"/>
        <v>360</v>
      </c>
      <c r="V30" s="59"/>
      <c r="W30" s="59">
        <f t="shared" si="23"/>
        <v>360</v>
      </c>
      <c r="X30" s="59"/>
      <c r="Y30" s="59">
        <f t="shared" si="24"/>
        <v>360</v>
      </c>
      <c r="Z30" s="59"/>
      <c r="AA30" s="59">
        <f t="shared" si="25"/>
        <v>360</v>
      </c>
    </row>
    <row r="31" spans="1:27" s="20" customFormat="1" ht="33.75">
      <c r="A31" s="34"/>
      <c r="B31" s="46"/>
      <c r="C31" s="47">
        <v>4740</v>
      </c>
      <c r="D31" s="31" t="s">
        <v>183</v>
      </c>
      <c r="E31" s="59">
        <v>1000</v>
      </c>
      <c r="F31" s="59"/>
      <c r="G31" s="59">
        <f>SUM(E31:F31)</f>
        <v>1000</v>
      </c>
      <c r="H31" s="59"/>
      <c r="I31" s="59">
        <f>SUM(G31:H31)</f>
        <v>1000</v>
      </c>
      <c r="J31" s="59"/>
      <c r="K31" s="59">
        <f>SUM(I31:J31)</f>
        <v>1000</v>
      </c>
      <c r="L31" s="59"/>
      <c r="M31" s="59">
        <f>SUM(K31:L31)</f>
        <v>1000</v>
      </c>
      <c r="N31" s="59"/>
      <c r="O31" s="59">
        <v>0</v>
      </c>
      <c r="P31" s="59"/>
      <c r="Q31" s="59">
        <f t="shared" si="20"/>
        <v>0</v>
      </c>
      <c r="R31" s="59"/>
      <c r="S31" s="59">
        <f t="shared" si="21"/>
        <v>0</v>
      </c>
      <c r="T31" s="59"/>
      <c r="U31" s="59">
        <f t="shared" si="22"/>
        <v>0</v>
      </c>
      <c r="V31" s="59"/>
      <c r="W31" s="59">
        <f t="shared" si="23"/>
        <v>0</v>
      </c>
      <c r="X31" s="59"/>
      <c r="Y31" s="59">
        <f t="shared" si="24"/>
        <v>0</v>
      </c>
      <c r="Z31" s="59"/>
      <c r="AA31" s="59">
        <f t="shared" si="25"/>
        <v>0</v>
      </c>
    </row>
    <row r="32" spans="1:27" s="20" customFormat="1" ht="22.5">
      <c r="A32" s="34"/>
      <c r="B32" s="46"/>
      <c r="C32" s="47">
        <v>4750</v>
      </c>
      <c r="D32" s="31" t="s">
        <v>197</v>
      </c>
      <c r="E32" s="59">
        <v>1000</v>
      </c>
      <c r="F32" s="59"/>
      <c r="G32" s="59">
        <f>SUM(E32:F32)</f>
        <v>1000</v>
      </c>
      <c r="H32" s="59"/>
      <c r="I32" s="59">
        <f>SUM(G32:H32)</f>
        <v>1000</v>
      </c>
      <c r="J32" s="59"/>
      <c r="K32" s="59">
        <f>SUM(I32:J32)</f>
        <v>1000</v>
      </c>
      <c r="L32" s="59"/>
      <c r="M32" s="59">
        <f>SUM(K32:L32)</f>
        <v>1000</v>
      </c>
      <c r="N32" s="59"/>
      <c r="O32" s="59">
        <v>0</v>
      </c>
      <c r="P32" s="59"/>
      <c r="Q32" s="59">
        <f t="shared" si="20"/>
        <v>0</v>
      </c>
      <c r="R32" s="59"/>
      <c r="S32" s="59">
        <f t="shared" si="21"/>
        <v>0</v>
      </c>
      <c r="T32" s="59"/>
      <c r="U32" s="59">
        <f t="shared" si="22"/>
        <v>0</v>
      </c>
      <c r="V32" s="59"/>
      <c r="W32" s="59">
        <f t="shared" si="23"/>
        <v>0</v>
      </c>
      <c r="X32" s="59"/>
      <c r="Y32" s="59">
        <f t="shared" si="24"/>
        <v>0</v>
      </c>
      <c r="Z32" s="59"/>
      <c r="AA32" s="59">
        <f t="shared" si="25"/>
        <v>0</v>
      </c>
    </row>
    <row r="33" spans="1:27" s="20" customFormat="1" ht="23.25" customHeight="1">
      <c r="A33" s="34"/>
      <c r="B33" s="46">
        <v>75113</v>
      </c>
      <c r="C33" s="47"/>
      <c r="D33" s="40" t="s">
        <v>232</v>
      </c>
      <c r="E33" s="59"/>
      <c r="F33" s="59"/>
      <c r="G33" s="59">
        <f aca="true" t="shared" si="26" ref="G33:L33">SUM(G35:G42)</f>
        <v>0</v>
      </c>
      <c r="H33" s="59">
        <f t="shared" si="26"/>
        <v>19932</v>
      </c>
      <c r="I33" s="59">
        <f t="shared" si="26"/>
        <v>19932</v>
      </c>
      <c r="J33" s="59">
        <f t="shared" si="26"/>
        <v>1000</v>
      </c>
      <c r="K33" s="59">
        <f t="shared" si="26"/>
        <v>20932</v>
      </c>
      <c r="L33" s="59">
        <f t="shared" si="26"/>
        <v>0</v>
      </c>
      <c r="M33" s="59">
        <f aca="true" t="shared" si="27" ref="M33:S33">SUM(M34:M42)</f>
        <v>20932</v>
      </c>
      <c r="N33" s="59">
        <f t="shared" si="27"/>
        <v>21240</v>
      </c>
      <c r="O33" s="59">
        <f t="shared" si="27"/>
        <v>42172</v>
      </c>
      <c r="P33" s="59">
        <f t="shared" si="27"/>
        <v>0</v>
      </c>
      <c r="Q33" s="59">
        <f t="shared" si="27"/>
        <v>42172</v>
      </c>
      <c r="R33" s="59">
        <f t="shared" si="27"/>
        <v>0</v>
      </c>
      <c r="S33" s="59">
        <f t="shared" si="27"/>
        <v>42172</v>
      </c>
      <c r="T33" s="59">
        <f aca="true" t="shared" si="28" ref="T33:Y33">SUM(T34:T42)</f>
        <v>0</v>
      </c>
      <c r="U33" s="59">
        <f t="shared" si="28"/>
        <v>42172</v>
      </c>
      <c r="V33" s="59">
        <f t="shared" si="28"/>
        <v>0</v>
      </c>
      <c r="W33" s="59">
        <f t="shared" si="28"/>
        <v>42172</v>
      </c>
      <c r="X33" s="59">
        <f t="shared" si="28"/>
        <v>0</v>
      </c>
      <c r="Y33" s="59">
        <f t="shared" si="28"/>
        <v>42172</v>
      </c>
      <c r="Z33" s="59">
        <f>SUM(Z34:Z42)</f>
        <v>0</v>
      </c>
      <c r="AA33" s="59">
        <f>SUM(AA34:AA42)</f>
        <v>42172</v>
      </c>
    </row>
    <row r="34" spans="1:27" s="20" customFormat="1" ht="23.25" customHeight="1">
      <c r="A34" s="34"/>
      <c r="B34" s="46"/>
      <c r="C34" s="47">
        <v>3030</v>
      </c>
      <c r="D34" s="40" t="s">
        <v>84</v>
      </c>
      <c r="E34" s="59"/>
      <c r="F34" s="59"/>
      <c r="G34" s="59"/>
      <c r="H34" s="59"/>
      <c r="I34" s="59"/>
      <c r="J34" s="59"/>
      <c r="K34" s="59"/>
      <c r="L34" s="59"/>
      <c r="M34" s="59">
        <v>0</v>
      </c>
      <c r="N34" s="59">
        <v>21240</v>
      </c>
      <c r="O34" s="59">
        <f>SUM(M34:N34)</f>
        <v>21240</v>
      </c>
      <c r="P34" s="59"/>
      <c r="Q34" s="59">
        <f aca="true" t="shared" si="29" ref="Q34:Q45">SUM(O34:P34)</f>
        <v>21240</v>
      </c>
      <c r="R34" s="59"/>
      <c r="S34" s="59">
        <f aca="true" t="shared" si="30" ref="S34:S42">SUM(Q34:R34)</f>
        <v>21240</v>
      </c>
      <c r="T34" s="59"/>
      <c r="U34" s="59">
        <f aca="true" t="shared" si="31" ref="U34:U42">SUM(S34:T34)</f>
        <v>21240</v>
      </c>
      <c r="V34" s="59"/>
      <c r="W34" s="59">
        <f aca="true" t="shared" si="32" ref="W34:W42">SUM(U34:V34)</f>
        <v>21240</v>
      </c>
      <c r="X34" s="59"/>
      <c r="Y34" s="59">
        <f aca="true" t="shared" si="33" ref="Y34:Y42">SUM(W34:X34)</f>
        <v>21240</v>
      </c>
      <c r="Z34" s="59"/>
      <c r="AA34" s="59">
        <f aca="true" t="shared" si="34" ref="AA34:AA42">SUM(Y34:Z34)</f>
        <v>21240</v>
      </c>
    </row>
    <row r="35" spans="1:27" s="20" customFormat="1" ht="23.25" customHeight="1">
      <c r="A35" s="34"/>
      <c r="B35" s="46"/>
      <c r="C35" s="47">
        <v>4110</v>
      </c>
      <c r="D35" s="12" t="s">
        <v>81</v>
      </c>
      <c r="E35" s="59"/>
      <c r="F35" s="59"/>
      <c r="G35" s="59">
        <v>0</v>
      </c>
      <c r="H35" s="59">
        <v>72</v>
      </c>
      <c r="I35" s="59">
        <f aca="true" t="shared" si="35" ref="I35:I42">SUM(G35:H35)</f>
        <v>72</v>
      </c>
      <c r="J35" s="59"/>
      <c r="K35" s="59">
        <f aca="true" t="shared" si="36" ref="K35:K42">SUM(I35:J35)</f>
        <v>72</v>
      </c>
      <c r="L35" s="59"/>
      <c r="M35" s="59">
        <f aca="true" t="shared" si="37" ref="M35:M42">SUM(K35:L35)</f>
        <v>72</v>
      </c>
      <c r="N35" s="59"/>
      <c r="O35" s="59">
        <v>579</v>
      </c>
      <c r="P35" s="59"/>
      <c r="Q35" s="59">
        <f t="shared" si="29"/>
        <v>579</v>
      </c>
      <c r="R35" s="59"/>
      <c r="S35" s="59">
        <f t="shared" si="30"/>
        <v>579</v>
      </c>
      <c r="T35" s="59"/>
      <c r="U35" s="59">
        <f t="shared" si="31"/>
        <v>579</v>
      </c>
      <c r="V35" s="59"/>
      <c r="W35" s="59">
        <f t="shared" si="32"/>
        <v>579</v>
      </c>
      <c r="X35" s="59"/>
      <c r="Y35" s="59">
        <f t="shared" si="33"/>
        <v>579</v>
      </c>
      <c r="Z35" s="59"/>
      <c r="AA35" s="59">
        <f t="shared" si="34"/>
        <v>579</v>
      </c>
    </row>
    <row r="36" spans="1:27" s="20" customFormat="1" ht="23.25" customHeight="1">
      <c r="A36" s="34"/>
      <c r="B36" s="46"/>
      <c r="C36" s="47">
        <v>4120</v>
      </c>
      <c r="D36" s="12" t="s">
        <v>82</v>
      </c>
      <c r="E36" s="59"/>
      <c r="F36" s="59"/>
      <c r="G36" s="59">
        <v>0</v>
      </c>
      <c r="H36" s="59">
        <v>428</v>
      </c>
      <c r="I36" s="59">
        <f t="shared" si="35"/>
        <v>428</v>
      </c>
      <c r="J36" s="59"/>
      <c r="K36" s="59">
        <f t="shared" si="36"/>
        <v>428</v>
      </c>
      <c r="L36" s="59"/>
      <c r="M36" s="59">
        <f t="shared" si="37"/>
        <v>428</v>
      </c>
      <c r="N36" s="59"/>
      <c r="O36" s="59">
        <v>95</v>
      </c>
      <c r="P36" s="59"/>
      <c r="Q36" s="59">
        <f t="shared" si="29"/>
        <v>95</v>
      </c>
      <c r="R36" s="59"/>
      <c r="S36" s="59">
        <f t="shared" si="30"/>
        <v>95</v>
      </c>
      <c r="T36" s="59"/>
      <c r="U36" s="59">
        <f t="shared" si="31"/>
        <v>95</v>
      </c>
      <c r="V36" s="59"/>
      <c r="W36" s="59">
        <f t="shared" si="32"/>
        <v>95</v>
      </c>
      <c r="X36" s="59"/>
      <c r="Y36" s="59">
        <f t="shared" si="33"/>
        <v>95</v>
      </c>
      <c r="Z36" s="59"/>
      <c r="AA36" s="59">
        <f t="shared" si="34"/>
        <v>95</v>
      </c>
    </row>
    <row r="37" spans="1:27" s="20" customFormat="1" ht="23.25" customHeight="1">
      <c r="A37" s="34"/>
      <c r="B37" s="46"/>
      <c r="C37" s="47">
        <v>4170</v>
      </c>
      <c r="D37" s="40" t="s">
        <v>161</v>
      </c>
      <c r="E37" s="59"/>
      <c r="F37" s="59"/>
      <c r="G37" s="59">
        <v>0</v>
      </c>
      <c r="H37" s="59">
        <v>6580</v>
      </c>
      <c r="I37" s="59">
        <f t="shared" si="35"/>
        <v>6580</v>
      </c>
      <c r="J37" s="59"/>
      <c r="K37" s="59">
        <f t="shared" si="36"/>
        <v>6580</v>
      </c>
      <c r="L37" s="59"/>
      <c r="M37" s="59">
        <f t="shared" si="37"/>
        <v>6580</v>
      </c>
      <c r="N37" s="59"/>
      <c r="O37" s="59">
        <v>7230</v>
      </c>
      <c r="P37" s="59"/>
      <c r="Q37" s="59">
        <f t="shared" si="29"/>
        <v>7230</v>
      </c>
      <c r="R37" s="59"/>
      <c r="S37" s="59">
        <f t="shared" si="30"/>
        <v>7230</v>
      </c>
      <c r="T37" s="59"/>
      <c r="U37" s="59">
        <f t="shared" si="31"/>
        <v>7230</v>
      </c>
      <c r="V37" s="59"/>
      <c r="W37" s="59">
        <f t="shared" si="32"/>
        <v>7230</v>
      </c>
      <c r="X37" s="59"/>
      <c r="Y37" s="59">
        <f t="shared" si="33"/>
        <v>7230</v>
      </c>
      <c r="Z37" s="59"/>
      <c r="AA37" s="59">
        <f t="shared" si="34"/>
        <v>7230</v>
      </c>
    </row>
    <row r="38" spans="1:27" s="20" customFormat="1" ht="22.5" customHeight="1">
      <c r="A38" s="34"/>
      <c r="B38" s="46"/>
      <c r="C38" s="47">
        <v>4210</v>
      </c>
      <c r="D38" s="50" t="s">
        <v>86</v>
      </c>
      <c r="E38" s="59"/>
      <c r="F38" s="59"/>
      <c r="G38" s="59">
        <v>0</v>
      </c>
      <c r="H38" s="59">
        <v>7844</v>
      </c>
      <c r="I38" s="59">
        <f t="shared" si="35"/>
        <v>7844</v>
      </c>
      <c r="J38" s="59">
        <v>1000</v>
      </c>
      <c r="K38" s="59">
        <f t="shared" si="36"/>
        <v>8844</v>
      </c>
      <c r="L38" s="59">
        <v>-1000</v>
      </c>
      <c r="M38" s="59">
        <f t="shared" si="37"/>
        <v>7844</v>
      </c>
      <c r="N38" s="59"/>
      <c r="O38" s="59">
        <v>6688</v>
      </c>
      <c r="P38" s="59"/>
      <c r="Q38" s="59">
        <f t="shared" si="29"/>
        <v>6688</v>
      </c>
      <c r="R38" s="59"/>
      <c r="S38" s="59">
        <f t="shared" si="30"/>
        <v>6688</v>
      </c>
      <c r="T38" s="59"/>
      <c r="U38" s="59">
        <f t="shared" si="31"/>
        <v>6688</v>
      </c>
      <c r="V38" s="59"/>
      <c r="W38" s="59">
        <f t="shared" si="32"/>
        <v>6688</v>
      </c>
      <c r="X38" s="59"/>
      <c r="Y38" s="59">
        <f t="shared" si="33"/>
        <v>6688</v>
      </c>
      <c r="Z38" s="59"/>
      <c r="AA38" s="59">
        <f t="shared" si="34"/>
        <v>6688</v>
      </c>
    </row>
    <row r="39" spans="1:27" s="20" customFormat="1" ht="22.5" customHeight="1">
      <c r="A39" s="34"/>
      <c r="B39" s="46"/>
      <c r="C39" s="47">
        <v>4300</v>
      </c>
      <c r="D39" s="31" t="s">
        <v>75</v>
      </c>
      <c r="E39" s="59"/>
      <c r="F39" s="59"/>
      <c r="G39" s="59">
        <v>0</v>
      </c>
      <c r="H39" s="59">
        <v>2037</v>
      </c>
      <c r="I39" s="59">
        <f t="shared" si="35"/>
        <v>2037</v>
      </c>
      <c r="J39" s="59"/>
      <c r="K39" s="59">
        <f t="shared" si="36"/>
        <v>2037</v>
      </c>
      <c r="L39" s="59"/>
      <c r="M39" s="59">
        <f t="shared" si="37"/>
        <v>2037</v>
      </c>
      <c r="N39" s="59"/>
      <c r="O39" s="59">
        <v>2037</v>
      </c>
      <c r="P39" s="59"/>
      <c r="Q39" s="59">
        <f t="shared" si="29"/>
        <v>2037</v>
      </c>
      <c r="R39" s="59"/>
      <c r="S39" s="59">
        <f t="shared" si="30"/>
        <v>2037</v>
      </c>
      <c r="T39" s="59"/>
      <c r="U39" s="59">
        <f t="shared" si="31"/>
        <v>2037</v>
      </c>
      <c r="V39" s="59"/>
      <c r="W39" s="59">
        <f t="shared" si="32"/>
        <v>2037</v>
      </c>
      <c r="X39" s="59"/>
      <c r="Y39" s="59">
        <f t="shared" si="33"/>
        <v>2037</v>
      </c>
      <c r="Z39" s="59"/>
      <c r="AA39" s="59">
        <f t="shared" si="34"/>
        <v>2037</v>
      </c>
    </row>
    <row r="40" spans="1:27" s="20" customFormat="1" ht="22.5" customHeight="1">
      <c r="A40" s="34"/>
      <c r="B40" s="46"/>
      <c r="C40" s="47">
        <v>4410</v>
      </c>
      <c r="D40" s="31" t="s">
        <v>85</v>
      </c>
      <c r="E40" s="59"/>
      <c r="F40" s="59"/>
      <c r="G40" s="59">
        <v>0</v>
      </c>
      <c r="H40" s="59">
        <v>2500</v>
      </c>
      <c r="I40" s="59">
        <f t="shared" si="35"/>
        <v>2500</v>
      </c>
      <c r="J40" s="59"/>
      <c r="K40" s="59">
        <f t="shared" si="36"/>
        <v>2500</v>
      </c>
      <c r="L40" s="59"/>
      <c r="M40" s="59">
        <f t="shared" si="37"/>
        <v>2500</v>
      </c>
      <c r="N40" s="59"/>
      <c r="O40" s="59">
        <v>1105</v>
      </c>
      <c r="P40" s="59"/>
      <c r="Q40" s="59">
        <f t="shared" si="29"/>
        <v>1105</v>
      </c>
      <c r="R40" s="59"/>
      <c r="S40" s="59">
        <f t="shared" si="30"/>
        <v>1105</v>
      </c>
      <c r="T40" s="59"/>
      <c r="U40" s="59">
        <f t="shared" si="31"/>
        <v>1105</v>
      </c>
      <c r="V40" s="59"/>
      <c r="W40" s="59">
        <f t="shared" si="32"/>
        <v>1105</v>
      </c>
      <c r="X40" s="59"/>
      <c r="Y40" s="59">
        <f t="shared" si="33"/>
        <v>1105</v>
      </c>
      <c r="Z40" s="59"/>
      <c r="AA40" s="59">
        <f t="shared" si="34"/>
        <v>1105</v>
      </c>
    </row>
    <row r="41" spans="1:27" s="20" customFormat="1" ht="22.5" customHeight="1">
      <c r="A41" s="34"/>
      <c r="B41" s="46"/>
      <c r="C41" s="47">
        <v>4740</v>
      </c>
      <c r="D41" s="31" t="s">
        <v>183</v>
      </c>
      <c r="E41" s="59"/>
      <c r="F41" s="59"/>
      <c r="G41" s="59">
        <v>0</v>
      </c>
      <c r="H41" s="59">
        <v>238</v>
      </c>
      <c r="I41" s="59">
        <f t="shared" si="35"/>
        <v>238</v>
      </c>
      <c r="J41" s="59"/>
      <c r="K41" s="59">
        <f t="shared" si="36"/>
        <v>238</v>
      </c>
      <c r="L41" s="59"/>
      <c r="M41" s="59">
        <f t="shared" si="37"/>
        <v>238</v>
      </c>
      <c r="N41" s="59"/>
      <c r="O41" s="59">
        <v>280</v>
      </c>
      <c r="P41" s="59"/>
      <c r="Q41" s="59">
        <f t="shared" si="29"/>
        <v>280</v>
      </c>
      <c r="R41" s="59"/>
      <c r="S41" s="59">
        <f t="shared" si="30"/>
        <v>280</v>
      </c>
      <c r="T41" s="59"/>
      <c r="U41" s="59">
        <f t="shared" si="31"/>
        <v>280</v>
      </c>
      <c r="V41" s="59"/>
      <c r="W41" s="59">
        <f t="shared" si="32"/>
        <v>280</v>
      </c>
      <c r="X41" s="59"/>
      <c r="Y41" s="59">
        <f t="shared" si="33"/>
        <v>280</v>
      </c>
      <c r="Z41" s="59"/>
      <c r="AA41" s="59">
        <f t="shared" si="34"/>
        <v>280</v>
      </c>
    </row>
    <row r="42" spans="1:27" s="20" customFormat="1" ht="22.5" customHeight="1">
      <c r="A42" s="34"/>
      <c r="B42" s="46"/>
      <c r="C42" s="47">
        <v>4750</v>
      </c>
      <c r="D42" s="31" t="s">
        <v>197</v>
      </c>
      <c r="E42" s="59"/>
      <c r="F42" s="59"/>
      <c r="G42" s="59">
        <v>0</v>
      </c>
      <c r="H42" s="59">
        <v>233</v>
      </c>
      <c r="I42" s="59">
        <f t="shared" si="35"/>
        <v>233</v>
      </c>
      <c r="J42" s="59"/>
      <c r="K42" s="59">
        <f t="shared" si="36"/>
        <v>233</v>
      </c>
      <c r="L42" s="59">
        <v>1000</v>
      </c>
      <c r="M42" s="59">
        <f t="shared" si="37"/>
        <v>1233</v>
      </c>
      <c r="N42" s="59"/>
      <c r="O42" s="59">
        <v>2918</v>
      </c>
      <c r="P42" s="59"/>
      <c r="Q42" s="59">
        <f t="shared" si="29"/>
        <v>2918</v>
      </c>
      <c r="R42" s="59"/>
      <c r="S42" s="59">
        <f t="shared" si="30"/>
        <v>2918</v>
      </c>
      <c r="T42" s="59"/>
      <c r="U42" s="59">
        <f t="shared" si="31"/>
        <v>2918</v>
      </c>
      <c r="V42" s="59"/>
      <c r="W42" s="59">
        <f t="shared" si="32"/>
        <v>2918</v>
      </c>
      <c r="X42" s="59"/>
      <c r="Y42" s="59">
        <f t="shared" si="33"/>
        <v>2918</v>
      </c>
      <c r="Z42" s="59"/>
      <c r="AA42" s="59">
        <f t="shared" si="34"/>
        <v>2918</v>
      </c>
    </row>
    <row r="43" spans="1:27" s="20" customFormat="1" ht="22.5" customHeight="1">
      <c r="A43" s="27" t="s">
        <v>94</v>
      </c>
      <c r="B43" s="28"/>
      <c r="C43" s="29"/>
      <c r="D43" s="30" t="s">
        <v>95</v>
      </c>
      <c r="E43" s="134">
        <f aca="true" t="shared" si="38" ref="E43:N43">SUM(E44,E73,E87,E91,E118,E125,E130,E141)</f>
        <v>28296058</v>
      </c>
      <c r="F43" s="134">
        <f t="shared" si="38"/>
        <v>1523600</v>
      </c>
      <c r="G43" s="134">
        <f t="shared" si="38"/>
        <v>29819658</v>
      </c>
      <c r="H43" s="134">
        <f t="shared" si="38"/>
        <v>19932</v>
      </c>
      <c r="I43" s="134">
        <f t="shared" si="38"/>
        <v>29839590</v>
      </c>
      <c r="J43" s="134">
        <f t="shared" si="38"/>
        <v>287502</v>
      </c>
      <c r="K43" s="134">
        <f t="shared" si="38"/>
        <v>30127092</v>
      </c>
      <c r="L43" s="134">
        <f t="shared" si="38"/>
        <v>0</v>
      </c>
      <c r="M43" s="134">
        <f t="shared" si="38"/>
        <v>30127092</v>
      </c>
      <c r="N43" s="134">
        <f t="shared" si="38"/>
        <v>20240</v>
      </c>
      <c r="O43" s="134">
        <f aca="true" t="shared" si="39" ref="O43:AA44">O44</f>
        <v>0</v>
      </c>
      <c r="P43" s="134">
        <f t="shared" si="39"/>
        <v>44050</v>
      </c>
      <c r="Q43" s="134">
        <f t="shared" si="39"/>
        <v>44050</v>
      </c>
      <c r="R43" s="134">
        <f t="shared" si="39"/>
        <v>0</v>
      </c>
      <c r="S43" s="134">
        <f t="shared" si="39"/>
        <v>44050</v>
      </c>
      <c r="T43" s="134">
        <f t="shared" si="39"/>
        <v>0</v>
      </c>
      <c r="U43" s="134">
        <f t="shared" si="39"/>
        <v>44050</v>
      </c>
      <c r="V43" s="134">
        <f t="shared" si="39"/>
        <v>0</v>
      </c>
      <c r="W43" s="134">
        <f t="shared" si="39"/>
        <v>44050</v>
      </c>
      <c r="X43" s="134">
        <f t="shared" si="39"/>
        <v>0</v>
      </c>
      <c r="Y43" s="134">
        <f t="shared" si="39"/>
        <v>44050</v>
      </c>
      <c r="Z43" s="134">
        <f t="shared" si="39"/>
        <v>0</v>
      </c>
      <c r="AA43" s="134">
        <f t="shared" si="39"/>
        <v>44050</v>
      </c>
    </row>
    <row r="44" spans="1:27" s="20" customFormat="1" ht="22.5" customHeight="1">
      <c r="A44" s="41"/>
      <c r="B44" s="55" t="s">
        <v>96</v>
      </c>
      <c r="C44" s="58"/>
      <c r="D44" s="31" t="s">
        <v>51</v>
      </c>
      <c r="E44" s="54">
        <f aca="true" t="shared" si="40" ref="E44:N44">SUM(E45:E72)</f>
        <v>28296058</v>
      </c>
      <c r="F44" s="54">
        <f t="shared" si="40"/>
        <v>1523600</v>
      </c>
      <c r="G44" s="54">
        <f t="shared" si="40"/>
        <v>29819658</v>
      </c>
      <c r="H44" s="54">
        <f t="shared" si="40"/>
        <v>19932</v>
      </c>
      <c r="I44" s="54">
        <f t="shared" si="40"/>
        <v>29839590</v>
      </c>
      <c r="J44" s="54">
        <f t="shared" si="40"/>
        <v>287502</v>
      </c>
      <c r="K44" s="54">
        <f t="shared" si="40"/>
        <v>30127092</v>
      </c>
      <c r="L44" s="54">
        <f t="shared" si="40"/>
        <v>0</v>
      </c>
      <c r="M44" s="54">
        <f t="shared" si="40"/>
        <v>30127092</v>
      </c>
      <c r="N44" s="54">
        <f t="shared" si="40"/>
        <v>20240</v>
      </c>
      <c r="O44" s="54">
        <f t="shared" si="39"/>
        <v>0</v>
      </c>
      <c r="P44" s="54">
        <f t="shared" si="39"/>
        <v>44050</v>
      </c>
      <c r="Q44" s="54">
        <f t="shared" si="39"/>
        <v>44050</v>
      </c>
      <c r="R44" s="54">
        <f t="shared" si="39"/>
        <v>0</v>
      </c>
      <c r="S44" s="54">
        <f t="shared" si="39"/>
        <v>44050</v>
      </c>
      <c r="T44" s="54">
        <f t="shared" si="39"/>
        <v>0</v>
      </c>
      <c r="U44" s="54">
        <f t="shared" si="39"/>
        <v>44050</v>
      </c>
      <c r="V44" s="54">
        <f t="shared" si="39"/>
        <v>0</v>
      </c>
      <c r="W44" s="54">
        <f t="shared" si="39"/>
        <v>44050</v>
      </c>
      <c r="X44" s="54">
        <f t="shared" si="39"/>
        <v>0</v>
      </c>
      <c r="Y44" s="54">
        <f t="shared" si="39"/>
        <v>44050</v>
      </c>
      <c r="Z44" s="54">
        <f t="shared" si="39"/>
        <v>0</v>
      </c>
      <c r="AA44" s="54">
        <f t="shared" si="39"/>
        <v>44050</v>
      </c>
    </row>
    <row r="45" spans="1:27" s="20" customFormat="1" ht="22.5" customHeight="1">
      <c r="A45" s="34"/>
      <c r="B45" s="46"/>
      <c r="C45" s="41">
        <v>4300</v>
      </c>
      <c r="D45" s="31" t="s">
        <v>75</v>
      </c>
      <c r="E45" s="54">
        <v>110748</v>
      </c>
      <c r="F45" s="54"/>
      <c r="G45" s="54">
        <f>SUM(E45:F45)</f>
        <v>110748</v>
      </c>
      <c r="H45" s="54"/>
      <c r="I45" s="54">
        <f>SUM(G45:H45)</f>
        <v>110748</v>
      </c>
      <c r="J45" s="54">
        <v>1000</v>
      </c>
      <c r="K45" s="54">
        <f>SUM(I45:J45)</f>
        <v>111748</v>
      </c>
      <c r="L45" s="54"/>
      <c r="M45" s="54">
        <f>SUM(K45:L45)</f>
        <v>111748</v>
      </c>
      <c r="N45" s="54">
        <v>-1000</v>
      </c>
      <c r="O45" s="54">
        <v>0</v>
      </c>
      <c r="P45" s="54">
        <v>44050</v>
      </c>
      <c r="Q45" s="59">
        <f t="shared" si="29"/>
        <v>44050</v>
      </c>
      <c r="R45" s="54"/>
      <c r="S45" s="59">
        <f>SUM(Q45:R45)</f>
        <v>44050</v>
      </c>
      <c r="T45" s="54"/>
      <c r="U45" s="59">
        <f>SUM(S45:T45)</f>
        <v>44050</v>
      </c>
      <c r="V45" s="54"/>
      <c r="W45" s="59">
        <f>SUM(U45:V45)</f>
        <v>44050</v>
      </c>
      <c r="X45" s="54"/>
      <c r="Y45" s="59">
        <f>SUM(W45:X45)</f>
        <v>44050</v>
      </c>
      <c r="Z45" s="54"/>
      <c r="AA45" s="59">
        <f>SUM(Y45:Z45)</f>
        <v>44050</v>
      </c>
    </row>
    <row r="46" spans="1:215" s="20" customFormat="1" ht="21" customHeight="1">
      <c r="A46" s="25">
        <v>852</v>
      </c>
      <c r="B46" s="3"/>
      <c r="C46" s="18"/>
      <c r="D46" s="24" t="s">
        <v>156</v>
      </c>
      <c r="E46" s="33">
        <f aca="true" t="shared" si="41" ref="E46:Q46">SUM(E47,E60,E62,)</f>
        <v>7006200</v>
      </c>
      <c r="F46" s="33">
        <f t="shared" si="41"/>
        <v>380900</v>
      </c>
      <c r="G46" s="33">
        <f t="shared" si="41"/>
        <v>7387100</v>
      </c>
      <c r="H46" s="33">
        <f t="shared" si="41"/>
        <v>0</v>
      </c>
      <c r="I46" s="33">
        <f t="shared" si="41"/>
        <v>7387100</v>
      </c>
      <c r="J46" s="33">
        <f t="shared" si="41"/>
        <v>0</v>
      </c>
      <c r="K46" s="33">
        <f t="shared" si="41"/>
        <v>7387100</v>
      </c>
      <c r="L46" s="33">
        <f t="shared" si="41"/>
        <v>0</v>
      </c>
      <c r="M46" s="33">
        <f t="shared" si="41"/>
        <v>7387100</v>
      </c>
      <c r="N46" s="33">
        <f t="shared" si="41"/>
        <v>0</v>
      </c>
      <c r="O46" s="33">
        <f t="shared" si="41"/>
        <v>7387100</v>
      </c>
      <c r="P46" s="33">
        <f t="shared" si="41"/>
        <v>0</v>
      </c>
      <c r="Q46" s="33">
        <f t="shared" si="41"/>
        <v>7387100</v>
      </c>
      <c r="R46" s="33">
        <f aca="true" t="shared" si="42" ref="R46:W46">SUM(R47,R60,R62,)</f>
        <v>-291585</v>
      </c>
      <c r="S46" s="33">
        <f t="shared" si="42"/>
        <v>7095515</v>
      </c>
      <c r="T46" s="33">
        <f t="shared" si="42"/>
        <v>-767244</v>
      </c>
      <c r="U46" s="33">
        <f t="shared" si="42"/>
        <v>6328271</v>
      </c>
      <c r="V46" s="33">
        <f t="shared" si="42"/>
        <v>-300000</v>
      </c>
      <c r="W46" s="33">
        <f t="shared" si="42"/>
        <v>6028271</v>
      </c>
      <c r="X46" s="33">
        <f>SUM(X47,X60,X62,)</f>
        <v>288824</v>
      </c>
      <c r="Y46" s="33">
        <f>SUM(Y47,Y60,Y62,)</f>
        <v>6317095</v>
      </c>
      <c r="Z46" s="33">
        <f>SUM(Z47,Z60,Z62,)</f>
        <v>0</v>
      </c>
      <c r="AA46" s="33">
        <f>SUM(AA47,AA60,AA62,)</f>
        <v>6317095</v>
      </c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</row>
    <row r="47" spans="1:215" s="20" customFormat="1" ht="45">
      <c r="A47" s="61"/>
      <c r="B47" s="34">
        <v>85212</v>
      </c>
      <c r="C47" s="52"/>
      <c r="D47" s="50" t="s">
        <v>216</v>
      </c>
      <c r="E47" s="59">
        <f aca="true" t="shared" si="43" ref="E47:Q47">SUM(E48:E59)</f>
        <v>6479100</v>
      </c>
      <c r="F47" s="59">
        <f t="shared" si="43"/>
        <v>334300</v>
      </c>
      <c r="G47" s="59">
        <f t="shared" si="43"/>
        <v>6813400</v>
      </c>
      <c r="H47" s="59">
        <f t="shared" si="43"/>
        <v>0</v>
      </c>
      <c r="I47" s="59">
        <f t="shared" si="43"/>
        <v>6813400</v>
      </c>
      <c r="J47" s="59">
        <f t="shared" si="43"/>
        <v>0</v>
      </c>
      <c r="K47" s="59">
        <f t="shared" si="43"/>
        <v>6813400</v>
      </c>
      <c r="L47" s="59">
        <f t="shared" si="43"/>
        <v>0</v>
      </c>
      <c r="M47" s="59">
        <f t="shared" si="43"/>
        <v>6813400</v>
      </c>
      <c r="N47" s="59">
        <f t="shared" si="43"/>
        <v>0</v>
      </c>
      <c r="O47" s="59">
        <f t="shared" si="43"/>
        <v>6813400</v>
      </c>
      <c r="P47" s="59">
        <f t="shared" si="43"/>
        <v>0</v>
      </c>
      <c r="Q47" s="59">
        <f t="shared" si="43"/>
        <v>6813400</v>
      </c>
      <c r="R47" s="59">
        <f aca="true" t="shared" si="44" ref="R47:W47">SUM(R48:R59)</f>
        <v>0</v>
      </c>
      <c r="S47" s="59">
        <f t="shared" si="44"/>
        <v>6813400</v>
      </c>
      <c r="T47" s="59">
        <f t="shared" si="44"/>
        <v>-763299</v>
      </c>
      <c r="U47" s="59">
        <f t="shared" si="44"/>
        <v>6050101</v>
      </c>
      <c r="V47" s="59">
        <f t="shared" si="44"/>
        <v>-300000</v>
      </c>
      <c r="W47" s="59">
        <f t="shared" si="44"/>
        <v>5750101</v>
      </c>
      <c r="X47" s="59">
        <f>SUM(X48:X59)</f>
        <v>288824</v>
      </c>
      <c r="Y47" s="59">
        <f>SUM(Y48:Y59)</f>
        <v>6038925</v>
      </c>
      <c r="Z47" s="59">
        <f>SUM(Z48:Z59)</f>
        <v>0</v>
      </c>
      <c r="AA47" s="59">
        <f>SUM(AA48:AA59)</f>
        <v>6038925</v>
      </c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</row>
    <row r="48" spans="1:215" s="20" customFormat="1" ht="21" customHeight="1">
      <c r="A48" s="61"/>
      <c r="B48" s="34"/>
      <c r="C48" s="52">
        <v>3110</v>
      </c>
      <c r="D48" s="50" t="s">
        <v>97</v>
      </c>
      <c r="E48" s="44">
        <f>6284727-51000</f>
        <v>6233727</v>
      </c>
      <c r="F48" s="44">
        <v>324271</v>
      </c>
      <c r="G48" s="44">
        <f aca="true" t="shared" si="45" ref="G48:G59">SUM(E48:F48)</f>
        <v>6557998</v>
      </c>
      <c r="H48" s="44"/>
      <c r="I48" s="44">
        <f aca="true" t="shared" si="46" ref="I48:I59">SUM(G48:H48)</f>
        <v>6557998</v>
      </c>
      <c r="J48" s="44"/>
      <c r="K48" s="44">
        <f aca="true" t="shared" si="47" ref="K48:K59">SUM(I48:J48)</f>
        <v>6557998</v>
      </c>
      <c r="L48" s="44"/>
      <c r="M48" s="44">
        <f aca="true" t="shared" si="48" ref="M48:M59">SUM(K48:L48)</f>
        <v>6557998</v>
      </c>
      <c r="N48" s="44"/>
      <c r="O48" s="44">
        <f aca="true" t="shared" si="49" ref="O48:O59">SUM(M48:N48)</f>
        <v>6557998</v>
      </c>
      <c r="P48" s="44"/>
      <c r="Q48" s="44">
        <f aca="true" t="shared" si="50" ref="Q48:Q59">SUM(O48:P48)</f>
        <v>6557998</v>
      </c>
      <c r="R48" s="44"/>
      <c r="S48" s="44">
        <f aca="true" t="shared" si="51" ref="S48:S59">SUM(Q48:R48)</f>
        <v>6557998</v>
      </c>
      <c r="T48" s="44">
        <f>-763299+22899</f>
        <v>-740400</v>
      </c>
      <c r="U48" s="44">
        <f aca="true" t="shared" si="52" ref="U48:U59">SUM(S48:T48)</f>
        <v>5817598</v>
      </c>
      <c r="V48" s="44">
        <v>-291000</v>
      </c>
      <c r="W48" s="44">
        <f aca="true" t="shared" si="53" ref="W48:W59">SUM(U48:V48)</f>
        <v>5526598</v>
      </c>
      <c r="X48" s="44">
        <v>280159</v>
      </c>
      <c r="Y48" s="44">
        <f aca="true" t="shared" si="54" ref="Y48:Y59">SUM(W48:X48)</f>
        <v>5806757</v>
      </c>
      <c r="Z48" s="44">
        <v>3341</v>
      </c>
      <c r="AA48" s="44">
        <f aca="true" t="shared" si="55" ref="AA48:AA59">SUM(Y48:Z48)</f>
        <v>5810098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</row>
    <row r="49" spans="1:215" s="20" customFormat="1" ht="21" customHeight="1">
      <c r="A49" s="61"/>
      <c r="B49" s="34"/>
      <c r="C49" s="34">
        <v>4010</v>
      </c>
      <c r="D49" s="12" t="s">
        <v>79</v>
      </c>
      <c r="E49" s="44">
        <v>153581</v>
      </c>
      <c r="F49" s="44">
        <v>1080</v>
      </c>
      <c r="G49" s="44">
        <f t="shared" si="45"/>
        <v>154661</v>
      </c>
      <c r="H49" s="44"/>
      <c r="I49" s="44">
        <f t="shared" si="46"/>
        <v>154661</v>
      </c>
      <c r="J49" s="44"/>
      <c r="K49" s="44">
        <f t="shared" si="47"/>
        <v>154661</v>
      </c>
      <c r="L49" s="44"/>
      <c r="M49" s="44">
        <f t="shared" si="48"/>
        <v>154661</v>
      </c>
      <c r="N49" s="44"/>
      <c r="O49" s="44">
        <f t="shared" si="49"/>
        <v>154661</v>
      </c>
      <c r="P49" s="44"/>
      <c r="Q49" s="44">
        <f t="shared" si="50"/>
        <v>154661</v>
      </c>
      <c r="R49" s="44"/>
      <c r="S49" s="44">
        <f t="shared" si="51"/>
        <v>154661</v>
      </c>
      <c r="T49" s="44">
        <v>-22899</v>
      </c>
      <c r="U49" s="44">
        <f t="shared" si="52"/>
        <v>131762</v>
      </c>
      <c r="V49" s="44">
        <v>-3500</v>
      </c>
      <c r="W49" s="44">
        <f t="shared" si="53"/>
        <v>128262</v>
      </c>
      <c r="X49" s="44">
        <v>8665</v>
      </c>
      <c r="Y49" s="44">
        <f t="shared" si="54"/>
        <v>136927</v>
      </c>
      <c r="Z49" s="44"/>
      <c r="AA49" s="44">
        <f t="shared" si="55"/>
        <v>136927</v>
      </c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</row>
    <row r="50" spans="1:215" s="20" customFormat="1" ht="21" customHeight="1">
      <c r="A50" s="61"/>
      <c r="B50" s="34"/>
      <c r="C50" s="34">
        <v>4040</v>
      </c>
      <c r="D50" s="12" t="s">
        <v>80</v>
      </c>
      <c r="E50" s="44">
        <v>12000</v>
      </c>
      <c r="F50" s="44">
        <v>-1406</v>
      </c>
      <c r="G50" s="44">
        <f t="shared" si="45"/>
        <v>10594</v>
      </c>
      <c r="H50" s="44"/>
      <c r="I50" s="44">
        <f t="shared" si="46"/>
        <v>10594</v>
      </c>
      <c r="J50" s="44"/>
      <c r="K50" s="44">
        <f t="shared" si="47"/>
        <v>10594</v>
      </c>
      <c r="L50" s="44"/>
      <c r="M50" s="44">
        <f t="shared" si="48"/>
        <v>10594</v>
      </c>
      <c r="N50" s="44"/>
      <c r="O50" s="44">
        <f t="shared" si="49"/>
        <v>10594</v>
      </c>
      <c r="P50" s="44"/>
      <c r="Q50" s="44">
        <f t="shared" si="50"/>
        <v>10594</v>
      </c>
      <c r="R50" s="44"/>
      <c r="S50" s="44">
        <f t="shared" si="51"/>
        <v>10594</v>
      </c>
      <c r="T50" s="44"/>
      <c r="U50" s="44">
        <f t="shared" si="52"/>
        <v>10594</v>
      </c>
      <c r="V50" s="44"/>
      <c r="W50" s="44">
        <f t="shared" si="53"/>
        <v>10594</v>
      </c>
      <c r="X50" s="44"/>
      <c r="Y50" s="44">
        <f t="shared" si="54"/>
        <v>10594</v>
      </c>
      <c r="Z50" s="44"/>
      <c r="AA50" s="44">
        <f t="shared" si="55"/>
        <v>10594</v>
      </c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</row>
    <row r="51" spans="1:215" s="20" customFormat="1" ht="21" customHeight="1">
      <c r="A51" s="61"/>
      <c r="B51" s="34"/>
      <c r="C51" s="34">
        <v>4110</v>
      </c>
      <c r="D51" s="12" t="s">
        <v>81</v>
      </c>
      <c r="E51" s="44">
        <f>20612+51000</f>
        <v>71612</v>
      </c>
      <c r="F51" s="44"/>
      <c r="G51" s="44">
        <f t="shared" si="45"/>
        <v>71612</v>
      </c>
      <c r="H51" s="44"/>
      <c r="I51" s="44">
        <f t="shared" si="46"/>
        <v>71612</v>
      </c>
      <c r="J51" s="44"/>
      <c r="K51" s="44">
        <f t="shared" si="47"/>
        <v>71612</v>
      </c>
      <c r="L51" s="44"/>
      <c r="M51" s="44">
        <f t="shared" si="48"/>
        <v>71612</v>
      </c>
      <c r="N51" s="44"/>
      <c r="O51" s="44">
        <f t="shared" si="49"/>
        <v>71612</v>
      </c>
      <c r="P51" s="44"/>
      <c r="Q51" s="44">
        <f t="shared" si="50"/>
        <v>71612</v>
      </c>
      <c r="R51" s="44"/>
      <c r="S51" s="44">
        <f t="shared" si="51"/>
        <v>71612</v>
      </c>
      <c r="T51" s="44"/>
      <c r="U51" s="44">
        <f t="shared" si="52"/>
        <v>71612</v>
      </c>
      <c r="V51" s="44">
        <v>-2500</v>
      </c>
      <c r="W51" s="44">
        <f t="shared" si="53"/>
        <v>69112</v>
      </c>
      <c r="X51" s="44"/>
      <c r="Y51" s="44">
        <f t="shared" si="54"/>
        <v>69112</v>
      </c>
      <c r="Z51" s="44"/>
      <c r="AA51" s="44">
        <f t="shared" si="55"/>
        <v>69112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</row>
    <row r="52" spans="1:215" s="20" customFormat="1" ht="21" customHeight="1">
      <c r="A52" s="61"/>
      <c r="B52" s="34"/>
      <c r="C52" s="34">
        <v>4120</v>
      </c>
      <c r="D52" s="12" t="s">
        <v>82</v>
      </c>
      <c r="E52" s="44">
        <v>3305</v>
      </c>
      <c r="F52" s="44"/>
      <c r="G52" s="44">
        <f t="shared" si="45"/>
        <v>3305</v>
      </c>
      <c r="H52" s="44"/>
      <c r="I52" s="44">
        <f t="shared" si="46"/>
        <v>3305</v>
      </c>
      <c r="J52" s="44"/>
      <c r="K52" s="44">
        <f t="shared" si="47"/>
        <v>3305</v>
      </c>
      <c r="L52" s="44"/>
      <c r="M52" s="44">
        <f t="shared" si="48"/>
        <v>3305</v>
      </c>
      <c r="N52" s="44"/>
      <c r="O52" s="44">
        <f t="shared" si="49"/>
        <v>3305</v>
      </c>
      <c r="P52" s="44"/>
      <c r="Q52" s="44">
        <f t="shared" si="50"/>
        <v>3305</v>
      </c>
      <c r="R52" s="44"/>
      <c r="S52" s="44">
        <f t="shared" si="51"/>
        <v>3305</v>
      </c>
      <c r="T52" s="44"/>
      <c r="U52" s="44">
        <f t="shared" si="52"/>
        <v>3305</v>
      </c>
      <c r="V52" s="44">
        <v>-500</v>
      </c>
      <c r="W52" s="44">
        <f t="shared" si="53"/>
        <v>2805</v>
      </c>
      <c r="X52" s="44"/>
      <c r="Y52" s="44">
        <f t="shared" si="54"/>
        <v>2805</v>
      </c>
      <c r="Z52" s="44"/>
      <c r="AA52" s="44">
        <f t="shared" si="55"/>
        <v>2805</v>
      </c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</row>
    <row r="53" spans="1:215" s="20" customFormat="1" ht="21" customHeight="1">
      <c r="A53" s="61"/>
      <c r="B53" s="34"/>
      <c r="C53" s="34">
        <v>4210</v>
      </c>
      <c r="D53" s="12" t="s">
        <v>86</v>
      </c>
      <c r="E53" s="44">
        <v>0</v>
      </c>
      <c r="F53" s="44">
        <v>5029</v>
      </c>
      <c r="G53" s="44">
        <f t="shared" si="45"/>
        <v>5029</v>
      </c>
      <c r="H53" s="44"/>
      <c r="I53" s="44">
        <f t="shared" si="46"/>
        <v>5029</v>
      </c>
      <c r="J53" s="44"/>
      <c r="K53" s="44">
        <f t="shared" si="47"/>
        <v>5029</v>
      </c>
      <c r="L53" s="44"/>
      <c r="M53" s="44">
        <f t="shared" si="48"/>
        <v>5029</v>
      </c>
      <c r="N53" s="44"/>
      <c r="O53" s="44">
        <f t="shared" si="49"/>
        <v>5029</v>
      </c>
      <c r="P53" s="44"/>
      <c r="Q53" s="44">
        <f t="shared" si="50"/>
        <v>5029</v>
      </c>
      <c r="R53" s="44"/>
      <c r="S53" s="44">
        <f t="shared" si="51"/>
        <v>5029</v>
      </c>
      <c r="T53" s="44"/>
      <c r="U53" s="44">
        <f t="shared" si="52"/>
        <v>5029</v>
      </c>
      <c r="V53" s="44">
        <v>-2500</v>
      </c>
      <c r="W53" s="44">
        <f t="shared" si="53"/>
        <v>2529</v>
      </c>
      <c r="X53" s="44">
        <v>187</v>
      </c>
      <c r="Y53" s="44">
        <f t="shared" si="54"/>
        <v>2716</v>
      </c>
      <c r="Z53" s="44">
        <v>-1341</v>
      </c>
      <c r="AA53" s="44">
        <f t="shared" si="55"/>
        <v>1375</v>
      </c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</row>
    <row r="54" spans="1:215" s="20" customFormat="1" ht="21" customHeight="1">
      <c r="A54" s="61"/>
      <c r="B54" s="34"/>
      <c r="C54" s="34">
        <v>4410</v>
      </c>
      <c r="D54" s="31" t="s">
        <v>85</v>
      </c>
      <c r="E54" s="44">
        <v>0</v>
      </c>
      <c r="F54" s="44">
        <v>2000</v>
      </c>
      <c r="G54" s="44">
        <f t="shared" si="45"/>
        <v>2000</v>
      </c>
      <c r="H54" s="44"/>
      <c r="I54" s="44">
        <f t="shared" si="46"/>
        <v>2000</v>
      </c>
      <c r="J54" s="44"/>
      <c r="K54" s="44">
        <f t="shared" si="47"/>
        <v>2000</v>
      </c>
      <c r="L54" s="44"/>
      <c r="M54" s="44">
        <f t="shared" si="48"/>
        <v>2000</v>
      </c>
      <c r="N54" s="44"/>
      <c r="O54" s="44">
        <f t="shared" si="49"/>
        <v>2000</v>
      </c>
      <c r="P54" s="44"/>
      <c r="Q54" s="44">
        <f t="shared" si="50"/>
        <v>2000</v>
      </c>
      <c r="R54" s="44"/>
      <c r="S54" s="44">
        <f t="shared" si="51"/>
        <v>2000</v>
      </c>
      <c r="T54" s="44"/>
      <c r="U54" s="44">
        <f t="shared" si="52"/>
        <v>2000</v>
      </c>
      <c r="V54" s="44"/>
      <c r="W54" s="44">
        <f t="shared" si="53"/>
        <v>2000</v>
      </c>
      <c r="X54" s="44"/>
      <c r="Y54" s="44">
        <f t="shared" si="54"/>
        <v>2000</v>
      </c>
      <c r="Z54" s="44"/>
      <c r="AA54" s="44">
        <f t="shared" si="55"/>
        <v>2000</v>
      </c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</row>
    <row r="55" spans="1:215" s="20" customFormat="1" ht="21" customHeight="1">
      <c r="A55" s="61"/>
      <c r="B55" s="34"/>
      <c r="C55" s="34">
        <v>4430</v>
      </c>
      <c r="D55" s="31" t="s">
        <v>87</v>
      </c>
      <c r="E55" s="44">
        <v>0</v>
      </c>
      <c r="F55" s="44">
        <v>1000</v>
      </c>
      <c r="G55" s="44">
        <f t="shared" si="45"/>
        <v>1000</v>
      </c>
      <c r="H55" s="44"/>
      <c r="I55" s="44">
        <f t="shared" si="46"/>
        <v>1000</v>
      </c>
      <c r="J55" s="44"/>
      <c r="K55" s="44">
        <f t="shared" si="47"/>
        <v>1000</v>
      </c>
      <c r="L55" s="44"/>
      <c r="M55" s="44">
        <f t="shared" si="48"/>
        <v>1000</v>
      </c>
      <c r="N55" s="44"/>
      <c r="O55" s="44">
        <f t="shared" si="49"/>
        <v>1000</v>
      </c>
      <c r="P55" s="44"/>
      <c r="Q55" s="44">
        <f t="shared" si="50"/>
        <v>1000</v>
      </c>
      <c r="R55" s="44"/>
      <c r="S55" s="44">
        <f t="shared" si="51"/>
        <v>1000</v>
      </c>
      <c r="T55" s="44"/>
      <c r="U55" s="44">
        <f t="shared" si="52"/>
        <v>1000</v>
      </c>
      <c r="V55" s="44"/>
      <c r="W55" s="44">
        <f t="shared" si="53"/>
        <v>1000</v>
      </c>
      <c r="X55" s="44">
        <v>-14</v>
      </c>
      <c r="Y55" s="44">
        <f t="shared" si="54"/>
        <v>986</v>
      </c>
      <c r="Z55" s="44"/>
      <c r="AA55" s="44">
        <f t="shared" si="55"/>
        <v>986</v>
      </c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</row>
    <row r="56" spans="1:215" s="20" customFormat="1" ht="22.5">
      <c r="A56" s="61"/>
      <c r="B56" s="34"/>
      <c r="C56" s="34">
        <v>4440</v>
      </c>
      <c r="D56" s="12" t="s">
        <v>83</v>
      </c>
      <c r="E56" s="44">
        <v>4875</v>
      </c>
      <c r="F56" s="44">
        <v>126</v>
      </c>
      <c r="G56" s="44">
        <f t="shared" si="45"/>
        <v>5001</v>
      </c>
      <c r="H56" s="44"/>
      <c r="I56" s="44">
        <f t="shared" si="46"/>
        <v>5001</v>
      </c>
      <c r="J56" s="44"/>
      <c r="K56" s="44">
        <f t="shared" si="47"/>
        <v>5001</v>
      </c>
      <c r="L56" s="44"/>
      <c r="M56" s="44">
        <f t="shared" si="48"/>
        <v>5001</v>
      </c>
      <c r="N56" s="44"/>
      <c r="O56" s="44">
        <f t="shared" si="49"/>
        <v>5001</v>
      </c>
      <c r="P56" s="44"/>
      <c r="Q56" s="44">
        <f t="shared" si="50"/>
        <v>5001</v>
      </c>
      <c r="R56" s="44"/>
      <c r="S56" s="44">
        <f t="shared" si="51"/>
        <v>5001</v>
      </c>
      <c r="T56" s="44"/>
      <c r="U56" s="44">
        <f t="shared" si="52"/>
        <v>5001</v>
      </c>
      <c r="V56" s="44"/>
      <c r="W56" s="44">
        <f t="shared" si="53"/>
        <v>5001</v>
      </c>
      <c r="X56" s="44"/>
      <c r="Y56" s="44">
        <f t="shared" si="54"/>
        <v>5001</v>
      </c>
      <c r="Z56" s="44"/>
      <c r="AA56" s="44">
        <f t="shared" si="55"/>
        <v>5001</v>
      </c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</row>
    <row r="57" spans="1:215" s="20" customFormat="1" ht="21" customHeight="1">
      <c r="A57" s="61"/>
      <c r="B57" s="34"/>
      <c r="C57" s="53">
        <v>4580</v>
      </c>
      <c r="D57" s="50" t="s">
        <v>11</v>
      </c>
      <c r="E57" s="44">
        <v>0</v>
      </c>
      <c r="F57" s="44">
        <v>200</v>
      </c>
      <c r="G57" s="44">
        <f t="shared" si="45"/>
        <v>200</v>
      </c>
      <c r="H57" s="44"/>
      <c r="I57" s="44">
        <f t="shared" si="46"/>
        <v>200</v>
      </c>
      <c r="J57" s="44"/>
      <c r="K57" s="44">
        <f t="shared" si="47"/>
        <v>200</v>
      </c>
      <c r="L57" s="44"/>
      <c r="M57" s="44">
        <f t="shared" si="48"/>
        <v>200</v>
      </c>
      <c r="N57" s="44"/>
      <c r="O57" s="44">
        <f t="shared" si="49"/>
        <v>200</v>
      </c>
      <c r="P57" s="44"/>
      <c r="Q57" s="44">
        <f t="shared" si="50"/>
        <v>200</v>
      </c>
      <c r="R57" s="44"/>
      <c r="S57" s="44">
        <f t="shared" si="51"/>
        <v>200</v>
      </c>
      <c r="T57" s="44"/>
      <c r="U57" s="44">
        <f t="shared" si="52"/>
        <v>200</v>
      </c>
      <c r="V57" s="44"/>
      <c r="W57" s="44">
        <f t="shared" si="53"/>
        <v>200</v>
      </c>
      <c r="X57" s="44">
        <v>-173</v>
      </c>
      <c r="Y57" s="44">
        <f t="shared" si="54"/>
        <v>27</v>
      </c>
      <c r="Z57" s="44"/>
      <c r="AA57" s="44">
        <f t="shared" si="55"/>
        <v>27</v>
      </c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</row>
    <row r="58" spans="1:215" s="20" customFormat="1" ht="33.75">
      <c r="A58" s="61"/>
      <c r="B58" s="34"/>
      <c r="C58" s="53">
        <v>4740</v>
      </c>
      <c r="D58" s="31" t="s">
        <v>183</v>
      </c>
      <c r="E58" s="44">
        <v>0</v>
      </c>
      <c r="F58" s="44">
        <v>1000</v>
      </c>
      <c r="G58" s="44">
        <f t="shared" si="45"/>
        <v>1000</v>
      </c>
      <c r="H58" s="44"/>
      <c r="I58" s="44">
        <f t="shared" si="46"/>
        <v>1000</v>
      </c>
      <c r="J58" s="44"/>
      <c r="K58" s="44">
        <f t="shared" si="47"/>
        <v>1000</v>
      </c>
      <c r="L58" s="44"/>
      <c r="M58" s="44">
        <f t="shared" si="48"/>
        <v>1000</v>
      </c>
      <c r="N58" s="44"/>
      <c r="O58" s="44">
        <f t="shared" si="49"/>
        <v>1000</v>
      </c>
      <c r="P58" s="44"/>
      <c r="Q58" s="44">
        <f t="shared" si="50"/>
        <v>1000</v>
      </c>
      <c r="R58" s="44"/>
      <c r="S58" s="44">
        <f t="shared" si="51"/>
        <v>1000</v>
      </c>
      <c r="T58" s="44"/>
      <c r="U58" s="44">
        <f t="shared" si="52"/>
        <v>1000</v>
      </c>
      <c r="V58" s="44"/>
      <c r="W58" s="44">
        <f t="shared" si="53"/>
        <v>1000</v>
      </c>
      <c r="X58" s="44"/>
      <c r="Y58" s="44">
        <f t="shared" si="54"/>
        <v>1000</v>
      </c>
      <c r="Z58" s="44">
        <v>-1000</v>
      </c>
      <c r="AA58" s="44">
        <f t="shared" si="55"/>
        <v>0</v>
      </c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</row>
    <row r="59" spans="1:215" s="20" customFormat="1" ht="22.5">
      <c r="A59" s="61"/>
      <c r="B59" s="34"/>
      <c r="C59" s="53">
        <v>4750</v>
      </c>
      <c r="D59" s="31" t="s">
        <v>197</v>
      </c>
      <c r="E59" s="44">
        <v>0</v>
      </c>
      <c r="F59" s="44">
        <v>1000</v>
      </c>
      <c r="G59" s="44">
        <f t="shared" si="45"/>
        <v>1000</v>
      </c>
      <c r="H59" s="44"/>
      <c r="I59" s="44">
        <f t="shared" si="46"/>
        <v>1000</v>
      </c>
      <c r="J59" s="44"/>
      <c r="K59" s="44">
        <f t="shared" si="47"/>
        <v>1000</v>
      </c>
      <c r="L59" s="44"/>
      <c r="M59" s="44">
        <f t="shared" si="48"/>
        <v>1000</v>
      </c>
      <c r="N59" s="44"/>
      <c r="O59" s="44">
        <f t="shared" si="49"/>
        <v>1000</v>
      </c>
      <c r="P59" s="44"/>
      <c r="Q59" s="44">
        <f t="shared" si="50"/>
        <v>1000</v>
      </c>
      <c r="R59" s="44"/>
      <c r="S59" s="44">
        <f t="shared" si="51"/>
        <v>1000</v>
      </c>
      <c r="T59" s="44"/>
      <c r="U59" s="44">
        <f t="shared" si="52"/>
        <v>1000</v>
      </c>
      <c r="V59" s="44"/>
      <c r="W59" s="44">
        <f t="shared" si="53"/>
        <v>1000</v>
      </c>
      <c r="X59" s="44"/>
      <c r="Y59" s="44">
        <f t="shared" si="54"/>
        <v>1000</v>
      </c>
      <c r="Z59" s="44">
        <v>-1000</v>
      </c>
      <c r="AA59" s="44">
        <f t="shared" si="55"/>
        <v>0</v>
      </c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</row>
    <row r="60" spans="1:215" s="20" customFormat="1" ht="67.5">
      <c r="A60" s="46"/>
      <c r="B60" s="34">
        <v>85213</v>
      </c>
      <c r="C60" s="53"/>
      <c r="D60" s="50" t="s">
        <v>387</v>
      </c>
      <c r="E60" s="59">
        <f aca="true" t="shared" si="56" ref="E60:AA60">SUM(E61)</f>
        <v>59100</v>
      </c>
      <c r="F60" s="59">
        <f t="shared" si="56"/>
        <v>-4100</v>
      </c>
      <c r="G60" s="59">
        <f t="shared" si="56"/>
        <v>55000</v>
      </c>
      <c r="H60" s="59">
        <f t="shared" si="56"/>
        <v>0</v>
      </c>
      <c r="I60" s="59">
        <f t="shared" si="56"/>
        <v>55000</v>
      </c>
      <c r="J60" s="59">
        <f t="shared" si="56"/>
        <v>0</v>
      </c>
      <c r="K60" s="59">
        <f t="shared" si="56"/>
        <v>55000</v>
      </c>
      <c r="L60" s="59">
        <f t="shared" si="56"/>
        <v>0</v>
      </c>
      <c r="M60" s="59">
        <f t="shared" si="56"/>
        <v>55000</v>
      </c>
      <c r="N60" s="59">
        <f t="shared" si="56"/>
        <v>0</v>
      </c>
      <c r="O60" s="59">
        <f t="shared" si="56"/>
        <v>55000</v>
      </c>
      <c r="P60" s="59">
        <f t="shared" si="56"/>
        <v>0</v>
      </c>
      <c r="Q60" s="59">
        <f t="shared" si="56"/>
        <v>55000</v>
      </c>
      <c r="R60" s="59">
        <f t="shared" si="56"/>
        <v>-18550</v>
      </c>
      <c r="S60" s="59">
        <f t="shared" si="56"/>
        <v>36450</v>
      </c>
      <c r="T60" s="59">
        <f t="shared" si="56"/>
        <v>-3945</v>
      </c>
      <c r="U60" s="59">
        <f t="shared" si="56"/>
        <v>32505</v>
      </c>
      <c r="V60" s="59">
        <f t="shared" si="56"/>
        <v>0</v>
      </c>
      <c r="W60" s="59">
        <f t="shared" si="56"/>
        <v>32505</v>
      </c>
      <c r="X60" s="59">
        <f t="shared" si="56"/>
        <v>0</v>
      </c>
      <c r="Y60" s="59">
        <f t="shared" si="56"/>
        <v>32505</v>
      </c>
      <c r="Z60" s="59">
        <f t="shared" si="56"/>
        <v>0</v>
      </c>
      <c r="AA60" s="59">
        <f t="shared" si="56"/>
        <v>32505</v>
      </c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</row>
    <row r="61" spans="1:215" s="20" customFormat="1" ht="21" customHeight="1">
      <c r="A61" s="46"/>
      <c r="B61" s="34"/>
      <c r="C61" s="53">
        <v>4130</v>
      </c>
      <c r="D61" s="50" t="s">
        <v>99</v>
      </c>
      <c r="E61" s="59">
        <v>59100</v>
      </c>
      <c r="F61" s="59">
        <v>-4100</v>
      </c>
      <c r="G61" s="59">
        <f>SUM(E61:F61)</f>
        <v>55000</v>
      </c>
      <c r="H61" s="59"/>
      <c r="I61" s="59">
        <f>SUM(G61:H61)</f>
        <v>55000</v>
      </c>
      <c r="J61" s="59"/>
      <c r="K61" s="59">
        <f>SUM(I61:J61)</f>
        <v>55000</v>
      </c>
      <c r="L61" s="59"/>
      <c r="M61" s="59">
        <f>SUM(K61:L61)</f>
        <v>55000</v>
      </c>
      <c r="N61" s="59"/>
      <c r="O61" s="59">
        <f>SUM(M61:N61)</f>
        <v>55000</v>
      </c>
      <c r="P61" s="59"/>
      <c r="Q61" s="59">
        <f>SUM(O61:P61)</f>
        <v>55000</v>
      </c>
      <c r="R61" s="59">
        <v>-18550</v>
      </c>
      <c r="S61" s="59">
        <f>SUM(Q61:R61)</f>
        <v>36450</v>
      </c>
      <c r="T61" s="59">
        <v>-3945</v>
      </c>
      <c r="U61" s="59">
        <f>SUM(S61:T61)</f>
        <v>32505</v>
      </c>
      <c r="V61" s="59"/>
      <c r="W61" s="59">
        <f>SUM(U61:V61)</f>
        <v>32505</v>
      </c>
      <c r="X61" s="59"/>
      <c r="Y61" s="59">
        <f>SUM(W61:X61)</f>
        <v>32505</v>
      </c>
      <c r="Z61" s="59"/>
      <c r="AA61" s="59">
        <f>SUM(Y61:Z61)</f>
        <v>32505</v>
      </c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</row>
    <row r="62" spans="1:215" s="164" customFormat="1" ht="22.5">
      <c r="A62" s="41"/>
      <c r="B62" s="41">
        <v>85214</v>
      </c>
      <c r="C62" s="42"/>
      <c r="D62" s="40" t="s">
        <v>168</v>
      </c>
      <c r="E62" s="60">
        <f aca="true" t="shared" si="57" ref="E62:Q62">SUM(E63:E64)</f>
        <v>468000</v>
      </c>
      <c r="F62" s="60">
        <f t="shared" si="57"/>
        <v>50700</v>
      </c>
      <c r="G62" s="60">
        <f t="shared" si="57"/>
        <v>518700</v>
      </c>
      <c r="H62" s="60">
        <f t="shared" si="57"/>
        <v>0</v>
      </c>
      <c r="I62" s="60">
        <f t="shared" si="57"/>
        <v>518700</v>
      </c>
      <c r="J62" s="60">
        <f t="shared" si="57"/>
        <v>0</v>
      </c>
      <c r="K62" s="60">
        <f t="shared" si="57"/>
        <v>518700</v>
      </c>
      <c r="L62" s="60">
        <f t="shared" si="57"/>
        <v>0</v>
      </c>
      <c r="M62" s="60">
        <f t="shared" si="57"/>
        <v>518700</v>
      </c>
      <c r="N62" s="60">
        <f t="shared" si="57"/>
        <v>0</v>
      </c>
      <c r="O62" s="60">
        <f t="shared" si="57"/>
        <v>518700</v>
      </c>
      <c r="P62" s="60">
        <f t="shared" si="57"/>
        <v>0</v>
      </c>
      <c r="Q62" s="60">
        <f t="shared" si="57"/>
        <v>518700</v>
      </c>
      <c r="R62" s="60">
        <f aca="true" t="shared" si="58" ref="R62:W62">SUM(R63:R64)</f>
        <v>-273035</v>
      </c>
      <c r="S62" s="60">
        <f t="shared" si="58"/>
        <v>245665</v>
      </c>
      <c r="T62" s="60">
        <f t="shared" si="58"/>
        <v>0</v>
      </c>
      <c r="U62" s="60">
        <f t="shared" si="58"/>
        <v>245665</v>
      </c>
      <c r="V62" s="60">
        <f t="shared" si="58"/>
        <v>0</v>
      </c>
      <c r="W62" s="60">
        <f t="shared" si="58"/>
        <v>245665</v>
      </c>
      <c r="X62" s="60">
        <f>SUM(X63:X64)</f>
        <v>0</v>
      </c>
      <c r="Y62" s="60">
        <f>SUM(Y63:Y64)</f>
        <v>245665</v>
      </c>
      <c r="Z62" s="60">
        <f>SUM(Z63:Z64)</f>
        <v>0</v>
      </c>
      <c r="AA62" s="60">
        <f>SUM(AA63:AA64)</f>
        <v>245665</v>
      </c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</row>
    <row r="63" spans="1:215" s="164" customFormat="1" ht="21" customHeight="1">
      <c r="A63" s="41"/>
      <c r="B63" s="58"/>
      <c r="C63" s="42">
        <v>3110</v>
      </c>
      <c r="D63" s="40" t="s">
        <v>97</v>
      </c>
      <c r="E63" s="60">
        <v>466900</v>
      </c>
      <c r="F63" s="60">
        <v>50700</v>
      </c>
      <c r="G63" s="60">
        <f>SUM(E63:F63)</f>
        <v>517600</v>
      </c>
      <c r="H63" s="60"/>
      <c r="I63" s="60">
        <f>SUM(G63:H63)</f>
        <v>517600</v>
      </c>
      <c r="J63" s="60"/>
      <c r="K63" s="60">
        <f>SUM(I63:J63)</f>
        <v>517600</v>
      </c>
      <c r="L63" s="60"/>
      <c r="M63" s="60">
        <f>SUM(K63:L63)</f>
        <v>517600</v>
      </c>
      <c r="N63" s="60"/>
      <c r="O63" s="60">
        <f>SUM(M63:N63)</f>
        <v>517600</v>
      </c>
      <c r="P63" s="60"/>
      <c r="Q63" s="60">
        <f>SUM(O63:P63)</f>
        <v>517600</v>
      </c>
      <c r="R63" s="60">
        <v>-273035</v>
      </c>
      <c r="S63" s="60">
        <f>SUM(Q63:R63)</f>
        <v>244565</v>
      </c>
      <c r="T63" s="60"/>
      <c r="U63" s="60">
        <f>SUM(S63:T63)</f>
        <v>244565</v>
      </c>
      <c r="V63" s="60">
        <v>473</v>
      </c>
      <c r="W63" s="60">
        <f>SUM(U63:V63)</f>
        <v>245038</v>
      </c>
      <c r="X63" s="60"/>
      <c r="Y63" s="60">
        <f>SUM(W63:X63)</f>
        <v>245038</v>
      </c>
      <c r="Z63" s="60"/>
      <c r="AA63" s="60">
        <f>SUM(Y63:Z63)</f>
        <v>245038</v>
      </c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</row>
    <row r="64" spans="1:215" s="164" customFormat="1" ht="21" customHeight="1">
      <c r="A64" s="41"/>
      <c r="B64" s="58"/>
      <c r="C64" s="58">
        <v>4110</v>
      </c>
      <c r="D64" s="12" t="s">
        <v>81</v>
      </c>
      <c r="E64" s="60">
        <v>1100</v>
      </c>
      <c r="F64" s="60"/>
      <c r="G64" s="60">
        <f>SUM(E64:F64)</f>
        <v>1100</v>
      </c>
      <c r="H64" s="60"/>
      <c r="I64" s="60">
        <f>SUM(G64:H64)</f>
        <v>1100</v>
      </c>
      <c r="J64" s="60"/>
      <c r="K64" s="60">
        <f>SUM(I64:J64)</f>
        <v>1100</v>
      </c>
      <c r="L64" s="60"/>
      <c r="M64" s="60">
        <f>SUM(K64:L64)</f>
        <v>1100</v>
      </c>
      <c r="N64" s="60"/>
      <c r="O64" s="60">
        <f>SUM(M64:N64)</f>
        <v>1100</v>
      </c>
      <c r="P64" s="60"/>
      <c r="Q64" s="60">
        <f>SUM(O64:P64)</f>
        <v>1100</v>
      </c>
      <c r="R64" s="60"/>
      <c r="S64" s="60">
        <f>SUM(Q64:R64)</f>
        <v>1100</v>
      </c>
      <c r="T64" s="60"/>
      <c r="U64" s="60">
        <f>SUM(S64:T64)</f>
        <v>1100</v>
      </c>
      <c r="V64" s="60">
        <v>-473</v>
      </c>
      <c r="W64" s="60">
        <f>SUM(U64:V64)</f>
        <v>627</v>
      </c>
      <c r="X64" s="60"/>
      <c r="Y64" s="60">
        <f>SUM(W64:X64)</f>
        <v>627</v>
      </c>
      <c r="Z64" s="60"/>
      <c r="AA64" s="60">
        <f>SUM(Y64:Z64)</f>
        <v>627</v>
      </c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</row>
    <row r="65" spans="1:215" ht="21" customHeight="1">
      <c r="A65" s="8"/>
      <c r="B65" s="8"/>
      <c r="C65" s="8"/>
      <c r="D65" s="16" t="s">
        <v>66</v>
      </c>
      <c r="E65" s="33">
        <f>SUM(E46,E24,E17,)</f>
        <v>7166710</v>
      </c>
      <c r="F65" s="33">
        <f>SUM(F46,F24,F17,)</f>
        <v>380900</v>
      </c>
      <c r="G65" s="33">
        <f>SUM(G46,G24,G17,)</f>
        <v>7547610</v>
      </c>
      <c r="H65" s="33">
        <f>SUM(H46,H24,H17,)</f>
        <v>19932</v>
      </c>
      <c r="I65" s="33">
        <f aca="true" t="shared" si="59" ref="I65:N65">SUM(I46,I24,I17,I7)</f>
        <v>7567542</v>
      </c>
      <c r="J65" s="33">
        <f t="shared" si="59"/>
        <v>286502</v>
      </c>
      <c r="K65" s="33">
        <f t="shared" si="59"/>
        <v>7854044</v>
      </c>
      <c r="L65" s="33">
        <f t="shared" si="59"/>
        <v>0</v>
      </c>
      <c r="M65" s="33">
        <f t="shared" si="59"/>
        <v>7854044</v>
      </c>
      <c r="N65" s="33">
        <f t="shared" si="59"/>
        <v>21240</v>
      </c>
      <c r="O65" s="33">
        <f aca="true" t="shared" si="60" ref="O65:U65">SUM(O46,O43,O24,O17,O7)</f>
        <v>7875284</v>
      </c>
      <c r="P65" s="33">
        <f t="shared" si="60"/>
        <v>44050</v>
      </c>
      <c r="Q65" s="33">
        <f t="shared" si="60"/>
        <v>7919334</v>
      </c>
      <c r="R65" s="33">
        <f t="shared" si="60"/>
        <v>-291585</v>
      </c>
      <c r="S65" s="33">
        <f t="shared" si="60"/>
        <v>7627749</v>
      </c>
      <c r="T65" s="33">
        <f t="shared" si="60"/>
        <v>-767244</v>
      </c>
      <c r="U65" s="33">
        <f t="shared" si="60"/>
        <v>6860505</v>
      </c>
      <c r="V65" s="33">
        <f aca="true" t="shared" si="61" ref="V65:AA65">SUM(V46,V43,V24,V17,V7)</f>
        <v>-170053</v>
      </c>
      <c r="W65" s="33">
        <f t="shared" si="61"/>
        <v>6690452</v>
      </c>
      <c r="X65" s="33">
        <f t="shared" si="61"/>
        <v>288824</v>
      </c>
      <c r="Y65" s="33">
        <f t="shared" si="61"/>
        <v>6979276</v>
      </c>
      <c r="Z65" s="33">
        <f t="shared" si="61"/>
        <v>134970</v>
      </c>
      <c r="AA65" s="33">
        <f t="shared" si="61"/>
        <v>7114246</v>
      </c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5"/>
      <c r="DH65" s="165"/>
      <c r="DI65" s="165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  <c r="DT65" s="165"/>
      <c r="DU65" s="165"/>
      <c r="DV65" s="165"/>
      <c r="DW65" s="165"/>
      <c r="DX65" s="165"/>
      <c r="DY65" s="165"/>
      <c r="DZ65" s="165"/>
      <c r="EA65" s="165"/>
      <c r="EB65" s="165"/>
      <c r="EC65" s="165"/>
      <c r="ED65" s="165"/>
      <c r="EE65" s="165"/>
      <c r="EF65" s="165"/>
      <c r="EG65" s="165"/>
      <c r="EH65" s="165"/>
      <c r="EI65" s="165"/>
      <c r="EJ65" s="165"/>
      <c r="EK65" s="165"/>
      <c r="EL65" s="165"/>
      <c r="EM65" s="165"/>
      <c r="EN65" s="165"/>
      <c r="EO65" s="165"/>
      <c r="EP65" s="165"/>
      <c r="EQ65" s="165"/>
      <c r="ER65" s="165"/>
      <c r="ES65" s="165"/>
      <c r="ET65" s="165"/>
      <c r="EU65" s="165"/>
      <c r="EV65" s="165"/>
      <c r="EW65" s="165"/>
      <c r="EX65" s="165"/>
      <c r="EY65" s="165"/>
      <c r="EZ65" s="165"/>
      <c r="FA65" s="165"/>
      <c r="FB65" s="165"/>
      <c r="FC65" s="165"/>
      <c r="FD65" s="165"/>
      <c r="FE65" s="165"/>
      <c r="FF65" s="165"/>
      <c r="FG65" s="165"/>
      <c r="FH65" s="165"/>
      <c r="FI65" s="165"/>
      <c r="FJ65" s="165"/>
      <c r="FK65" s="165"/>
      <c r="FL65" s="165"/>
      <c r="FM65" s="165"/>
      <c r="FN65" s="165"/>
      <c r="FO65" s="165"/>
      <c r="FP65" s="165"/>
      <c r="FQ65" s="165"/>
      <c r="FR65" s="165"/>
      <c r="FS65" s="165"/>
      <c r="FT65" s="165"/>
      <c r="FU65" s="165"/>
      <c r="FV65" s="165"/>
      <c r="FW65" s="165"/>
      <c r="FX65" s="165"/>
      <c r="FY65" s="165"/>
      <c r="FZ65" s="165"/>
      <c r="GA65" s="165"/>
      <c r="GB65" s="165"/>
      <c r="GC65" s="165"/>
      <c r="GD65" s="165"/>
      <c r="GE65" s="165"/>
      <c r="GF65" s="165"/>
      <c r="GG65" s="165"/>
      <c r="GH65" s="165"/>
      <c r="GI65" s="165"/>
      <c r="GJ65" s="165"/>
      <c r="GK65" s="165"/>
      <c r="GL65" s="165"/>
      <c r="GM65" s="165"/>
      <c r="GN65" s="165"/>
      <c r="GO65" s="165"/>
      <c r="GP65" s="165"/>
      <c r="GQ65" s="165"/>
      <c r="GR65" s="165"/>
      <c r="GS65" s="165"/>
      <c r="GT65" s="165"/>
      <c r="GU65" s="165"/>
      <c r="GV65" s="165"/>
      <c r="GW65" s="165"/>
      <c r="GX65" s="165"/>
      <c r="GY65" s="165"/>
      <c r="GZ65" s="165"/>
      <c r="HA65" s="165"/>
      <c r="HB65" s="165"/>
      <c r="HC65" s="165"/>
      <c r="HD65" s="165"/>
      <c r="HE65" s="165"/>
      <c r="HF65" s="165"/>
      <c r="HG65" s="165"/>
    </row>
    <row r="67" spans="5:27" ht="12.75"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5:27" ht="12.75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</row>
    <row r="69" spans="5:27" ht="12.75"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spans="5:27" ht="12.75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</row>
    <row r="71" spans="5:27" ht="12.75"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spans="5:27" ht="12.75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</row>
    <row r="73" spans="5:27" ht="12.75"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spans="5:27" ht="12.75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</row>
    <row r="75" spans="5:27" ht="12.75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</row>
    <row r="76" spans="5:27" ht="12.75"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spans="5:27" ht="12.75"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5:27" ht="12.75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</row>
    <row r="79" spans="5:27" ht="12.75"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spans="5:27" ht="12.75"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5:27" ht="12.75"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5:27" ht="12.75"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spans="5:27" ht="12.75"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</sheetData>
  <sheetProtection/>
  <mergeCells count="1">
    <mergeCell ref="A5:AA5"/>
  </mergeCells>
  <printOptions/>
  <pageMargins left="0.31496062992125984" right="0.3937007874015748" top="0.7480314960629921" bottom="0.7480314960629921" header="0.31496062992125984" footer="0.31496062992125984"/>
  <pageSetup horizontalDpi="150" verticalDpi="15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2010-01-05T11:08:50Z</cp:lastPrinted>
  <dcterms:created xsi:type="dcterms:W3CDTF">2002-10-21T08:56:44Z</dcterms:created>
  <dcterms:modified xsi:type="dcterms:W3CDTF">2010-01-06T12:49:04Z</dcterms:modified>
  <cp:category/>
  <cp:version/>
  <cp:contentType/>
  <cp:contentStatus/>
</cp:coreProperties>
</file>