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06" activeTab="0"/>
  </bookViews>
  <sheets>
    <sheet name="dochody 2009 zał.1" sheetId="1" r:id="rId1"/>
    <sheet name="wydatki 2009 zał.2" sheetId="2" r:id="rId2"/>
    <sheet name="dot. otrzym.2007 zał.3" sheetId="3" r:id="rId3"/>
    <sheet name="admin.zał 4" sheetId="4" r:id="rId4"/>
  </sheets>
  <definedNames>
    <definedName name="_xlnm.Print_Titles" localSheetId="3">'admin.zał 4'!$6:$6</definedName>
    <definedName name="_xlnm.Print_Titles" localSheetId="0">'dochody 2009 zał.1'!$6:$6</definedName>
    <definedName name="_xlnm.Print_Titles" localSheetId="2">'dot. otrzym.2007 zał.3'!$6:$6</definedName>
    <definedName name="_xlnm.Print_Titles" localSheetId="1">'wydatki 2009 zał.2'!$6:$6</definedName>
  </definedNames>
  <calcPr fullCalcOnLoad="1"/>
</workbook>
</file>

<file path=xl/comments2.xml><?xml version="1.0" encoding="utf-8"?>
<comments xmlns="http://schemas.openxmlformats.org/spreadsheetml/2006/main">
  <authors>
    <author>izawalniak</author>
  </authors>
  <commentList>
    <comment ref="E1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57.205 wyd. soł.
</t>
        </r>
      </text>
    </comment>
    <comment ref="E2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21.800 wyd.soł.</t>
        </r>
      </text>
    </comment>
    <comment ref="E4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500 wyd. soł.
</t>
        </r>
      </text>
    </comment>
    <comment ref="E42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80 zł wyd. soł.
</t>
        </r>
      </text>
    </comment>
    <comment ref="E4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500 wyd.soł.</t>
        </r>
      </text>
    </comment>
    <comment ref="E122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22.980 wyd.soł.
</t>
        </r>
      </text>
    </comment>
    <comment ref="E12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5.500 zł wyd. soł.
</t>
        </r>
      </text>
    </comment>
    <comment ref="E15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9.000 zł wyd. soł.
</t>
        </r>
      </text>
    </comment>
    <comment ref="E205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6.800 zł wyd. soł.
</t>
        </r>
      </text>
    </comment>
    <comment ref="E207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500 zł wyd. soł. </t>
        </r>
      </text>
    </comment>
    <comment ref="E23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1.700 zł wyd. soł. </t>
        </r>
      </text>
    </comment>
    <comment ref="E24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500 zł wyd. soł.</t>
        </r>
      </text>
    </comment>
    <comment ref="E25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1.000 zł wyd. soł.</t>
        </r>
      </text>
    </comment>
    <comment ref="E307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1.200 wyd. soł. Świetlica środowiskowa</t>
        </r>
      </text>
    </comment>
    <comment ref="E38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2.390 zł wyd. soł.
</t>
        </r>
      </text>
    </comment>
    <comment ref="E38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7.500 zł wyd. soł.
</t>
        </r>
      </text>
    </comment>
    <comment ref="E40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2.240 wyd. soł.
</t>
        </r>
      </text>
    </comment>
    <comment ref="E41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26.220 zł wyd. soł.
</t>
        </r>
      </text>
    </comment>
    <comment ref="E412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6.200 zł wyd. soł.</t>
        </r>
      </text>
    </comment>
    <comment ref="E41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3.000 zł wyd. soł.</t>
        </r>
      </text>
    </comment>
    <comment ref="E42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33.580 zł wyd. soł.
</t>
        </r>
      </text>
    </comment>
    <comment ref="E42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12.650 zł wyd. soł.</t>
        </r>
      </text>
    </comment>
    <comment ref="E43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56.770 zł wyd. soł.</t>
        </r>
      </text>
    </comment>
    <comment ref="E43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8.340 zł wyd. soł.</t>
        </r>
      </text>
    </comment>
    <comment ref="E432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1.635 wyd. soł.
</t>
        </r>
      </text>
    </comment>
    <comment ref="E456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9.590 zł wyd. soł.</t>
        </r>
      </text>
    </comment>
    <comment ref="E457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1.100 zł wyd. soł.</t>
        </r>
      </text>
    </comment>
    <comment ref="E45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4.600 zł wyd. soł.</t>
        </r>
      </text>
    </comment>
    <comment ref="F1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57.205 wyd. soł.
</t>
        </r>
      </text>
    </comment>
    <comment ref="F2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21.800 wyd.soł.</t>
        </r>
      </text>
    </comment>
    <comment ref="F4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500 wyd. soł.
</t>
        </r>
      </text>
    </comment>
    <comment ref="F42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80 zł wyd. soł.
</t>
        </r>
      </text>
    </comment>
    <comment ref="F4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500 wyd.soł.</t>
        </r>
      </text>
    </comment>
    <comment ref="F122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22.980 wyd.soł.
</t>
        </r>
      </text>
    </comment>
    <comment ref="F12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5.500 zł wyd. soł.
</t>
        </r>
      </text>
    </comment>
    <comment ref="F15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9.000 zł wyd. soł.
</t>
        </r>
      </text>
    </comment>
    <comment ref="F205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6.800 zł wyd. soł.
</t>
        </r>
      </text>
    </comment>
    <comment ref="F207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500 zł wyd. soł. </t>
        </r>
      </text>
    </comment>
    <comment ref="F23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1.700 zł wyd. soł. </t>
        </r>
      </text>
    </comment>
    <comment ref="F24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500 zł wyd. soł.</t>
        </r>
      </text>
    </comment>
    <comment ref="F25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1.000 zł wyd. soł.</t>
        </r>
      </text>
    </comment>
    <comment ref="F307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1.200 wyd. soł. Świetlica środowiskowa</t>
        </r>
      </text>
    </comment>
    <comment ref="F38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2.390 zł wyd. soł.
</t>
        </r>
      </text>
    </comment>
    <comment ref="F389" authorId="0">
      <text>
        <r>
          <rPr>
            <b/>
            <sz val="8"/>
            <rFont val="Tahoma"/>
            <family val="0"/>
          </rPr>
          <t xml:space="preserve">izawalniak: 30.000 place zabaw
</t>
        </r>
        <r>
          <rPr>
            <sz val="8"/>
            <rFont val="Tahoma"/>
            <family val="0"/>
          </rPr>
          <t xml:space="preserve">
</t>
        </r>
      </text>
    </comment>
    <comment ref="F40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2.240 wyd. soł.
</t>
        </r>
      </text>
    </comment>
    <comment ref="F41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26.220 zł wyd. soł.
</t>
        </r>
      </text>
    </comment>
    <comment ref="F412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6.200 zł wyd. soł.</t>
        </r>
      </text>
    </comment>
    <comment ref="F41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3.000 zł wyd. soł.</t>
        </r>
      </text>
    </comment>
    <comment ref="F42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33.580 zł wyd. soł.
</t>
        </r>
      </text>
    </comment>
    <comment ref="F42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12.650 zł wyd. soł.</t>
        </r>
      </text>
    </comment>
    <comment ref="F43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56.770 zł wyd. soł.</t>
        </r>
      </text>
    </comment>
    <comment ref="F43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8.340 zł wyd. soł.</t>
        </r>
      </text>
    </comment>
    <comment ref="F432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1.635 wyd. soł.
</t>
        </r>
      </text>
    </comment>
    <comment ref="F456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9.590 zł wyd. soł.</t>
        </r>
      </text>
    </comment>
    <comment ref="F457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1.100 zł wyd. soł.</t>
        </r>
      </text>
    </comment>
    <comment ref="F45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4.600 zł wyd. soł.</t>
        </r>
      </text>
    </comment>
    <comment ref="G1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57.205 wyd. soł.
</t>
        </r>
      </text>
    </comment>
    <comment ref="G2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21.800 wyd.soł.</t>
        </r>
      </text>
    </comment>
    <comment ref="G4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500 wyd. soł.
</t>
        </r>
      </text>
    </comment>
    <comment ref="G42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80 zł wyd. soł.
</t>
        </r>
      </text>
    </comment>
    <comment ref="G4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500 wyd.soł.</t>
        </r>
      </text>
    </comment>
    <comment ref="G122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22.980 wyd.soł.
</t>
        </r>
      </text>
    </comment>
    <comment ref="G123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5.500 zł wyd. soł.
</t>
        </r>
      </text>
    </comment>
    <comment ref="G15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9.000 zł wyd. soł.
</t>
        </r>
      </text>
    </comment>
    <comment ref="G205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6.800 zł wyd. soł.
</t>
        </r>
      </text>
    </comment>
    <comment ref="G207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500 zł wyd. soł. </t>
        </r>
      </text>
    </comment>
    <comment ref="G23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1.700 zł wyd. soł. </t>
        </r>
      </text>
    </comment>
    <comment ref="G24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500 zł wyd. soł.</t>
        </r>
      </text>
    </comment>
    <comment ref="G25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1.000 zł wyd. soł.</t>
        </r>
      </text>
    </comment>
    <comment ref="G307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1.200 wyd. soł. Świetlica środowiskowa</t>
        </r>
      </text>
    </comment>
    <comment ref="G38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2.390 zł wyd. soł.
</t>
        </r>
      </text>
    </comment>
    <comment ref="G38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7.500 zł wyd. soł.
</t>
        </r>
      </text>
    </comment>
    <comment ref="G40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2.240 wyd. soł.
</t>
        </r>
      </text>
    </comment>
    <comment ref="G41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26.220 zł wyd. soł.
</t>
        </r>
      </text>
    </comment>
    <comment ref="G412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6.200 zł wyd. soł.</t>
        </r>
      </text>
    </comment>
    <comment ref="G41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3.000 zł wyd. soł.</t>
        </r>
      </text>
    </comment>
    <comment ref="G42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33.580 zł wyd. soł.
</t>
        </r>
      </text>
    </comment>
    <comment ref="G429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12.650 zł wyd. soł.</t>
        </r>
      </text>
    </comment>
    <comment ref="G430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56.770 zł wyd. soł.</t>
        </r>
      </text>
    </comment>
    <comment ref="G431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8.340 zł wyd. soł.</t>
        </r>
      </text>
    </comment>
    <comment ref="G432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1.635 wyd. soł.
</t>
        </r>
      </text>
    </comment>
    <comment ref="G456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9.590 zł wyd. soł.</t>
        </r>
      </text>
    </comment>
    <comment ref="G457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1.100 zł wyd. soł.</t>
        </r>
      </text>
    </comment>
    <comment ref="G458" authorId="0">
      <text>
        <r>
          <rPr>
            <b/>
            <sz val="8"/>
            <rFont val="Tahoma"/>
            <family val="0"/>
          </rPr>
          <t>izawalniak:</t>
        </r>
        <r>
          <rPr>
            <sz val="8"/>
            <rFont val="Tahoma"/>
            <family val="0"/>
          </rPr>
          <t xml:space="preserve">
4.600 zł wyd. soł.</t>
        </r>
      </text>
    </comment>
    <comment ref="F301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70.000 przeniesiono do rezerwy b.
</t>
        </r>
      </text>
    </comment>
    <comment ref="F306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5000 z org. FAS do dot.na wypoczynke do rezerw b.
</t>
        </r>
      </text>
    </comment>
    <comment ref="F387" authorId="0">
      <text>
        <r>
          <rPr>
            <b/>
            <sz val="8"/>
            <rFont val="Tahoma"/>
            <family val="2"/>
          </rPr>
          <t>izawalniak:</t>
        </r>
        <r>
          <rPr>
            <sz val="8"/>
            <rFont val="Tahoma"/>
            <family val="2"/>
          </rPr>
          <t xml:space="preserve">
65.000 do rezerw b. </t>
        </r>
      </text>
    </comment>
  </commentList>
</comments>
</file>

<file path=xl/sharedStrings.xml><?xml version="1.0" encoding="utf-8"?>
<sst xmlns="http://schemas.openxmlformats.org/spreadsheetml/2006/main" count="941" uniqueCount="339">
  <si>
    <t>dział</t>
  </si>
  <si>
    <t>rozdział</t>
  </si>
  <si>
    <t>§</t>
  </si>
  <si>
    <t>nazwa</t>
  </si>
  <si>
    <t>010</t>
  </si>
  <si>
    <t>Rolnictwo i łowiectwo</t>
  </si>
  <si>
    <t>pozostała działalność</t>
  </si>
  <si>
    <t>wpływy z innych lokalnych opłat pobieranych przez jednostki samorządu terytorialnego na podstawie odrębnych ustaw</t>
  </si>
  <si>
    <t>700</t>
  </si>
  <si>
    <t>Gospodarka mieszkaniowa</t>
  </si>
  <si>
    <t>70005</t>
  </si>
  <si>
    <t>pozostałe odsetki</t>
  </si>
  <si>
    <t>wpływy z różnych dochodów</t>
  </si>
  <si>
    <t>710</t>
  </si>
  <si>
    <t>cmentarze</t>
  </si>
  <si>
    <t>750</t>
  </si>
  <si>
    <t xml:space="preserve">Administracja publiczna </t>
  </si>
  <si>
    <t>urzędy wojewódzkie</t>
  </si>
  <si>
    <t>75023</t>
  </si>
  <si>
    <t>urzędy gmin (miast i miast na prawach powiatu)</t>
  </si>
  <si>
    <t xml:space="preserve">Urzędy naczelnych organów władzy państwowej, kontroli i ochrony prawa oraz sądownictwa </t>
  </si>
  <si>
    <t>urzędy naczelnych organów władzy państwowej, kontroli i ochrony prawa</t>
  </si>
  <si>
    <t>754</t>
  </si>
  <si>
    <t>Bezpieczeństwo publiczne i ochrona przeciwpożarowa</t>
  </si>
  <si>
    <t>75416</t>
  </si>
  <si>
    <t>straż miejska</t>
  </si>
  <si>
    <t xml:space="preserve">grzywny, mandaty i inne kary pieniężne od ludności </t>
  </si>
  <si>
    <t>756</t>
  </si>
  <si>
    <t xml:space="preserve">wpływy z podatku dochodowego od osób fizycznych </t>
  </si>
  <si>
    <t>podatek od działalności gospodarczej osób fizycznych, opłacany w formie karty podatkowej</t>
  </si>
  <si>
    <t>75615</t>
  </si>
  <si>
    <t>podatek od nieruchomości</t>
  </si>
  <si>
    <t>podatek rolny</t>
  </si>
  <si>
    <t>podatek leśny</t>
  </si>
  <si>
    <t>podatek od środków transportowych</t>
  </si>
  <si>
    <t>wpływy z opłaty eksploatacyjnej</t>
  </si>
  <si>
    <t>odsetki z tytułu nieterminowych wpłat z tytułu podatków i opłat</t>
  </si>
  <si>
    <t>wpływy z opłaty targowej</t>
  </si>
  <si>
    <t>podatek od czynności cywilnoprawnych</t>
  </si>
  <si>
    <t>75618</t>
  </si>
  <si>
    <t>wpływy z innych opłat stanowiących dochody jednostek samorządu terytorialnego na podstawie ustaw</t>
  </si>
  <si>
    <t>wpływy z opłaty skarbowej</t>
  </si>
  <si>
    <t>75621</t>
  </si>
  <si>
    <t>udziały gmin w podatkach stanowiących dochód budżetu państwa</t>
  </si>
  <si>
    <t>podatek dochodowy od osób fizycznych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</si>
  <si>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</si>
  <si>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</si>
  <si>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</si>
  <si>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</si>
  <si>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</si>
  <si>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subwencje ogólne z budżetu państwa</t>
  </si>
  <si>
    <t>różne rozliczenia finansowe</t>
  </si>
  <si>
    <t>szkoły podstawowe</t>
  </si>
  <si>
    <t>gimnazja</t>
  </si>
  <si>
    <t>Ochrona zdrowia</t>
  </si>
  <si>
    <t>przeciwdziałanie alkoholizmowi</t>
  </si>
  <si>
    <t>dochody z najmu i dzierżawy składników majątkowych Skarbu Państwa, jednostek samorządu terytorialnego lub  innych jednostek zaliczanych do sektora finansów publicznych oraz innych umów o podobnym charakterze</t>
  </si>
  <si>
    <t xml:space="preserve">zasiłki i pomoc w naturze oraz składki na ubezpieczenia społeczne </t>
  </si>
  <si>
    <t>dodatki mieszkaniowe</t>
  </si>
  <si>
    <t>ośrodki pomocy społecznej</t>
  </si>
  <si>
    <t>Edukacyjna opieka wychowawcza</t>
  </si>
  <si>
    <t>świetlice szkolne</t>
  </si>
  <si>
    <t>Gospodarka komunalna i ochrona środowiska</t>
  </si>
  <si>
    <t>gospodarka ściekowa i ochrona wód</t>
  </si>
  <si>
    <t>921</t>
  </si>
  <si>
    <t>92116</t>
  </si>
  <si>
    <t>biblioteki</t>
  </si>
  <si>
    <t>Kultura fizyczna i sport</t>
  </si>
  <si>
    <t>zadania w zakresie kultury fizycznej i sportu</t>
  </si>
  <si>
    <t>razem</t>
  </si>
  <si>
    <t xml:space="preserve">Kultura i ochrona dziedzictwa narodowego </t>
  </si>
  <si>
    <t>01030</t>
  </si>
  <si>
    <t>izby rolnicze</t>
  </si>
  <si>
    <t>wpłaty gmin na rzecz izb rolniczych w wysokości 2% uzyskanych wpływów z podatku rolnego</t>
  </si>
  <si>
    <t>zakup materiałów i wyposażenia</t>
  </si>
  <si>
    <t>wydatki inwestycyjne jednostek budżetowych</t>
  </si>
  <si>
    <t>600</t>
  </si>
  <si>
    <t>Transport i łączność</t>
  </si>
  <si>
    <t>60016</t>
  </si>
  <si>
    <t>drogi publiczne gminne</t>
  </si>
  <si>
    <t>zakup usług remontowych</t>
  </si>
  <si>
    <t>zakup usług pozostałych</t>
  </si>
  <si>
    <t>Działalność usługowa</t>
  </si>
  <si>
    <t>71004</t>
  </si>
  <si>
    <t>plany zagospodarowania przestrzennego</t>
  </si>
  <si>
    <t>Administracja publiczna</t>
  </si>
  <si>
    <t>wynagrodzenia osobowe pracowników</t>
  </si>
  <si>
    <t>dodatkowe wynagrodzenie roczne</t>
  </si>
  <si>
    <t>składki na ubezpieczenia społeczne</t>
  </si>
  <si>
    <t>składki na Fundusz Pracy</t>
  </si>
  <si>
    <t>odpisy na zakładowy fundusz świadczeń socjalnych</t>
  </si>
  <si>
    <t>różne wydatki na rzecz osób fizycznych</t>
  </si>
  <si>
    <t>podróże służbowe krajowe</t>
  </si>
  <si>
    <t>75022</t>
  </si>
  <si>
    <t xml:space="preserve">zakup materiałów i wyposażenia </t>
  </si>
  <si>
    <t>podróże służbowe zagraniczne</t>
  </si>
  <si>
    <t>różne opłaty i składki</t>
  </si>
  <si>
    <t>zakup energii</t>
  </si>
  <si>
    <t>wydatki na zakupy inwestycyjne jednostek budżetowych</t>
  </si>
  <si>
    <t>wynagrodzenia agencyjno-prowizyjne</t>
  </si>
  <si>
    <t>Urzędy naczelnych organów władzy państwowej, kontroli i ochrony prawa oraz sądownictwa</t>
  </si>
  <si>
    <t>75412</t>
  </si>
  <si>
    <t>ochotnicze straże pożarne</t>
  </si>
  <si>
    <t>75495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</si>
  <si>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</si>
  <si>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</si>
  <si>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</si>
  <si>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</si>
  <si>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</si>
  <si>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</si>
  <si>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 xml:space="preserve">rezerwy </t>
  </si>
  <si>
    <t>801</t>
  </si>
  <si>
    <t>Oświata i wychowanie</t>
  </si>
  <si>
    <t>80101</t>
  </si>
  <si>
    <t>świadczenia społeczne</t>
  </si>
  <si>
    <t>80104</t>
  </si>
  <si>
    <t>odpisy na zakłdowy fundusz świadczeń socjalnych</t>
  </si>
  <si>
    <t xml:space="preserve">80110 </t>
  </si>
  <si>
    <t>80113</t>
  </si>
  <si>
    <t>dowożenie uczniów do szkół</t>
  </si>
  <si>
    <t>851</t>
  </si>
  <si>
    <t>85154</t>
  </si>
  <si>
    <t>składki na ubezpieczenia zdrowotne</t>
  </si>
  <si>
    <t>usługi opiekuńcze i specjalistyczne usługi opiekuńcze</t>
  </si>
  <si>
    <t>854</t>
  </si>
  <si>
    <t>zakup pomocy naukowych, dydaktycznych i książek</t>
  </si>
  <si>
    <t xml:space="preserve">przedszkola </t>
  </si>
  <si>
    <t xml:space="preserve">dotacja podmiotowa z budżetu dla zakładu budżetowego </t>
  </si>
  <si>
    <t>85412</t>
  </si>
  <si>
    <t>900</t>
  </si>
  <si>
    <t>90001</t>
  </si>
  <si>
    <t>90003</t>
  </si>
  <si>
    <t>oczyszczanie miast i wsi</t>
  </si>
  <si>
    <t>90004</t>
  </si>
  <si>
    <t>90013</t>
  </si>
  <si>
    <t>schroniska dla zwierząt</t>
  </si>
  <si>
    <t>90015</t>
  </si>
  <si>
    <t>oświetlenie ulic, placów i dróg</t>
  </si>
  <si>
    <t>90095</t>
  </si>
  <si>
    <t>Kultura i ochrona dziedzictwa narodowego</t>
  </si>
  <si>
    <t>92109</t>
  </si>
  <si>
    <t>92118</t>
  </si>
  <si>
    <t>muzea</t>
  </si>
  <si>
    <t>926</t>
  </si>
  <si>
    <t>plan</t>
  </si>
  <si>
    <t xml:space="preserve">plan </t>
  </si>
  <si>
    <t>wpływy z różnych opłat</t>
  </si>
  <si>
    <t>opłaty na rzecz budżetu państwa</t>
  </si>
  <si>
    <t>Rady Miejskiej Trzcianki</t>
  </si>
  <si>
    <t>dokształcanie i doskonalenie nauczycieli</t>
  </si>
  <si>
    <t>gospodarka gruntami i nieruchomościami</t>
  </si>
  <si>
    <t>rady gmin (miast i miast na prawach powiatu)</t>
  </si>
  <si>
    <t>dotacje celowe przekazane dla powiatu na zadania bieżące realizowane na podstawie porozumień (umów) między jednostkami samorządu terytorialnego</t>
  </si>
  <si>
    <t>domy i ośrodki kultury, świetlice i kluby</t>
  </si>
  <si>
    <t>utrzymanie zieleni w miastach i gminach</t>
  </si>
  <si>
    <t>Dochody od osób prawnych, od osób fizycznych i od innych jednostek nieposiadających osobowości prawnej oraz wydatki związane z ich poborem</t>
  </si>
  <si>
    <t>852</t>
  </si>
  <si>
    <t>85214</t>
  </si>
  <si>
    <t>85219</t>
  </si>
  <si>
    <t>85295</t>
  </si>
  <si>
    <t>kolonie i obozy  oraz inne formy wypoczynku dzieci i młodzieży szkolnej, a także szkolenia młodzieży</t>
  </si>
  <si>
    <t>0490</t>
  </si>
  <si>
    <t>0470</t>
  </si>
  <si>
    <t>0750</t>
  </si>
  <si>
    <t>0920</t>
  </si>
  <si>
    <t>0970</t>
  </si>
  <si>
    <t>0570</t>
  </si>
  <si>
    <t>0350</t>
  </si>
  <si>
    <t>0910</t>
  </si>
  <si>
    <t>0310</t>
  </si>
  <si>
    <t>0320</t>
  </si>
  <si>
    <t>0330</t>
  </si>
  <si>
    <t>0340</t>
  </si>
  <si>
    <t>0430</t>
  </si>
  <si>
    <t>0460</t>
  </si>
  <si>
    <t>0500</t>
  </si>
  <si>
    <t>0410</t>
  </si>
  <si>
    <t>0010</t>
  </si>
  <si>
    <t>0020</t>
  </si>
  <si>
    <t>0740</t>
  </si>
  <si>
    <t>0480</t>
  </si>
  <si>
    <t>2010</t>
  </si>
  <si>
    <t>zakup środków żywności</t>
  </si>
  <si>
    <t>pobór podatków, opłat i niepodatkowych należności budżetowych</t>
  </si>
  <si>
    <t>Towarzystwa budownictwa społecznego</t>
  </si>
  <si>
    <t>koszty postępowania sądowego i prokuratorskiego</t>
  </si>
  <si>
    <t>0690</t>
  </si>
  <si>
    <t xml:space="preserve">dotacja podmiotowa z budżetu dla niepublicznej jednostki systemu oświaty </t>
  </si>
  <si>
    <t>dochody jednostek samorządu terytorialnego związane z realizacją zadań z zakresu administracji rządowej oraz innych zadań zleconych ustawami</t>
  </si>
  <si>
    <t>część wyrównawcza subwencji ogólnej dla gmin</t>
  </si>
  <si>
    <t>75807</t>
  </si>
  <si>
    <t xml:space="preserve">Pomoc społeczna </t>
  </si>
  <si>
    <t>Pomoc społeczna</t>
  </si>
  <si>
    <t>Załącznik Nr 1</t>
  </si>
  <si>
    <t>Załącznik Nr 2</t>
  </si>
  <si>
    <t>dotacja podmiotowa z budżetu dla samorządowej instytucji kultury</t>
  </si>
  <si>
    <t xml:space="preserve"> wydatki osobowe niezaliczone do wynagrodzeń</t>
  </si>
  <si>
    <t xml:space="preserve">wpływy z podatku rolnego, podatku leśnego, podatku od czynności cywilnoprawnych, podatków i opłat lokalnych od osób prawnych i innych jednostek organizacyjnych </t>
  </si>
  <si>
    <t>wynagrodzenia bezosobowe</t>
  </si>
  <si>
    <t>0830</t>
  </si>
  <si>
    <t>wpływy z usług</t>
  </si>
  <si>
    <t>wynagrodzenie bezosobowe</t>
  </si>
  <si>
    <t>instytucje kultury fizycznej</t>
  </si>
  <si>
    <t>zakup usług zdrowotnych</t>
  </si>
  <si>
    <t>różne jednostki obsługi gospodarki mieszkaniowej</t>
  </si>
  <si>
    <t>odsetki od nieterminowych wpłat 
z tytułu podatków i opłat</t>
  </si>
  <si>
    <t>dotacje celowe otrzymane 
z budżetu państwa na realizację własnych zadań bieżących gmin (związków gmin)</t>
  </si>
  <si>
    <t xml:space="preserve">pozostała działalność </t>
  </si>
  <si>
    <t>oddziały przedszkolne w szkołach podstawowych</t>
  </si>
  <si>
    <t>promocja jednostek samorządu terytorialnego</t>
  </si>
  <si>
    <t xml:space="preserve">zasiłki i pomoc w naturze oraz składki na ubezpieczenia emerytalne i rentowe </t>
  </si>
  <si>
    <t>zakup usług dostępu do sieci Internet</t>
  </si>
  <si>
    <t>zakup usług dostepu do sieci Internet</t>
  </si>
  <si>
    <t xml:space="preserve"> </t>
  </si>
  <si>
    <t xml:space="preserve">                   </t>
  </si>
  <si>
    <t>wydatki osobowe niezaliczone do wynagrodzeń</t>
  </si>
  <si>
    <t>wpływy z opłat za zarząd, użytkowanie i użytkowanie wieczyste nieruchomości</t>
  </si>
  <si>
    <t>dotacje celowe otrzymane z budżetu państwa na realizację zadań bieżących z zakresu administracji rządowej oraz innych zadań zleconych gminie (związkom gmin) ustawami</t>
  </si>
  <si>
    <t>dotacje celowe otrzymane z budżetu państwa na realizację własnych zadań bieżących gmin (związków gmin)</t>
  </si>
  <si>
    <t>dotacje celowe otrzymane z powiatu na zadania bieżące realizowane na podstawie porozumień  między jednostkami samorządu terytorialnego</t>
  </si>
  <si>
    <t>75831</t>
  </si>
  <si>
    <t>część równoważąca subwencji ogólnej dla gmin</t>
  </si>
  <si>
    <t>dotacje celowe otrzymane z budżetu państwa na realizację zadań bieżących z zakresu administracji rządowej oraz innych zadań zleconych gminie(zwiazkom gmin) ustawami</t>
  </si>
  <si>
    <t>zakup usług medycznych</t>
  </si>
  <si>
    <t>składki na fundusz pracy</t>
  </si>
  <si>
    <t>zasiłki i pomoc w naturze oraz składki na ubezpieczenia emerytalne i rentowe</t>
  </si>
  <si>
    <t>zwalczanie narkomanii</t>
  </si>
  <si>
    <t xml:space="preserve">do Uchwały Nr </t>
  </si>
  <si>
    <t xml:space="preserve">z dnia </t>
  </si>
  <si>
    <t>wpływy z opłat za wydawanie zezwoleń na sprzedaż alkoholu</t>
  </si>
  <si>
    <t>0760</t>
  </si>
  <si>
    <t>opłaty z tytułu zakupu usług telekomunikacyjnych telefonii stacjonarnej</t>
  </si>
  <si>
    <t>zakup materiałów papierniczych do sprzętu drukarskiego i urządzeń kesrograficznych</t>
  </si>
  <si>
    <t>zakup akcesoriów komputerowych, w tym programów i licencji</t>
  </si>
  <si>
    <t>opłaty z tytułu zakupu usług telekomunikacyjnych telefonii komórkowej</t>
  </si>
  <si>
    <t xml:space="preserve">pomoc materialna dla uczniów </t>
  </si>
  <si>
    <t>stypendia dla uczniów</t>
  </si>
  <si>
    <t>dotacje celowe otrzymane z gminy na zadania bieżące realizowane na podstawie porozumień  (umów) między jednostkami samorządu terytorialnego</t>
  </si>
  <si>
    <t>opłaty za administrowanie i czynsze za budynki, lokale i pomieszczenia garażowe</t>
  </si>
  <si>
    <t>01095</t>
  </si>
  <si>
    <t>0770</t>
  </si>
  <si>
    <t>wpływy z tytułu odpłatnego nabycia prawa własności oraz prawa użytkowania wieczystego nieruchomości</t>
  </si>
  <si>
    <t>wpływy z dywidend</t>
  </si>
  <si>
    <t>stołówki szkolne</t>
  </si>
  <si>
    <t>zakup leków, wyrobów medycznych i produktów biobójczych</t>
  </si>
  <si>
    <t>obiekty sportowe</t>
  </si>
  <si>
    <t>szkolenia pracowników niebędących członkami korpusu służby cywilnej</t>
  </si>
  <si>
    <t>wpływy z tytułu przekształcenia prawa użytkowania wieczystego przysługującego osobom fizycznym 
w prawo własności</t>
  </si>
  <si>
    <t>rekompensaty utraconych dochodów w podatkach
 i opłatach lokalnych</t>
  </si>
  <si>
    <t>Dochody od osób prawnych, od osób fizycznych i od innych jednostek nieposiadających osobowości prawnej oraz wydatki związane 
z ich poborem</t>
  </si>
  <si>
    <t>zakup akcesoriów komputerowych, w tym programów
 i licencji</t>
  </si>
  <si>
    <t>rezerwa na inwestycje i zakupy inwestycyjne</t>
  </si>
  <si>
    <t>zakup akcesoriów komputerowych, w tym programów  i licencji</t>
  </si>
  <si>
    <t>dotacja celowa z budżetu na finansowanie lub dofinansowanie zadań zleconych do realizacji stowarzyszeniom</t>
  </si>
  <si>
    <t>odsetki i dyskonto od skarbowych papierów wartościowych,  kredytów i pożyczek oraz innych instrumentów finansowych, związanych z obsługą długu krajowego</t>
  </si>
  <si>
    <t>dotacja podmiotowa z budżetu dla publicznej jednostki systemu oświaty prowadzonej przez osobe prawną inną niż jadnostka samorządu terytorialnego lub przez osobę fizyczną</t>
  </si>
  <si>
    <t>zakup usług obejmujących wykonanie ekspertyz, analiz i opinii</t>
  </si>
  <si>
    <t>0370</t>
  </si>
  <si>
    <t>opłata od posiadania psów</t>
  </si>
  <si>
    <t>dopłaty w spółkach prawa handlowego</t>
  </si>
  <si>
    <t>gospodarka odpadami</t>
  </si>
  <si>
    <t>Pozostałe zadania w zakresie polityki społecznej</t>
  </si>
  <si>
    <t xml:space="preserve">rehabilitacja zawodowa i społeczna </t>
  </si>
  <si>
    <t>ochrona zabytków i opieka nad zabytkami</t>
  </si>
  <si>
    <t>dotacje celowe z budżetu na finansowanie lub dofinansowanie prac remontowych lub konserwatorskich obiektów zabytkowych, przekazane jednostkom niezaliczonym do sektora finansów publicznych</t>
  </si>
  <si>
    <t>wydatki na zakup i objęcie akcji, wniesienie wkładów do spółek prawa handlowego oraz na uzupełnienie funduszy statutowych banków państwowych i innych instytucji finansowych</t>
  </si>
  <si>
    <t>stypendia różne</t>
  </si>
  <si>
    <t>składki na ubezpieczenie zdrowotne opłacane za osoby pobierające niektóre świadczenia z pomocy społecznej, niektóre świadczenia rodzinne oraz za osoby uczestniczące 
w zajęciach w centrum integracji społecznej</t>
  </si>
  <si>
    <t xml:space="preserve">wpływy z podatku rolnego, podatku leśnego,podatku od spadków i darowizn, podatku od czynności cywilnoprawnych oraz podatków i opłat lokalnych od osób fizycznych </t>
  </si>
  <si>
    <t>zakup materiałów papierniczych do sprzętu drukarskiego i urządzeń kserograficznych</t>
  </si>
  <si>
    <t>składki na ubezpieczenie zdrowotne opłacane za osoby pobierające niektóre świadczenia z pomocy społecznej, niektóre świadczenia rodzinne oraz za osoby uczestniczące w zajęciach w centrum integracji społecznej</t>
  </si>
  <si>
    <t>dotacja celowa na pomoc finansową udzielaną między jednostkami samorządu terytorialnego na dofinansowanie własnych zadań bieżących</t>
  </si>
  <si>
    <t>dotacja przedmiotowa z budżetu dla jednostek nie zaliczanych do sektora finansów publicznych</t>
  </si>
  <si>
    <t>zmiany</t>
  </si>
  <si>
    <t>plan po zmianie</t>
  </si>
  <si>
    <t>zmiana</t>
  </si>
  <si>
    <t>01041</t>
  </si>
  <si>
    <t>dotacje celowe otrzymane z budżetu państwa na realizację zadań bieżących 
z zakresu administracji rządowej oraz innych zadań zleconych gminie (związkom gmin) ustawami</t>
  </si>
  <si>
    <t>dotacje celowe otrzymane z budżetu państwa na realizację zadań bieżących 
z zakresu administracji rządowej oraz innych zadań zleconych gminie (zwiazkom gmin) ustawami</t>
  </si>
  <si>
    <t>plan po zmianach</t>
  </si>
  <si>
    <t>plan po  zmianach</t>
  </si>
  <si>
    <t>Załącznik Nr 1 do Uchwały Nr XXIV/174/08</t>
  </si>
  <si>
    <t>Rady Miejskiej Trzcianki z dnia 18 grudnia 2008 r.</t>
  </si>
  <si>
    <t>Załącznik Nr 1 do Zarządzenia Nr 26/09</t>
  </si>
  <si>
    <t>Burmistrza Trzcianki z dnia 27 lutego 2009 r. zmieniający</t>
  </si>
  <si>
    <t>Załącznik Nr 2 do Zarządzenia Nr 26/09</t>
  </si>
  <si>
    <t>Załącznik Nr 2 do Uchwały Nr XXIV/174/08</t>
  </si>
  <si>
    <t>Załącznik Nr 3 do Zarządzenia Nr 26/09</t>
  </si>
  <si>
    <t>Załącznik Nr 3 do Uchwały Nr XXIV/174/08</t>
  </si>
  <si>
    <t>Załącznik Nr 4 do Uchwały Nr XXIV/174/08</t>
  </si>
  <si>
    <t xml:space="preserve">Dotacje otrzymywane do budżetu - plan po zmianach na rok 2009                                    </t>
  </si>
  <si>
    <t xml:space="preserve">Wydatki  budżetu gminy Trzcianka - plan po zmianach na rok 2009 </t>
  </si>
  <si>
    <t>Dochody budżetu gminy Trzcianka - plan po zmianach na rok 2009</t>
  </si>
  <si>
    <t>dotacja celowa z budżetu na finansowanie lub dofinansowanie zadań zleconych do realizacji pozostałym jednostkom niezaliczanym do sektora finansów publicznych</t>
  </si>
  <si>
    <t>różne opłaty i skałdki</t>
  </si>
  <si>
    <t xml:space="preserve">Program Rozwoju Obszarów Wiejskich 2007-2013 </t>
  </si>
  <si>
    <t xml:space="preserve">Burmistrza Trzcianki z dnia 27 lutego 2009 r. </t>
  </si>
  <si>
    <t>świadczenia rodzinne, świadczenia z funduszu alimentacyjnego oraz składki na ubezpieczenia emerytalne i rentowe z ubezpieczenia społecznego</t>
  </si>
  <si>
    <t>0960</t>
  </si>
  <si>
    <t>otrzymane spadki, zapisy i darowizny w postaci pienieżnej</t>
  </si>
  <si>
    <t>pozostałe zadania w zakresie kultury</t>
  </si>
  <si>
    <t>porozumienie Starostwo</t>
  </si>
  <si>
    <t>zm.subw.ośw.</t>
  </si>
  <si>
    <t>darowizna</t>
  </si>
  <si>
    <t>Wydatki związane z realizacją zadań z zakresu administracji rządowej i innych zadań zleconych ustawami - plan po zmianach na rok 2009</t>
  </si>
  <si>
    <t>01009</t>
  </si>
  <si>
    <t>Spółki wodne</t>
  </si>
  <si>
    <t>udziały os.fiz.</t>
  </si>
  <si>
    <t>85212.201</t>
  </si>
  <si>
    <t>85213.2010</t>
  </si>
  <si>
    <t>85214.2010</t>
  </si>
  <si>
    <t>85214.2030</t>
  </si>
  <si>
    <t>Załącznik Nr 1 do Uchwały Nr XXVIII/181/09</t>
  </si>
  <si>
    <t>Rady Miejskiej Trzcianki z dnia 23 marca 2009 r. zmieniający</t>
  </si>
  <si>
    <t>Załącznik Nr 2 do Uchwały Nr XXVIII/181/09</t>
  </si>
  <si>
    <t>Załącznik Nr 3 do Uchwały Nr XXVIII/181/09</t>
  </si>
  <si>
    <t>Załącznik Nr 6 do Uchwały Nr XXVIII/181/09</t>
  </si>
  <si>
    <t xml:space="preserve">Rady Miejskiej Trzcianki z dnia 23 marca 2009 r. </t>
  </si>
  <si>
    <t>wybory do Parlamentu Europejskiego</t>
  </si>
  <si>
    <t>świadczenia rodzinne, świadczenia 
z funduszu alimentacyjnego oraz składki na ubezpieczenia emerytalne i rentowe z ubezpieczenia społecznego</t>
  </si>
  <si>
    <t>wybory</t>
  </si>
  <si>
    <t>mebel BR</t>
  </si>
  <si>
    <t>Rady Miejskiej Trzcianki z dnia 30 kwietnia 2009 r. zmieniający</t>
  </si>
  <si>
    <t>Załącznik Nr 5 do Uchwały Nr XXIX/191/09</t>
  </si>
  <si>
    <t>Załącznik Nr 3 do Uchwały Nr XXIX/191/09</t>
  </si>
  <si>
    <t>Załącznik Nr 1 do Uchwały Nr XXIX/191/09</t>
  </si>
  <si>
    <t>Załącznik Nr 2 do Uchwały Nr XXIX/191/09</t>
  </si>
  <si>
    <t xml:space="preserve">Rady Miejskiej Trzcianki z dnia 30 kwietnia 2009 r. </t>
  </si>
  <si>
    <t>Załącznik Nr 3 do Zarządzenia Nr 49/09</t>
  </si>
  <si>
    <t>Załącznik Nr 1 do Zarządzenia Nr 49/09</t>
  </si>
  <si>
    <t>Załącznik Nr 2 do Zarządzenia Nr 49/09</t>
  </si>
  <si>
    <t>Burmistrza Trzcianki z dnia 11 maja 2009 r. zmieniający</t>
  </si>
  <si>
    <t xml:space="preserve">Burmistrza Trzcianki z dnia 11 maja 2009 r. </t>
  </si>
  <si>
    <t>Burmistrza Trzcianki z dnia 19 maja 2009 r. zmieniający</t>
  </si>
  <si>
    <t>Rady Miejskiej Trzcianki z dnia 30 kwietnia 2009 r.</t>
  </si>
  <si>
    <t>Załącznik Nr 1 do Zarządzenia Nr 59/09</t>
  </si>
  <si>
    <t>Załącznik Nr 2 do Zarządzenia Nr 59/09</t>
  </si>
  <si>
    <t>Załącznik Nr 3 do Zarządzenia Nr 59/09</t>
  </si>
  <si>
    <t>Załącznik Nr 4 do Zarządzenia Nr 59/09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</si>
</sst>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50">
    <font>
      <sz val="10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Arial CE"/>
      <family val="0"/>
    </font>
    <font>
      <sz val="8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FF0000"/>
      <name val="Arial CE"/>
      <family val="0"/>
    </font>
    <font>
      <sz val="8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0" fontId="3" fillId="0" borderId="13" xfId="0" applyFont="1" applyFill="1" applyBorder="1" applyAlignment="1" quotePrefix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4" fontId="4" fillId="0" borderId="0" xfId="0" applyNumberFormat="1" applyFont="1" applyAlignment="1">
      <alignment vertical="center"/>
    </xf>
    <xf numFmtId="0" fontId="3" fillId="0" borderId="12" xfId="0" applyFont="1" applyFill="1" applyBorder="1" applyAlignment="1" quotePrefix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1" xfId="0" applyFont="1" applyFill="1" applyBorder="1" applyAlignment="1" quotePrefix="1">
      <alignment horizontal="center" vertical="center" wrapText="1"/>
    </xf>
    <xf numFmtId="0" fontId="3" fillId="33" borderId="10" xfId="0" applyFont="1" applyFill="1" applyBorder="1" applyAlignment="1" quotePrefix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 indent="1"/>
    </xf>
    <xf numFmtId="4" fontId="3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 indent="1"/>
    </xf>
    <xf numFmtId="0" fontId="3" fillId="0" borderId="0" xfId="0" applyFont="1" applyAlignment="1">
      <alignment/>
    </xf>
    <xf numFmtId="4" fontId="3" fillId="0" borderId="10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2" fillId="0" borderId="0" xfId="0" applyNumberFormat="1" applyFont="1" applyFill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 quotePrefix="1">
      <alignment horizontal="center" vertical="center" wrapText="1"/>
    </xf>
    <xf numFmtId="0" fontId="2" fillId="33" borderId="0" xfId="0" applyFont="1" applyFill="1" applyAlignment="1">
      <alignment/>
    </xf>
    <xf numFmtId="164" fontId="3" fillId="33" borderId="10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center" wrapText="1" indent="1"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/>
    </xf>
    <xf numFmtId="0" fontId="2" fillId="0" borderId="12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12" xfId="0" applyFont="1" applyFill="1" applyBorder="1" applyAlignment="1">
      <alignment horizontal="left" vertical="center" wrapText="1" indent="1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/>
    </xf>
    <xf numFmtId="0" fontId="2" fillId="33" borderId="12" xfId="0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 quotePrefix="1">
      <alignment horizontal="center" vertical="center"/>
    </xf>
    <xf numFmtId="0" fontId="2" fillId="33" borderId="12" xfId="0" applyFont="1" applyFill="1" applyBorder="1" applyAlignment="1" quotePrefix="1">
      <alignment horizontal="center" vertic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6" fillId="33" borderId="10" xfId="0" applyFont="1" applyFill="1" applyBorder="1" applyAlignment="1" quotePrefix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indent="1"/>
    </xf>
    <xf numFmtId="164" fontId="2" fillId="33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16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 quotePrefix="1">
      <alignment horizontal="center" vertical="center"/>
    </xf>
    <xf numFmtId="16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13" xfId="0" applyFont="1" applyFill="1" applyBorder="1" applyAlignment="1" quotePrefix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" fontId="3" fillId="0" borderId="0" xfId="0" applyNumberFormat="1" applyFont="1" applyFill="1" applyAlignment="1">
      <alignment vertical="center"/>
    </xf>
    <xf numFmtId="4" fontId="2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 quotePrefix="1">
      <alignment horizontal="center" vertical="center"/>
    </xf>
    <xf numFmtId="0" fontId="5" fillId="33" borderId="10" xfId="0" applyFont="1" applyFill="1" applyBorder="1" applyAlignment="1" quotePrefix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 indent="1"/>
    </xf>
    <xf numFmtId="164" fontId="5" fillId="33" borderId="10" xfId="0" applyNumberFormat="1" applyFont="1" applyFill="1" applyBorder="1" applyAlignment="1">
      <alignment horizontal="right" vertical="center"/>
    </xf>
    <xf numFmtId="4" fontId="0" fillId="0" borderId="0" xfId="0" applyNumberFormat="1" applyBorder="1" applyAlignment="1">
      <alignment/>
    </xf>
    <xf numFmtId="0" fontId="3" fillId="0" borderId="12" xfId="0" applyFont="1" applyFill="1" applyBorder="1" applyAlignment="1">
      <alignment horizontal="left" vertical="center" indent="1"/>
    </xf>
    <xf numFmtId="0" fontId="2" fillId="0" borderId="12" xfId="0" applyFont="1" applyFill="1" applyBorder="1" applyAlignment="1">
      <alignment horizontal="left" vertical="center" indent="1"/>
    </xf>
    <xf numFmtId="164" fontId="7" fillId="0" borderId="0" xfId="0" applyNumberFormat="1" applyFont="1" applyFill="1" applyAlignment="1">
      <alignment horizontal="left" vertical="center"/>
    </xf>
    <xf numFmtId="4" fontId="3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4" fillId="0" borderId="0" xfId="0" applyNumberFormat="1" applyFont="1" applyFill="1" applyAlignment="1">
      <alignment vertical="center"/>
    </xf>
    <xf numFmtId="4" fontId="3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4" fontId="48" fillId="0" borderId="0" xfId="0" applyNumberFormat="1" applyFont="1" applyFill="1" applyAlignment="1">
      <alignment vertical="center"/>
    </xf>
    <xf numFmtId="0" fontId="2" fillId="0" borderId="12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4" fontId="2" fillId="0" borderId="10" xfId="0" applyNumberFormat="1" applyFont="1" applyFill="1" applyBorder="1" applyAlignment="1">
      <alignment vertical="center"/>
    </xf>
    <xf numFmtId="0" fontId="6" fillId="0" borderId="12" xfId="0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4" fontId="49" fillId="33" borderId="10" xfId="0" applyNumberFormat="1" applyFont="1" applyFill="1" applyBorder="1" applyAlignment="1">
      <alignment vertical="center"/>
    </xf>
    <xf numFmtId="0" fontId="6" fillId="33" borderId="10" xfId="0" applyFont="1" applyFill="1" applyBorder="1" applyAlignment="1" quotePrefix="1">
      <alignment horizontal="center" vertical="center" wrapText="1"/>
    </xf>
    <xf numFmtId="0" fontId="6" fillId="33" borderId="12" xfId="0" applyFont="1" applyFill="1" applyBorder="1" applyAlignment="1" quotePrefix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 indent="1"/>
    </xf>
    <xf numFmtId="4" fontId="6" fillId="33" borderId="10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center"/>
    </xf>
    <xf numFmtId="4" fontId="48" fillId="0" borderId="0" xfId="0" applyNumberFormat="1" applyFont="1" applyFill="1" applyBorder="1" applyAlignment="1">
      <alignment vertical="center"/>
    </xf>
    <xf numFmtId="4" fontId="5" fillId="0" borderId="0" xfId="0" applyNumberFormat="1" applyFont="1" applyBorder="1" applyAlignment="1">
      <alignment/>
    </xf>
    <xf numFmtId="0" fontId="49" fillId="33" borderId="10" xfId="0" applyFont="1" applyFill="1" applyBorder="1" applyAlignment="1" quotePrefix="1">
      <alignment horizontal="center" vertical="center"/>
    </xf>
    <xf numFmtId="0" fontId="49" fillId="0" borderId="0" xfId="0" applyFont="1" applyAlignment="1">
      <alignment/>
    </xf>
    <xf numFmtId="0" fontId="3" fillId="0" borderId="12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Alignment="1" quotePrefix="1">
      <alignment/>
    </xf>
    <xf numFmtId="4" fontId="2" fillId="0" borderId="10" xfId="0" applyNumberFormat="1" applyFont="1" applyBorder="1" applyAlignment="1">
      <alignment horizontal="right"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1" xfId="0" applyFont="1" applyFill="1" applyBorder="1" applyAlignment="1" quotePrefix="1">
      <alignment horizontal="center" vertical="center" wrapText="1"/>
    </xf>
    <xf numFmtId="4" fontId="3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horizontal="right" vertical="center"/>
    </xf>
    <xf numFmtId="164" fontId="3" fillId="33" borderId="10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 wrapText="1" indent="1"/>
    </xf>
    <xf numFmtId="0" fontId="2" fillId="0" borderId="12" xfId="0" applyFont="1" applyFill="1" applyBorder="1" applyAlignment="1">
      <alignment horizontal="left" vertical="center" wrapText="1" indent="1"/>
    </xf>
    <xf numFmtId="164" fontId="6" fillId="33" borderId="10" xfId="0" applyNumberFormat="1" applyFont="1" applyFill="1" applyBorder="1" applyAlignment="1">
      <alignment horizontal="right" vertical="center" wrapText="1"/>
    </xf>
    <xf numFmtId="164" fontId="2" fillId="33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 quotePrefix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 indent="1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6"/>
  <sheetViews>
    <sheetView tabSelected="1" zoomScalePageLayoutView="0" workbookViewId="0" topLeftCell="A1">
      <selection activeCell="U8" sqref="U8"/>
    </sheetView>
  </sheetViews>
  <sheetFormatPr defaultColWidth="9.00390625" defaultRowHeight="12.75"/>
  <cols>
    <col min="1" max="1" width="5.25390625" style="6" customWidth="1"/>
    <col min="2" max="2" width="7.25390625" style="6" bestFit="1" customWidth="1"/>
    <col min="3" max="3" width="5.25390625" style="6" customWidth="1"/>
    <col min="4" max="4" width="32.75390625" style="6" customWidth="1"/>
    <col min="5" max="5" width="14.625" style="24" hidden="1" customWidth="1"/>
    <col min="6" max="6" width="11.25390625" style="24" hidden="1" customWidth="1"/>
    <col min="7" max="7" width="13.875" style="24" hidden="1" customWidth="1"/>
    <col min="8" max="8" width="14.25390625" style="24" hidden="1" customWidth="1"/>
    <col min="9" max="9" width="14.75390625" style="24" hidden="1" customWidth="1"/>
    <col min="10" max="10" width="14.25390625" style="24" hidden="1" customWidth="1"/>
    <col min="11" max="11" width="14.75390625" style="24" hidden="1" customWidth="1"/>
    <col min="12" max="12" width="14.25390625" style="24" hidden="1" customWidth="1"/>
    <col min="13" max="13" width="16.625" style="24" hidden="1" customWidth="1"/>
    <col min="14" max="14" width="16.25390625" style="24" hidden="1" customWidth="1"/>
    <col min="15" max="15" width="14.875" style="24" customWidth="1"/>
    <col min="16" max="17" width="14.75390625" style="24" customWidth="1"/>
  </cols>
  <sheetData>
    <row r="1" spans="1:17" ht="12.75">
      <c r="A1" s="40"/>
      <c r="B1" s="40"/>
      <c r="C1" s="40"/>
      <c r="D1" s="40"/>
      <c r="E1" s="41" t="s">
        <v>193</v>
      </c>
      <c r="F1" s="41"/>
      <c r="G1" s="41" t="s">
        <v>283</v>
      </c>
      <c r="H1" s="41"/>
      <c r="I1" s="41" t="s">
        <v>312</v>
      </c>
      <c r="J1" s="41"/>
      <c r="K1" s="41" t="s">
        <v>325</v>
      </c>
      <c r="L1" s="41"/>
      <c r="M1" s="41" t="s">
        <v>329</v>
      </c>
      <c r="N1" s="41"/>
      <c r="O1" s="41" t="s">
        <v>335</v>
      </c>
      <c r="P1" s="41"/>
      <c r="Q1" s="41"/>
    </row>
    <row r="2" spans="1:17" ht="12.75">
      <c r="A2" s="40"/>
      <c r="B2" s="40"/>
      <c r="C2" s="40"/>
      <c r="D2" s="40"/>
      <c r="E2" s="41" t="s">
        <v>227</v>
      </c>
      <c r="F2" s="41"/>
      <c r="G2" s="41" t="s">
        <v>284</v>
      </c>
      <c r="H2" s="41"/>
      <c r="I2" s="41" t="s">
        <v>313</v>
      </c>
      <c r="J2" s="41"/>
      <c r="K2" s="41" t="s">
        <v>322</v>
      </c>
      <c r="L2" s="41"/>
      <c r="M2" s="41" t="s">
        <v>331</v>
      </c>
      <c r="N2" s="41"/>
      <c r="O2" s="41" t="s">
        <v>333</v>
      </c>
      <c r="P2" s="41"/>
      <c r="Q2" s="41"/>
    </row>
    <row r="3" spans="1:17" ht="12.75">
      <c r="A3" s="40"/>
      <c r="B3" s="40"/>
      <c r="C3" s="40"/>
      <c r="D3" s="40"/>
      <c r="E3" s="41" t="s">
        <v>148</v>
      </c>
      <c r="F3" s="41"/>
      <c r="G3" s="41" t="s">
        <v>281</v>
      </c>
      <c r="H3" s="41"/>
      <c r="I3" s="41" t="s">
        <v>283</v>
      </c>
      <c r="J3" s="41"/>
      <c r="K3" s="41" t="s">
        <v>312</v>
      </c>
      <c r="L3" s="41"/>
      <c r="M3" s="41" t="s">
        <v>325</v>
      </c>
      <c r="N3" s="41"/>
      <c r="O3" s="41" t="s">
        <v>329</v>
      </c>
      <c r="P3" s="41"/>
      <c r="Q3" s="41"/>
    </row>
    <row r="4" spans="1:17" ht="12.75">
      <c r="A4" s="40"/>
      <c r="B4" s="40"/>
      <c r="C4" s="40"/>
      <c r="D4" s="40"/>
      <c r="E4" s="41" t="s">
        <v>228</v>
      </c>
      <c r="F4" s="41"/>
      <c r="G4" s="41" t="s">
        <v>282</v>
      </c>
      <c r="H4" s="41"/>
      <c r="I4" s="41" t="s">
        <v>296</v>
      </c>
      <c r="J4" s="41"/>
      <c r="K4" s="41" t="s">
        <v>317</v>
      </c>
      <c r="L4" s="41"/>
      <c r="M4" s="41" t="s">
        <v>327</v>
      </c>
      <c r="N4" s="41"/>
      <c r="O4" s="41" t="s">
        <v>332</v>
      </c>
      <c r="P4" s="41"/>
      <c r="Q4" s="41"/>
    </row>
    <row r="5" spans="1:17" ht="18.75" customHeight="1">
      <c r="A5" s="108" t="s">
        <v>292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</row>
    <row r="6" spans="1:17" s="6" customFormat="1" ht="24.75" customHeight="1">
      <c r="A6" s="4" t="s">
        <v>0</v>
      </c>
      <c r="B6" s="3" t="s">
        <v>1</v>
      </c>
      <c r="C6" s="18" t="s">
        <v>2</v>
      </c>
      <c r="D6" s="4" t="s">
        <v>3</v>
      </c>
      <c r="E6" s="7" t="s">
        <v>144</v>
      </c>
      <c r="F6" s="7" t="s">
        <v>273</v>
      </c>
      <c r="G6" s="7" t="s">
        <v>144</v>
      </c>
      <c r="H6" s="7" t="s">
        <v>273</v>
      </c>
      <c r="I6" s="7" t="s">
        <v>145</v>
      </c>
      <c r="J6" s="7" t="s">
        <v>273</v>
      </c>
      <c r="K6" s="7" t="s">
        <v>145</v>
      </c>
      <c r="L6" s="7" t="s">
        <v>273</v>
      </c>
      <c r="M6" s="7" t="s">
        <v>145</v>
      </c>
      <c r="N6" s="7" t="s">
        <v>273</v>
      </c>
      <c r="O6" s="7" t="s">
        <v>144</v>
      </c>
      <c r="P6" s="7" t="s">
        <v>273</v>
      </c>
      <c r="Q6" s="7" t="s">
        <v>279</v>
      </c>
    </row>
    <row r="7" spans="1:17" s="6" customFormat="1" ht="24" customHeight="1">
      <c r="A7" s="84" t="s">
        <v>4</v>
      </c>
      <c r="B7" s="3"/>
      <c r="C7" s="18"/>
      <c r="D7" s="106" t="s">
        <v>5</v>
      </c>
      <c r="E7" s="17">
        <f aca="true" t="shared" si="0" ref="E7:Q7">SUM(E8)</f>
        <v>239800</v>
      </c>
      <c r="F7" s="17">
        <f t="shared" si="0"/>
        <v>400000</v>
      </c>
      <c r="G7" s="17">
        <f t="shared" si="0"/>
        <v>639800</v>
      </c>
      <c r="H7" s="17">
        <f t="shared" si="0"/>
        <v>0</v>
      </c>
      <c r="I7" s="17">
        <f t="shared" si="0"/>
        <v>639800</v>
      </c>
      <c r="J7" s="17">
        <f t="shared" si="0"/>
        <v>0</v>
      </c>
      <c r="K7" s="17">
        <f t="shared" si="0"/>
        <v>639800</v>
      </c>
      <c r="L7" s="17">
        <f t="shared" si="0"/>
        <v>0</v>
      </c>
      <c r="M7" s="17">
        <f t="shared" si="0"/>
        <v>639800</v>
      </c>
      <c r="N7" s="17">
        <f t="shared" si="0"/>
        <v>0</v>
      </c>
      <c r="O7" s="17">
        <f t="shared" si="0"/>
        <v>639800</v>
      </c>
      <c r="P7" s="17">
        <f t="shared" si="0"/>
        <v>285502</v>
      </c>
      <c r="Q7" s="17">
        <f t="shared" si="0"/>
        <v>925302</v>
      </c>
    </row>
    <row r="8" spans="1:17" s="22" customFormat="1" ht="24" customHeight="1">
      <c r="A8" s="63"/>
      <c r="B8" s="61" t="s">
        <v>239</v>
      </c>
      <c r="C8" s="65"/>
      <c r="D8" s="107" t="s">
        <v>6</v>
      </c>
      <c r="E8" s="70">
        <f aca="true" t="shared" si="1" ref="E8:K8">SUM(E9:E10)</f>
        <v>239800</v>
      </c>
      <c r="F8" s="70">
        <f t="shared" si="1"/>
        <v>400000</v>
      </c>
      <c r="G8" s="123">
        <f t="shared" si="1"/>
        <v>639800</v>
      </c>
      <c r="H8" s="70">
        <f t="shared" si="1"/>
        <v>0</v>
      </c>
      <c r="I8" s="123">
        <f t="shared" si="1"/>
        <v>639800</v>
      </c>
      <c r="J8" s="70">
        <f t="shared" si="1"/>
        <v>0</v>
      </c>
      <c r="K8" s="123">
        <f t="shared" si="1"/>
        <v>639800</v>
      </c>
      <c r="L8" s="70">
        <f>SUM(L9:L10)</f>
        <v>0</v>
      </c>
      <c r="M8" s="123">
        <f>SUM(M9:M10)</f>
        <v>639800</v>
      </c>
      <c r="N8" s="70">
        <f>SUM(N9:N10)</f>
        <v>0</v>
      </c>
      <c r="O8" s="123">
        <f>SUM(O9:O10)</f>
        <v>639800</v>
      </c>
      <c r="P8" s="70">
        <f>SUM(P9:P11)</f>
        <v>285502</v>
      </c>
      <c r="Q8" s="70">
        <f>SUM(Q9:Q11)</f>
        <v>925302</v>
      </c>
    </row>
    <row r="9" spans="1:17" s="22" customFormat="1" ht="67.5">
      <c r="A9" s="63"/>
      <c r="B9" s="37"/>
      <c r="C9" s="64" t="s">
        <v>163</v>
      </c>
      <c r="D9" s="62" t="s">
        <v>56</v>
      </c>
      <c r="E9" s="70">
        <f>110000+9800</f>
        <v>119800</v>
      </c>
      <c r="F9" s="70"/>
      <c r="G9" s="123">
        <f aca="true" t="shared" si="2" ref="G9:G77">SUM(E9:F9)</f>
        <v>119800</v>
      </c>
      <c r="H9" s="70"/>
      <c r="I9" s="123">
        <f>SUM(G9:H9)</f>
        <v>119800</v>
      </c>
      <c r="J9" s="70"/>
      <c r="K9" s="123">
        <f>SUM(I9:J9)</f>
        <v>119800</v>
      </c>
      <c r="L9" s="70"/>
      <c r="M9" s="123">
        <f>SUM(K9:L9)</f>
        <v>119800</v>
      </c>
      <c r="N9" s="70"/>
      <c r="O9" s="123">
        <f>SUM(M9:N9)</f>
        <v>119800</v>
      </c>
      <c r="P9" s="70"/>
      <c r="Q9" s="123">
        <f>SUM(O9:P9)</f>
        <v>119800</v>
      </c>
    </row>
    <row r="10" spans="1:17" s="22" customFormat="1" ht="33.75">
      <c r="A10" s="63"/>
      <c r="B10" s="37"/>
      <c r="C10" s="64" t="s">
        <v>240</v>
      </c>
      <c r="D10" s="62" t="s">
        <v>241</v>
      </c>
      <c r="E10" s="70">
        <v>120000</v>
      </c>
      <c r="F10" s="70">
        <v>400000</v>
      </c>
      <c r="G10" s="123">
        <f t="shared" si="2"/>
        <v>520000</v>
      </c>
      <c r="H10" s="70"/>
      <c r="I10" s="123">
        <f>SUM(G10:H10)</f>
        <v>520000</v>
      </c>
      <c r="J10" s="70"/>
      <c r="K10" s="123">
        <f>SUM(I10:J10)</f>
        <v>520000</v>
      </c>
      <c r="L10" s="70"/>
      <c r="M10" s="123">
        <f>SUM(K10:L10)</f>
        <v>520000</v>
      </c>
      <c r="N10" s="70"/>
      <c r="O10" s="123">
        <f>SUM(M10:N10)</f>
        <v>520000</v>
      </c>
      <c r="P10" s="70"/>
      <c r="Q10" s="123">
        <f>SUM(O10:P10)</f>
        <v>520000</v>
      </c>
    </row>
    <row r="11" spans="1:17" s="22" customFormat="1" ht="56.25">
      <c r="A11" s="63"/>
      <c r="B11" s="37"/>
      <c r="C11" s="64">
        <v>2010</v>
      </c>
      <c r="D11" s="62" t="s">
        <v>217</v>
      </c>
      <c r="E11" s="70"/>
      <c r="F11" s="70"/>
      <c r="G11" s="123"/>
      <c r="H11" s="70"/>
      <c r="I11" s="123"/>
      <c r="J11" s="70"/>
      <c r="K11" s="123"/>
      <c r="L11" s="70"/>
      <c r="M11" s="123"/>
      <c r="N11" s="70"/>
      <c r="O11" s="123">
        <v>0</v>
      </c>
      <c r="P11" s="70">
        <v>285502</v>
      </c>
      <c r="Q11" s="123">
        <f>SUM(O11:P11)</f>
        <v>285502</v>
      </c>
    </row>
    <row r="12" spans="1:17" s="5" customFormat="1" ht="24" customHeight="1">
      <c r="A12" s="25" t="s">
        <v>8</v>
      </c>
      <c r="B12" s="1"/>
      <c r="C12" s="2"/>
      <c r="D12" s="26" t="s">
        <v>9</v>
      </c>
      <c r="E12" s="42">
        <f aca="true" t="shared" si="3" ref="E12:Q12">SUM(E13,)</f>
        <v>4801700</v>
      </c>
      <c r="F12" s="42">
        <f t="shared" si="3"/>
        <v>200000</v>
      </c>
      <c r="G12" s="42">
        <f t="shared" si="3"/>
        <v>5001700</v>
      </c>
      <c r="H12" s="42">
        <f t="shared" si="3"/>
        <v>0</v>
      </c>
      <c r="I12" s="42">
        <f t="shared" si="3"/>
        <v>5001700</v>
      </c>
      <c r="J12" s="42">
        <f t="shared" si="3"/>
        <v>0</v>
      </c>
      <c r="K12" s="42">
        <f t="shared" si="3"/>
        <v>5001700</v>
      </c>
      <c r="L12" s="42">
        <f t="shared" si="3"/>
        <v>0</v>
      </c>
      <c r="M12" s="42">
        <f t="shared" si="3"/>
        <v>5001700</v>
      </c>
      <c r="N12" s="42">
        <f t="shared" si="3"/>
        <v>0</v>
      </c>
      <c r="O12" s="42">
        <f t="shared" si="3"/>
        <v>5001700</v>
      </c>
      <c r="P12" s="42">
        <f t="shared" si="3"/>
        <v>0</v>
      </c>
      <c r="Q12" s="42">
        <f t="shared" si="3"/>
        <v>5001700</v>
      </c>
    </row>
    <row r="13" spans="1:17" s="22" customFormat="1" ht="24" customHeight="1">
      <c r="A13" s="57"/>
      <c r="B13" s="58" t="s">
        <v>10</v>
      </c>
      <c r="C13" s="65"/>
      <c r="D13" s="62" t="s">
        <v>150</v>
      </c>
      <c r="E13" s="56">
        <f aca="true" t="shared" si="4" ref="E13:K13">SUM(E14:E18)</f>
        <v>4801700</v>
      </c>
      <c r="F13" s="56">
        <f t="shared" si="4"/>
        <v>200000</v>
      </c>
      <c r="G13" s="56">
        <f t="shared" si="4"/>
        <v>5001700</v>
      </c>
      <c r="H13" s="56">
        <f t="shared" si="4"/>
        <v>0</v>
      </c>
      <c r="I13" s="56">
        <f t="shared" si="4"/>
        <v>5001700</v>
      </c>
      <c r="J13" s="56">
        <f t="shared" si="4"/>
        <v>0</v>
      </c>
      <c r="K13" s="56">
        <f t="shared" si="4"/>
        <v>5001700</v>
      </c>
      <c r="L13" s="56">
        <f aca="true" t="shared" si="5" ref="L13:Q13">SUM(L14:L18)</f>
        <v>0</v>
      </c>
      <c r="M13" s="56">
        <f t="shared" si="5"/>
        <v>5001700</v>
      </c>
      <c r="N13" s="56">
        <f t="shared" si="5"/>
        <v>0</v>
      </c>
      <c r="O13" s="56">
        <f t="shared" si="5"/>
        <v>5001700</v>
      </c>
      <c r="P13" s="56">
        <f t="shared" si="5"/>
        <v>0</v>
      </c>
      <c r="Q13" s="56">
        <f t="shared" si="5"/>
        <v>5001700</v>
      </c>
    </row>
    <row r="14" spans="1:17" s="22" customFormat="1" ht="24" customHeight="1">
      <c r="A14" s="57"/>
      <c r="B14" s="37"/>
      <c r="C14" s="64" t="s">
        <v>162</v>
      </c>
      <c r="D14" s="62" t="s">
        <v>216</v>
      </c>
      <c r="E14" s="56">
        <v>140000</v>
      </c>
      <c r="F14" s="56"/>
      <c r="G14" s="123">
        <f t="shared" si="2"/>
        <v>140000</v>
      </c>
      <c r="H14" s="56"/>
      <c r="I14" s="123">
        <f>SUM(G14:H14)</f>
        <v>140000</v>
      </c>
      <c r="J14" s="56"/>
      <c r="K14" s="123">
        <f>SUM(I14:J14)</f>
        <v>140000</v>
      </c>
      <c r="L14" s="56"/>
      <c r="M14" s="123">
        <f>SUM(K14:L14)</f>
        <v>140000</v>
      </c>
      <c r="N14" s="56"/>
      <c r="O14" s="123">
        <f>SUM(M14:N14)</f>
        <v>140000</v>
      </c>
      <c r="P14" s="56"/>
      <c r="Q14" s="123">
        <f>SUM(O14:P14)</f>
        <v>140000</v>
      </c>
    </row>
    <row r="15" spans="1:17" s="22" customFormat="1" ht="67.5">
      <c r="A15" s="57"/>
      <c r="B15" s="37"/>
      <c r="C15" s="59" t="s">
        <v>163</v>
      </c>
      <c r="D15" s="62" t="s">
        <v>56</v>
      </c>
      <c r="E15" s="56">
        <f>16000+82000+8000+4000+1420000+280000</f>
        <v>1810000</v>
      </c>
      <c r="F15" s="56"/>
      <c r="G15" s="123">
        <f t="shared" si="2"/>
        <v>1810000</v>
      </c>
      <c r="H15" s="56"/>
      <c r="I15" s="123">
        <f>SUM(G15:H15)</f>
        <v>1810000</v>
      </c>
      <c r="J15" s="56"/>
      <c r="K15" s="123">
        <f>SUM(I15:J15)</f>
        <v>1810000</v>
      </c>
      <c r="L15" s="56"/>
      <c r="M15" s="123">
        <f>SUM(K15:L15)</f>
        <v>1810000</v>
      </c>
      <c r="N15" s="56"/>
      <c r="O15" s="123">
        <f>SUM(M15:N15)</f>
        <v>1810000</v>
      </c>
      <c r="P15" s="56"/>
      <c r="Q15" s="123">
        <f>SUM(O15:P15)</f>
        <v>1810000</v>
      </c>
    </row>
    <row r="16" spans="1:17" s="22" customFormat="1" ht="45">
      <c r="A16" s="57"/>
      <c r="B16" s="37"/>
      <c r="C16" s="59" t="s">
        <v>230</v>
      </c>
      <c r="D16" s="62" t="s">
        <v>247</v>
      </c>
      <c r="E16" s="56">
        <v>30000</v>
      </c>
      <c r="F16" s="56"/>
      <c r="G16" s="123">
        <f t="shared" si="2"/>
        <v>30000</v>
      </c>
      <c r="H16" s="56"/>
      <c r="I16" s="123">
        <f>SUM(G16:H16)</f>
        <v>30000</v>
      </c>
      <c r="J16" s="56"/>
      <c r="K16" s="123">
        <f>SUM(I16:J16)</f>
        <v>30000</v>
      </c>
      <c r="L16" s="56"/>
      <c r="M16" s="123">
        <f>SUM(K16:L16)</f>
        <v>30000</v>
      </c>
      <c r="N16" s="56"/>
      <c r="O16" s="123">
        <f>SUM(M16:N16)</f>
        <v>30000</v>
      </c>
      <c r="P16" s="56"/>
      <c r="Q16" s="123">
        <f>SUM(O16:P16)</f>
        <v>30000</v>
      </c>
    </row>
    <row r="17" spans="1:17" s="22" customFormat="1" ht="24" customHeight="1">
      <c r="A17" s="57"/>
      <c r="B17" s="37"/>
      <c r="C17" s="59" t="s">
        <v>240</v>
      </c>
      <c r="D17" s="62" t="s">
        <v>241</v>
      </c>
      <c r="E17" s="56">
        <f>402400+486700+1308000+400000+164600+50000</f>
        <v>2811700</v>
      </c>
      <c r="F17" s="56">
        <v>200000</v>
      </c>
      <c r="G17" s="123">
        <f t="shared" si="2"/>
        <v>3011700</v>
      </c>
      <c r="H17" s="56"/>
      <c r="I17" s="123">
        <f>SUM(G17:H17)</f>
        <v>3011700</v>
      </c>
      <c r="J17" s="56"/>
      <c r="K17" s="123">
        <f>SUM(I17:J17)</f>
        <v>3011700</v>
      </c>
      <c r="L17" s="56"/>
      <c r="M17" s="123">
        <f>SUM(K17:L17)</f>
        <v>3011700</v>
      </c>
      <c r="N17" s="56"/>
      <c r="O17" s="123">
        <f>SUM(M17:N17)</f>
        <v>3011700</v>
      </c>
      <c r="P17" s="56"/>
      <c r="Q17" s="123">
        <f>SUM(O17:P17)</f>
        <v>3011700</v>
      </c>
    </row>
    <row r="18" spans="1:17" s="22" customFormat="1" ht="21.75" customHeight="1">
      <c r="A18" s="57"/>
      <c r="B18" s="37"/>
      <c r="C18" s="59" t="s">
        <v>164</v>
      </c>
      <c r="D18" s="62" t="s">
        <v>11</v>
      </c>
      <c r="E18" s="56">
        <v>10000</v>
      </c>
      <c r="F18" s="56"/>
      <c r="G18" s="123">
        <f t="shared" si="2"/>
        <v>10000</v>
      </c>
      <c r="H18" s="56"/>
      <c r="I18" s="123">
        <f>SUM(G18:H18)</f>
        <v>10000</v>
      </c>
      <c r="J18" s="56"/>
      <c r="K18" s="123">
        <f>SUM(I18:J18)</f>
        <v>10000</v>
      </c>
      <c r="L18" s="56"/>
      <c r="M18" s="123">
        <f>SUM(K18:L18)</f>
        <v>10000</v>
      </c>
      <c r="N18" s="56"/>
      <c r="O18" s="123">
        <f>SUM(M18:N18)</f>
        <v>10000</v>
      </c>
      <c r="P18" s="56"/>
      <c r="Q18" s="123">
        <f>SUM(O18:P18)</f>
        <v>10000</v>
      </c>
    </row>
    <row r="19" spans="1:17" s="110" customFormat="1" ht="21.75" customHeight="1">
      <c r="A19" s="139">
        <v>710</v>
      </c>
      <c r="B19" s="140"/>
      <c r="C19" s="144"/>
      <c r="D19" s="148" t="s">
        <v>82</v>
      </c>
      <c r="E19" s="145"/>
      <c r="F19" s="145"/>
      <c r="G19" s="146"/>
      <c r="H19" s="145"/>
      <c r="I19" s="146">
        <f aca="true" t="shared" si="6" ref="I19:Q20">SUM(I20)</f>
        <v>0</v>
      </c>
      <c r="J19" s="146">
        <f t="shared" si="6"/>
        <v>24400</v>
      </c>
      <c r="K19" s="146">
        <f t="shared" si="6"/>
        <v>24400</v>
      </c>
      <c r="L19" s="146">
        <f t="shared" si="6"/>
        <v>0</v>
      </c>
      <c r="M19" s="146">
        <f t="shared" si="6"/>
        <v>24400</v>
      </c>
      <c r="N19" s="146">
        <f t="shared" si="6"/>
        <v>0</v>
      </c>
      <c r="O19" s="146">
        <f t="shared" si="6"/>
        <v>24400</v>
      </c>
      <c r="P19" s="146">
        <f t="shared" si="6"/>
        <v>0</v>
      </c>
      <c r="Q19" s="146">
        <f t="shared" si="6"/>
        <v>24400</v>
      </c>
    </row>
    <row r="20" spans="1:17" s="22" customFormat="1" ht="21.75" customHeight="1">
      <c r="A20" s="57"/>
      <c r="B20" s="37">
        <v>71004</v>
      </c>
      <c r="C20" s="59"/>
      <c r="D20" s="62" t="s">
        <v>84</v>
      </c>
      <c r="E20" s="56"/>
      <c r="F20" s="56"/>
      <c r="G20" s="123"/>
      <c r="H20" s="56"/>
      <c r="I20" s="123">
        <f t="shared" si="6"/>
        <v>0</v>
      </c>
      <c r="J20" s="123">
        <f t="shared" si="6"/>
        <v>24400</v>
      </c>
      <c r="K20" s="123">
        <f t="shared" si="6"/>
        <v>24400</v>
      </c>
      <c r="L20" s="123">
        <f t="shared" si="6"/>
        <v>0</v>
      </c>
      <c r="M20" s="123">
        <f t="shared" si="6"/>
        <v>24400</v>
      </c>
      <c r="N20" s="123">
        <f t="shared" si="6"/>
        <v>0</v>
      </c>
      <c r="O20" s="123">
        <f t="shared" si="6"/>
        <v>24400</v>
      </c>
      <c r="P20" s="123">
        <f t="shared" si="6"/>
        <v>0</v>
      </c>
      <c r="Q20" s="123">
        <f t="shared" si="6"/>
        <v>24400</v>
      </c>
    </row>
    <row r="21" spans="1:17" s="22" customFormat="1" ht="22.5">
      <c r="A21" s="57"/>
      <c r="B21" s="37"/>
      <c r="C21" s="59" t="s">
        <v>298</v>
      </c>
      <c r="D21" s="62" t="s">
        <v>299</v>
      </c>
      <c r="E21" s="56"/>
      <c r="F21" s="56"/>
      <c r="G21" s="123"/>
      <c r="H21" s="56"/>
      <c r="I21" s="123">
        <v>0</v>
      </c>
      <c r="J21" s="56">
        <v>24400</v>
      </c>
      <c r="K21" s="123">
        <f>SUM(I21:J21)</f>
        <v>24400</v>
      </c>
      <c r="L21" s="56"/>
      <c r="M21" s="123">
        <f>SUM(K21:L21)</f>
        <v>24400</v>
      </c>
      <c r="N21" s="56"/>
      <c r="O21" s="123">
        <f>SUM(M21:N21)</f>
        <v>24400</v>
      </c>
      <c r="P21" s="56"/>
      <c r="Q21" s="123">
        <f>SUM(O21:P21)</f>
        <v>24400</v>
      </c>
    </row>
    <row r="22" spans="1:17" s="5" customFormat="1" ht="24" customHeight="1">
      <c r="A22" s="25" t="s">
        <v>15</v>
      </c>
      <c r="B22" s="1"/>
      <c r="C22" s="2"/>
      <c r="D22" s="26" t="s">
        <v>16</v>
      </c>
      <c r="E22" s="42">
        <f aca="true" t="shared" si="7" ref="E22:K22">SUM(E23,E26)</f>
        <v>172350</v>
      </c>
      <c r="F22" s="42">
        <f t="shared" si="7"/>
        <v>0</v>
      </c>
      <c r="G22" s="42">
        <f t="shared" si="7"/>
        <v>172350</v>
      </c>
      <c r="H22" s="42">
        <f t="shared" si="7"/>
        <v>0</v>
      </c>
      <c r="I22" s="42">
        <f t="shared" si="7"/>
        <v>172350</v>
      </c>
      <c r="J22" s="42">
        <f t="shared" si="7"/>
        <v>0</v>
      </c>
      <c r="K22" s="42">
        <f t="shared" si="7"/>
        <v>172350</v>
      </c>
      <c r="L22" s="42">
        <f aca="true" t="shared" si="8" ref="L22:Q22">SUM(L23,L26)</f>
        <v>0</v>
      </c>
      <c r="M22" s="42">
        <f t="shared" si="8"/>
        <v>172350</v>
      </c>
      <c r="N22" s="42">
        <f t="shared" si="8"/>
        <v>0</v>
      </c>
      <c r="O22" s="42">
        <f t="shared" si="8"/>
        <v>172350</v>
      </c>
      <c r="P22" s="42">
        <f t="shared" si="8"/>
        <v>0</v>
      </c>
      <c r="Q22" s="42">
        <f t="shared" si="8"/>
        <v>172350</v>
      </c>
    </row>
    <row r="23" spans="1:17" s="22" customFormat="1" ht="24" customHeight="1">
      <c r="A23" s="57"/>
      <c r="B23" s="58">
        <v>75011</v>
      </c>
      <c r="C23" s="65"/>
      <c r="D23" s="62" t="s">
        <v>17</v>
      </c>
      <c r="E23" s="56">
        <f aca="true" t="shared" si="9" ref="E23:K23">SUM(E24:E25)</f>
        <v>160350</v>
      </c>
      <c r="F23" s="56">
        <f t="shared" si="9"/>
        <v>0</v>
      </c>
      <c r="G23" s="56">
        <f t="shared" si="9"/>
        <v>160350</v>
      </c>
      <c r="H23" s="56">
        <f t="shared" si="9"/>
        <v>0</v>
      </c>
      <c r="I23" s="56">
        <f t="shared" si="9"/>
        <v>160350</v>
      </c>
      <c r="J23" s="56">
        <f t="shared" si="9"/>
        <v>0</v>
      </c>
      <c r="K23" s="56">
        <f t="shared" si="9"/>
        <v>160350</v>
      </c>
      <c r="L23" s="56">
        <f aca="true" t="shared" si="10" ref="L23:Q23">SUM(L24:L25)</f>
        <v>0</v>
      </c>
      <c r="M23" s="56">
        <f t="shared" si="10"/>
        <v>160350</v>
      </c>
      <c r="N23" s="56">
        <f t="shared" si="10"/>
        <v>0</v>
      </c>
      <c r="O23" s="56">
        <f t="shared" si="10"/>
        <v>160350</v>
      </c>
      <c r="P23" s="56">
        <f t="shared" si="10"/>
        <v>0</v>
      </c>
      <c r="Q23" s="56">
        <f t="shared" si="10"/>
        <v>160350</v>
      </c>
    </row>
    <row r="24" spans="1:17" s="22" customFormat="1" ht="56.25">
      <c r="A24" s="57"/>
      <c r="B24" s="37"/>
      <c r="C24" s="59">
        <v>2010</v>
      </c>
      <c r="D24" s="62" t="s">
        <v>217</v>
      </c>
      <c r="E24" s="70">
        <v>156600</v>
      </c>
      <c r="F24" s="70"/>
      <c r="G24" s="123">
        <f t="shared" si="2"/>
        <v>156600</v>
      </c>
      <c r="H24" s="70"/>
      <c r="I24" s="123">
        <f>SUM(G24:H24)</f>
        <v>156600</v>
      </c>
      <c r="J24" s="70"/>
      <c r="K24" s="123">
        <f>SUM(I24:J24)</f>
        <v>156600</v>
      </c>
      <c r="L24" s="70"/>
      <c r="M24" s="123">
        <f>SUM(K24:L24)</f>
        <v>156600</v>
      </c>
      <c r="N24" s="70"/>
      <c r="O24" s="123">
        <f>SUM(M24:N24)</f>
        <v>156600</v>
      </c>
      <c r="P24" s="70"/>
      <c r="Q24" s="123">
        <f>SUM(O24:P24)</f>
        <v>156600</v>
      </c>
    </row>
    <row r="25" spans="1:17" s="22" customFormat="1" ht="45">
      <c r="A25" s="57"/>
      <c r="B25" s="37"/>
      <c r="C25" s="59">
        <v>2360</v>
      </c>
      <c r="D25" s="62" t="s">
        <v>188</v>
      </c>
      <c r="E25" s="56">
        <v>3750</v>
      </c>
      <c r="F25" s="56"/>
      <c r="G25" s="123">
        <f t="shared" si="2"/>
        <v>3750</v>
      </c>
      <c r="H25" s="56"/>
      <c r="I25" s="123">
        <f>SUM(G25:H25)</f>
        <v>3750</v>
      </c>
      <c r="J25" s="56"/>
      <c r="K25" s="123">
        <f>SUM(I25:J25)</f>
        <v>3750</v>
      </c>
      <c r="L25" s="56"/>
      <c r="M25" s="123">
        <f>SUM(K25:L25)</f>
        <v>3750</v>
      </c>
      <c r="N25" s="56"/>
      <c r="O25" s="123">
        <f>SUM(M25:N25)</f>
        <v>3750</v>
      </c>
      <c r="P25" s="56"/>
      <c r="Q25" s="123">
        <f>SUM(O25:P25)</f>
        <v>3750</v>
      </c>
    </row>
    <row r="26" spans="1:17" s="22" customFormat="1" ht="24" customHeight="1">
      <c r="A26" s="57"/>
      <c r="B26" s="37">
        <v>75023</v>
      </c>
      <c r="C26" s="59"/>
      <c r="D26" s="34" t="s">
        <v>19</v>
      </c>
      <c r="E26" s="56">
        <f aca="true" t="shared" si="11" ref="E26:Q26">SUM(E27)</f>
        <v>12000</v>
      </c>
      <c r="F26" s="56">
        <f t="shared" si="11"/>
        <v>0</v>
      </c>
      <c r="G26" s="56">
        <f t="shared" si="11"/>
        <v>12000</v>
      </c>
      <c r="H26" s="56">
        <f t="shared" si="11"/>
        <v>0</v>
      </c>
      <c r="I26" s="56">
        <f t="shared" si="11"/>
        <v>12000</v>
      </c>
      <c r="J26" s="56">
        <f t="shared" si="11"/>
        <v>0</v>
      </c>
      <c r="K26" s="56">
        <f t="shared" si="11"/>
        <v>12000</v>
      </c>
      <c r="L26" s="56">
        <f t="shared" si="11"/>
        <v>0</v>
      </c>
      <c r="M26" s="56">
        <f t="shared" si="11"/>
        <v>12000</v>
      </c>
      <c r="N26" s="56">
        <f t="shared" si="11"/>
        <v>0</v>
      </c>
      <c r="O26" s="56">
        <f t="shared" si="11"/>
        <v>12000</v>
      </c>
      <c r="P26" s="56">
        <f t="shared" si="11"/>
        <v>0</v>
      </c>
      <c r="Q26" s="56">
        <f t="shared" si="11"/>
        <v>12000</v>
      </c>
    </row>
    <row r="27" spans="1:17" s="22" customFormat="1" ht="21.75" customHeight="1">
      <c r="A27" s="57"/>
      <c r="B27" s="37"/>
      <c r="C27" s="59" t="s">
        <v>165</v>
      </c>
      <c r="D27" s="62" t="s">
        <v>12</v>
      </c>
      <c r="E27" s="56">
        <f>8250+3750</f>
        <v>12000</v>
      </c>
      <c r="F27" s="56"/>
      <c r="G27" s="123">
        <f t="shared" si="2"/>
        <v>12000</v>
      </c>
      <c r="H27" s="56"/>
      <c r="I27" s="123">
        <f>SUM(G27:H27)</f>
        <v>12000</v>
      </c>
      <c r="J27" s="56"/>
      <c r="K27" s="123">
        <f>SUM(I27:J27)</f>
        <v>12000</v>
      </c>
      <c r="L27" s="56"/>
      <c r="M27" s="123">
        <f>SUM(K27:L27)</f>
        <v>12000</v>
      </c>
      <c r="N27" s="56"/>
      <c r="O27" s="123">
        <f>SUM(M27:N27)</f>
        <v>12000</v>
      </c>
      <c r="P27" s="56"/>
      <c r="Q27" s="123">
        <f>SUM(O27:P27)</f>
        <v>12000</v>
      </c>
    </row>
    <row r="28" spans="1:17" s="5" customFormat="1" ht="36">
      <c r="A28" s="25">
        <v>751</v>
      </c>
      <c r="B28" s="3"/>
      <c r="C28" s="18"/>
      <c r="D28" s="26" t="s">
        <v>20</v>
      </c>
      <c r="E28" s="42">
        <f aca="true" t="shared" si="12" ref="E28:Q29">SUM(E29)</f>
        <v>3910</v>
      </c>
      <c r="F28" s="42">
        <f t="shared" si="12"/>
        <v>0</v>
      </c>
      <c r="G28" s="42">
        <f t="shared" si="12"/>
        <v>3910</v>
      </c>
      <c r="H28" s="42">
        <f t="shared" si="12"/>
        <v>0</v>
      </c>
      <c r="I28" s="42">
        <f t="shared" si="12"/>
        <v>3910</v>
      </c>
      <c r="J28" s="42">
        <f t="shared" si="12"/>
        <v>0</v>
      </c>
      <c r="K28" s="42">
        <f aca="true" t="shared" si="13" ref="K28:Q28">SUM(K29,K31)</f>
        <v>3910</v>
      </c>
      <c r="L28" s="42">
        <f t="shared" si="13"/>
        <v>19932</v>
      </c>
      <c r="M28" s="42">
        <f t="shared" si="13"/>
        <v>23842</v>
      </c>
      <c r="N28" s="42">
        <f t="shared" si="13"/>
        <v>0</v>
      </c>
      <c r="O28" s="42">
        <f t="shared" si="13"/>
        <v>23842</v>
      </c>
      <c r="P28" s="42">
        <f t="shared" si="13"/>
        <v>1000</v>
      </c>
      <c r="Q28" s="42">
        <f t="shared" si="13"/>
        <v>24842</v>
      </c>
    </row>
    <row r="29" spans="1:17" s="22" customFormat="1" ht="22.5">
      <c r="A29" s="63"/>
      <c r="B29" s="58">
        <v>75101</v>
      </c>
      <c r="C29" s="65"/>
      <c r="D29" s="62" t="s">
        <v>21</v>
      </c>
      <c r="E29" s="56">
        <f t="shared" si="12"/>
        <v>3910</v>
      </c>
      <c r="F29" s="56">
        <f t="shared" si="12"/>
        <v>0</v>
      </c>
      <c r="G29" s="56">
        <f t="shared" si="12"/>
        <v>3910</v>
      </c>
      <c r="H29" s="56">
        <f t="shared" si="12"/>
        <v>0</v>
      </c>
      <c r="I29" s="56">
        <f t="shared" si="12"/>
        <v>3910</v>
      </c>
      <c r="J29" s="56">
        <f t="shared" si="12"/>
        <v>0</v>
      </c>
      <c r="K29" s="56">
        <f t="shared" si="12"/>
        <v>3910</v>
      </c>
      <c r="L29" s="56">
        <f t="shared" si="12"/>
        <v>0</v>
      </c>
      <c r="M29" s="56">
        <f t="shared" si="12"/>
        <v>3910</v>
      </c>
      <c r="N29" s="56">
        <f t="shared" si="12"/>
        <v>0</v>
      </c>
      <c r="O29" s="56">
        <f t="shared" si="12"/>
        <v>3910</v>
      </c>
      <c r="P29" s="56">
        <f t="shared" si="12"/>
        <v>0</v>
      </c>
      <c r="Q29" s="56">
        <f t="shared" si="12"/>
        <v>3910</v>
      </c>
    </row>
    <row r="30" spans="1:17" s="22" customFormat="1" ht="56.25">
      <c r="A30" s="63"/>
      <c r="B30" s="58"/>
      <c r="C30" s="65">
        <v>2010</v>
      </c>
      <c r="D30" s="62" t="s">
        <v>217</v>
      </c>
      <c r="E30" s="56">
        <v>3910</v>
      </c>
      <c r="F30" s="56"/>
      <c r="G30" s="123">
        <f t="shared" si="2"/>
        <v>3910</v>
      </c>
      <c r="H30" s="56"/>
      <c r="I30" s="123">
        <f>SUM(G30:H30)</f>
        <v>3910</v>
      </c>
      <c r="J30" s="56"/>
      <c r="K30" s="123">
        <f>SUM(I30:J30)</f>
        <v>3910</v>
      </c>
      <c r="L30" s="56"/>
      <c r="M30" s="123">
        <f>SUM(K30:L30)</f>
        <v>3910</v>
      </c>
      <c r="N30" s="56"/>
      <c r="O30" s="123">
        <f>SUM(M30:N30)</f>
        <v>3910</v>
      </c>
      <c r="P30" s="56"/>
      <c r="Q30" s="123">
        <f>SUM(O30:P30)</f>
        <v>3910</v>
      </c>
    </row>
    <row r="31" spans="1:17" s="22" customFormat="1" ht="24" customHeight="1">
      <c r="A31" s="63"/>
      <c r="B31" s="58">
        <v>75113</v>
      </c>
      <c r="C31" s="65"/>
      <c r="D31" s="62" t="s">
        <v>318</v>
      </c>
      <c r="E31" s="56"/>
      <c r="F31" s="56"/>
      <c r="G31" s="123"/>
      <c r="H31" s="56"/>
      <c r="I31" s="123"/>
      <c r="J31" s="56"/>
      <c r="K31" s="123">
        <f aca="true" t="shared" si="14" ref="K31:Q31">SUM(K32)</f>
        <v>0</v>
      </c>
      <c r="L31" s="123">
        <f t="shared" si="14"/>
        <v>19932</v>
      </c>
      <c r="M31" s="123">
        <f t="shared" si="14"/>
        <v>19932</v>
      </c>
      <c r="N31" s="123">
        <f t="shared" si="14"/>
        <v>0</v>
      </c>
      <c r="O31" s="123">
        <f t="shared" si="14"/>
        <v>19932</v>
      </c>
      <c r="P31" s="123">
        <f t="shared" si="14"/>
        <v>1000</v>
      </c>
      <c r="Q31" s="123">
        <f t="shared" si="14"/>
        <v>20932</v>
      </c>
    </row>
    <row r="32" spans="1:17" s="22" customFormat="1" ht="56.25">
      <c r="A32" s="63"/>
      <c r="B32" s="58"/>
      <c r="C32" s="65">
        <v>2010</v>
      </c>
      <c r="D32" s="62" t="s">
        <v>217</v>
      </c>
      <c r="E32" s="56"/>
      <c r="F32" s="56"/>
      <c r="G32" s="123"/>
      <c r="H32" s="56"/>
      <c r="I32" s="123"/>
      <c r="J32" s="56"/>
      <c r="K32" s="123">
        <v>0</v>
      </c>
      <c r="L32" s="56">
        <v>19932</v>
      </c>
      <c r="M32" s="123">
        <f>SUM(K32:L32)</f>
        <v>19932</v>
      </c>
      <c r="N32" s="56"/>
      <c r="O32" s="123">
        <f>SUM(M32:N32)</f>
        <v>19932</v>
      </c>
      <c r="P32" s="56">
        <v>1000</v>
      </c>
      <c r="Q32" s="123">
        <f>SUM(O32:P32)</f>
        <v>20932</v>
      </c>
    </row>
    <row r="33" spans="1:17" s="5" customFormat="1" ht="30" customHeight="1">
      <c r="A33" s="25" t="s">
        <v>22</v>
      </c>
      <c r="B33" s="1"/>
      <c r="C33" s="2"/>
      <c r="D33" s="26" t="s">
        <v>23</v>
      </c>
      <c r="E33" s="42">
        <f aca="true" t="shared" si="15" ref="E33:Q33">SUM(E34)</f>
        <v>5500</v>
      </c>
      <c r="F33" s="42">
        <f t="shared" si="15"/>
        <v>0</v>
      </c>
      <c r="G33" s="42">
        <f t="shared" si="15"/>
        <v>5500</v>
      </c>
      <c r="H33" s="42">
        <f t="shared" si="15"/>
        <v>0</v>
      </c>
      <c r="I33" s="42">
        <f t="shared" si="15"/>
        <v>5500</v>
      </c>
      <c r="J33" s="42">
        <f t="shared" si="15"/>
        <v>0</v>
      </c>
      <c r="K33" s="42">
        <f t="shared" si="15"/>
        <v>5500</v>
      </c>
      <c r="L33" s="42">
        <f t="shared" si="15"/>
        <v>0</v>
      </c>
      <c r="M33" s="42">
        <f t="shared" si="15"/>
        <v>5500</v>
      </c>
      <c r="N33" s="42">
        <f t="shared" si="15"/>
        <v>0</v>
      </c>
      <c r="O33" s="42">
        <f t="shared" si="15"/>
        <v>5500</v>
      </c>
      <c r="P33" s="42">
        <f t="shared" si="15"/>
        <v>0</v>
      </c>
      <c r="Q33" s="42">
        <f t="shared" si="15"/>
        <v>5500</v>
      </c>
    </row>
    <row r="34" spans="1:17" s="22" customFormat="1" ht="24" customHeight="1">
      <c r="A34" s="63"/>
      <c r="B34" s="58" t="s">
        <v>24</v>
      </c>
      <c r="C34" s="65"/>
      <c r="D34" s="62" t="s">
        <v>25</v>
      </c>
      <c r="E34" s="56">
        <f aca="true" t="shared" si="16" ref="E34:K34">SUM(E35:E36)</f>
        <v>5500</v>
      </c>
      <c r="F34" s="56">
        <f t="shared" si="16"/>
        <v>0</v>
      </c>
      <c r="G34" s="56">
        <f t="shared" si="16"/>
        <v>5500</v>
      </c>
      <c r="H34" s="56">
        <f t="shared" si="16"/>
        <v>0</v>
      </c>
      <c r="I34" s="56">
        <f t="shared" si="16"/>
        <v>5500</v>
      </c>
      <c r="J34" s="56">
        <f t="shared" si="16"/>
        <v>0</v>
      </c>
      <c r="K34" s="56">
        <f t="shared" si="16"/>
        <v>5500</v>
      </c>
      <c r="L34" s="56">
        <f aca="true" t="shared" si="17" ref="L34:Q34">SUM(L35:L36)</f>
        <v>0</v>
      </c>
      <c r="M34" s="56">
        <f t="shared" si="17"/>
        <v>5500</v>
      </c>
      <c r="N34" s="56">
        <f t="shared" si="17"/>
        <v>0</v>
      </c>
      <c r="O34" s="56">
        <f t="shared" si="17"/>
        <v>5500</v>
      </c>
      <c r="P34" s="56">
        <f t="shared" si="17"/>
        <v>0</v>
      </c>
      <c r="Q34" s="56">
        <f t="shared" si="17"/>
        <v>5500</v>
      </c>
    </row>
    <row r="35" spans="1:17" s="22" customFormat="1" ht="21.75" customHeight="1">
      <c r="A35" s="63"/>
      <c r="B35" s="37"/>
      <c r="C35" s="59" t="s">
        <v>166</v>
      </c>
      <c r="D35" s="62" t="s">
        <v>26</v>
      </c>
      <c r="E35" s="56">
        <v>5000</v>
      </c>
      <c r="F35" s="56"/>
      <c r="G35" s="123">
        <f t="shared" si="2"/>
        <v>5000</v>
      </c>
      <c r="H35" s="56"/>
      <c r="I35" s="123">
        <f>SUM(G35:H35)</f>
        <v>5000</v>
      </c>
      <c r="J35" s="56"/>
      <c r="K35" s="123">
        <f>SUM(I35:J35)</f>
        <v>5000</v>
      </c>
      <c r="L35" s="56"/>
      <c r="M35" s="123">
        <f>SUM(K35:L35)</f>
        <v>5000</v>
      </c>
      <c r="N35" s="56"/>
      <c r="O35" s="123">
        <f>SUM(M35:N35)</f>
        <v>5000</v>
      </c>
      <c r="P35" s="56"/>
      <c r="Q35" s="123">
        <f>SUM(O35:P35)</f>
        <v>5000</v>
      </c>
    </row>
    <row r="36" spans="1:17" s="22" customFormat="1" ht="21.75" customHeight="1">
      <c r="A36" s="63"/>
      <c r="B36" s="37"/>
      <c r="C36" s="59" t="s">
        <v>164</v>
      </c>
      <c r="D36" s="62" t="s">
        <v>11</v>
      </c>
      <c r="E36" s="56">
        <v>500</v>
      </c>
      <c r="F36" s="56"/>
      <c r="G36" s="123">
        <f t="shared" si="2"/>
        <v>500</v>
      </c>
      <c r="H36" s="56"/>
      <c r="I36" s="123">
        <f>SUM(G36:H36)</f>
        <v>500</v>
      </c>
      <c r="J36" s="56"/>
      <c r="K36" s="123">
        <f>SUM(I36:J36)</f>
        <v>500</v>
      </c>
      <c r="L36" s="56"/>
      <c r="M36" s="123">
        <f>SUM(K36:L36)</f>
        <v>500</v>
      </c>
      <c r="N36" s="56"/>
      <c r="O36" s="123">
        <f>SUM(M36:N36)</f>
        <v>500</v>
      </c>
      <c r="P36" s="56"/>
      <c r="Q36" s="123">
        <f>SUM(O36:P36)</f>
        <v>500</v>
      </c>
    </row>
    <row r="37" spans="1:17" s="5" customFormat="1" ht="60">
      <c r="A37" s="25" t="s">
        <v>27</v>
      </c>
      <c r="B37" s="1"/>
      <c r="C37" s="2"/>
      <c r="D37" s="26" t="s">
        <v>155</v>
      </c>
      <c r="E37" s="42">
        <f aca="true" t="shared" si="18" ref="E37:K37">SUM(E38,E41,E48,E57,E62,)</f>
        <v>23034971</v>
      </c>
      <c r="F37" s="42">
        <f t="shared" si="18"/>
        <v>0</v>
      </c>
      <c r="G37" s="42">
        <f t="shared" si="18"/>
        <v>23034971</v>
      </c>
      <c r="H37" s="42">
        <f t="shared" si="18"/>
        <v>0</v>
      </c>
      <c r="I37" s="42">
        <f t="shared" si="18"/>
        <v>23034971</v>
      </c>
      <c r="J37" s="42">
        <f t="shared" si="18"/>
        <v>-329</v>
      </c>
      <c r="K37" s="42">
        <f t="shared" si="18"/>
        <v>23034642</v>
      </c>
      <c r="L37" s="42">
        <f aca="true" t="shared" si="19" ref="L37:Q37">SUM(L38,L41,L48,L57,L62,)</f>
        <v>14000</v>
      </c>
      <c r="M37" s="42">
        <f t="shared" si="19"/>
        <v>23048642</v>
      </c>
      <c r="N37" s="42">
        <f t="shared" si="19"/>
        <v>0</v>
      </c>
      <c r="O37" s="42">
        <f t="shared" si="19"/>
        <v>23048642</v>
      </c>
      <c r="P37" s="42">
        <f t="shared" si="19"/>
        <v>0</v>
      </c>
      <c r="Q37" s="42">
        <f t="shared" si="19"/>
        <v>23048642</v>
      </c>
    </row>
    <row r="38" spans="1:17" s="22" customFormat="1" ht="24" customHeight="1">
      <c r="A38" s="57"/>
      <c r="B38" s="37">
        <v>75601</v>
      </c>
      <c r="C38" s="65"/>
      <c r="D38" s="62" t="s">
        <v>28</v>
      </c>
      <c r="E38" s="56">
        <f aca="true" t="shared" si="20" ref="E38:K38">SUM(E39:E40)</f>
        <v>52500</v>
      </c>
      <c r="F38" s="56">
        <f t="shared" si="20"/>
        <v>0</v>
      </c>
      <c r="G38" s="56">
        <f t="shared" si="20"/>
        <v>52500</v>
      </c>
      <c r="H38" s="56">
        <f t="shared" si="20"/>
        <v>0</v>
      </c>
      <c r="I38" s="56">
        <f t="shared" si="20"/>
        <v>52500</v>
      </c>
      <c r="J38" s="56">
        <f t="shared" si="20"/>
        <v>0</v>
      </c>
      <c r="K38" s="56">
        <f t="shared" si="20"/>
        <v>52500</v>
      </c>
      <c r="L38" s="56">
        <f aca="true" t="shared" si="21" ref="L38:Q38">SUM(L39:L40)</f>
        <v>0</v>
      </c>
      <c r="M38" s="56">
        <f t="shared" si="21"/>
        <v>52500</v>
      </c>
      <c r="N38" s="56">
        <f t="shared" si="21"/>
        <v>0</v>
      </c>
      <c r="O38" s="56">
        <f t="shared" si="21"/>
        <v>52500</v>
      </c>
      <c r="P38" s="56">
        <f t="shared" si="21"/>
        <v>0</v>
      </c>
      <c r="Q38" s="56">
        <f t="shared" si="21"/>
        <v>52500</v>
      </c>
    </row>
    <row r="39" spans="1:17" s="22" customFormat="1" ht="24" customHeight="1">
      <c r="A39" s="57"/>
      <c r="B39" s="37"/>
      <c r="C39" s="64" t="s">
        <v>167</v>
      </c>
      <c r="D39" s="62" t="s">
        <v>29</v>
      </c>
      <c r="E39" s="56">
        <v>50000</v>
      </c>
      <c r="F39" s="56"/>
      <c r="G39" s="123">
        <f t="shared" si="2"/>
        <v>50000</v>
      </c>
      <c r="H39" s="56"/>
      <c r="I39" s="123">
        <f>SUM(G39:H39)</f>
        <v>50000</v>
      </c>
      <c r="J39" s="56"/>
      <c r="K39" s="123">
        <f>SUM(I39:J39)</f>
        <v>50000</v>
      </c>
      <c r="L39" s="56"/>
      <c r="M39" s="123">
        <f>SUM(K39:L39)</f>
        <v>50000</v>
      </c>
      <c r="N39" s="56"/>
      <c r="O39" s="123">
        <f>SUM(M39:N39)</f>
        <v>50000</v>
      </c>
      <c r="P39" s="56"/>
      <c r="Q39" s="123">
        <f>SUM(O39:P39)</f>
        <v>50000</v>
      </c>
    </row>
    <row r="40" spans="1:17" s="22" customFormat="1" ht="24" customHeight="1">
      <c r="A40" s="57"/>
      <c r="B40" s="37"/>
      <c r="C40" s="64" t="s">
        <v>168</v>
      </c>
      <c r="D40" s="62" t="s">
        <v>36</v>
      </c>
      <c r="E40" s="56">
        <v>2500</v>
      </c>
      <c r="F40" s="56"/>
      <c r="G40" s="123">
        <f t="shared" si="2"/>
        <v>2500</v>
      </c>
      <c r="H40" s="56"/>
      <c r="I40" s="123">
        <f>SUM(G40:H40)</f>
        <v>2500</v>
      </c>
      <c r="J40" s="56"/>
      <c r="K40" s="123">
        <f>SUM(I40:J40)</f>
        <v>2500</v>
      </c>
      <c r="L40" s="56"/>
      <c r="M40" s="123">
        <f>SUM(K40:L40)</f>
        <v>2500</v>
      </c>
      <c r="N40" s="56"/>
      <c r="O40" s="123">
        <f>SUM(M40:N40)</f>
        <v>2500</v>
      </c>
      <c r="P40" s="56"/>
      <c r="Q40" s="123">
        <f>SUM(O40:P40)</f>
        <v>2500</v>
      </c>
    </row>
    <row r="41" spans="1:17" s="22" customFormat="1" ht="56.25">
      <c r="A41" s="57"/>
      <c r="B41" s="58" t="s">
        <v>30</v>
      </c>
      <c r="C41" s="65"/>
      <c r="D41" s="62" t="s">
        <v>197</v>
      </c>
      <c r="E41" s="56">
        <f aca="true" t="shared" si="22" ref="E41:K41">SUM(E42:E47)</f>
        <v>7208496</v>
      </c>
      <c r="F41" s="56">
        <f t="shared" si="22"/>
        <v>0</v>
      </c>
      <c r="G41" s="56">
        <f t="shared" si="22"/>
        <v>7208496</v>
      </c>
      <c r="H41" s="56">
        <f t="shared" si="22"/>
        <v>0</v>
      </c>
      <c r="I41" s="56">
        <f t="shared" si="22"/>
        <v>7208496</v>
      </c>
      <c r="J41" s="56">
        <f t="shared" si="22"/>
        <v>0</v>
      </c>
      <c r="K41" s="56">
        <f t="shared" si="22"/>
        <v>7208496</v>
      </c>
      <c r="L41" s="56">
        <f aca="true" t="shared" si="23" ref="L41:Q41">SUM(L42:L47)</f>
        <v>0</v>
      </c>
      <c r="M41" s="56">
        <f t="shared" si="23"/>
        <v>7208496</v>
      </c>
      <c r="N41" s="56">
        <f t="shared" si="23"/>
        <v>0</v>
      </c>
      <c r="O41" s="56">
        <f t="shared" si="23"/>
        <v>7208496</v>
      </c>
      <c r="P41" s="56">
        <f t="shared" si="23"/>
        <v>0</v>
      </c>
      <c r="Q41" s="56">
        <f t="shared" si="23"/>
        <v>7208496</v>
      </c>
    </row>
    <row r="42" spans="1:17" s="22" customFormat="1" ht="21.75" customHeight="1">
      <c r="A42" s="57"/>
      <c r="B42" s="58"/>
      <c r="C42" s="59" t="s">
        <v>169</v>
      </c>
      <c r="D42" s="62" t="s">
        <v>31</v>
      </c>
      <c r="E42" s="56">
        <v>6458259</v>
      </c>
      <c r="F42" s="56"/>
      <c r="G42" s="123">
        <f t="shared" si="2"/>
        <v>6458259</v>
      </c>
      <c r="H42" s="56"/>
      <c r="I42" s="123">
        <f aca="true" t="shared" si="24" ref="I42:I47">SUM(G42:H42)</f>
        <v>6458259</v>
      </c>
      <c r="J42" s="56"/>
      <c r="K42" s="123">
        <f aca="true" t="shared" si="25" ref="K42:K47">SUM(I42:J42)</f>
        <v>6458259</v>
      </c>
      <c r="L42" s="56"/>
      <c r="M42" s="123">
        <f aca="true" t="shared" si="26" ref="M42:M47">SUM(K42:L42)</f>
        <v>6458259</v>
      </c>
      <c r="N42" s="56"/>
      <c r="O42" s="123">
        <f aca="true" t="shared" si="27" ref="O42:O47">SUM(M42:N42)</f>
        <v>6458259</v>
      </c>
      <c r="P42" s="56"/>
      <c r="Q42" s="123">
        <f aca="true" t="shared" si="28" ref="Q42:Q47">SUM(O42:P42)</f>
        <v>6458259</v>
      </c>
    </row>
    <row r="43" spans="1:17" s="22" customFormat="1" ht="21.75" customHeight="1">
      <c r="A43" s="57"/>
      <c r="B43" s="58"/>
      <c r="C43" s="59" t="s">
        <v>170</v>
      </c>
      <c r="D43" s="62" t="s">
        <v>32</v>
      </c>
      <c r="E43" s="56">
        <v>25000</v>
      </c>
      <c r="F43" s="56"/>
      <c r="G43" s="123">
        <f t="shared" si="2"/>
        <v>25000</v>
      </c>
      <c r="H43" s="56"/>
      <c r="I43" s="123">
        <f t="shared" si="24"/>
        <v>25000</v>
      </c>
      <c r="J43" s="56"/>
      <c r="K43" s="123">
        <f t="shared" si="25"/>
        <v>25000</v>
      </c>
      <c r="L43" s="56"/>
      <c r="M43" s="123">
        <f t="shared" si="26"/>
        <v>25000</v>
      </c>
      <c r="N43" s="56"/>
      <c r="O43" s="123">
        <f t="shared" si="27"/>
        <v>25000</v>
      </c>
      <c r="P43" s="56"/>
      <c r="Q43" s="123">
        <f t="shared" si="28"/>
        <v>25000</v>
      </c>
    </row>
    <row r="44" spans="1:17" s="22" customFormat="1" ht="21.75" customHeight="1">
      <c r="A44" s="57"/>
      <c r="B44" s="58"/>
      <c r="C44" s="59" t="s">
        <v>171</v>
      </c>
      <c r="D44" s="62" t="s">
        <v>33</v>
      </c>
      <c r="E44" s="56">
        <v>350823</v>
      </c>
      <c r="F44" s="56"/>
      <c r="G44" s="123">
        <f t="shared" si="2"/>
        <v>350823</v>
      </c>
      <c r="H44" s="56"/>
      <c r="I44" s="123">
        <f t="shared" si="24"/>
        <v>350823</v>
      </c>
      <c r="J44" s="56"/>
      <c r="K44" s="123">
        <f t="shared" si="25"/>
        <v>350823</v>
      </c>
      <c r="L44" s="56"/>
      <c r="M44" s="123">
        <f t="shared" si="26"/>
        <v>350823</v>
      </c>
      <c r="N44" s="56"/>
      <c r="O44" s="123">
        <f t="shared" si="27"/>
        <v>350823</v>
      </c>
      <c r="P44" s="56"/>
      <c r="Q44" s="123">
        <f t="shared" si="28"/>
        <v>350823</v>
      </c>
    </row>
    <row r="45" spans="1:17" s="22" customFormat="1" ht="21.75" customHeight="1">
      <c r="A45" s="57"/>
      <c r="B45" s="58"/>
      <c r="C45" s="59" t="s">
        <v>172</v>
      </c>
      <c r="D45" s="62" t="s">
        <v>34</v>
      </c>
      <c r="E45" s="56">
        <f>65000+20000</f>
        <v>85000</v>
      </c>
      <c r="F45" s="56"/>
      <c r="G45" s="123">
        <f t="shared" si="2"/>
        <v>85000</v>
      </c>
      <c r="H45" s="56"/>
      <c r="I45" s="123">
        <f t="shared" si="24"/>
        <v>85000</v>
      </c>
      <c r="J45" s="56"/>
      <c r="K45" s="123">
        <f t="shared" si="25"/>
        <v>85000</v>
      </c>
      <c r="L45" s="56"/>
      <c r="M45" s="123">
        <f t="shared" si="26"/>
        <v>85000</v>
      </c>
      <c r="N45" s="56"/>
      <c r="O45" s="123">
        <f t="shared" si="27"/>
        <v>85000</v>
      </c>
      <c r="P45" s="56"/>
      <c r="Q45" s="123">
        <f t="shared" si="28"/>
        <v>85000</v>
      </c>
    </row>
    <row r="46" spans="1:17" s="22" customFormat="1" ht="24" customHeight="1">
      <c r="A46" s="57"/>
      <c r="B46" s="58"/>
      <c r="C46" s="54" t="s">
        <v>168</v>
      </c>
      <c r="D46" s="51" t="s">
        <v>205</v>
      </c>
      <c r="E46" s="66">
        <v>25000</v>
      </c>
      <c r="F46" s="66"/>
      <c r="G46" s="123">
        <f t="shared" si="2"/>
        <v>25000</v>
      </c>
      <c r="H46" s="66"/>
      <c r="I46" s="123">
        <f t="shared" si="24"/>
        <v>25000</v>
      </c>
      <c r="J46" s="66"/>
      <c r="K46" s="123">
        <f t="shared" si="25"/>
        <v>25000</v>
      </c>
      <c r="L46" s="66"/>
      <c r="M46" s="123">
        <f t="shared" si="26"/>
        <v>25000</v>
      </c>
      <c r="N46" s="66"/>
      <c r="O46" s="123">
        <f t="shared" si="27"/>
        <v>25000</v>
      </c>
      <c r="P46" s="66"/>
      <c r="Q46" s="123">
        <f t="shared" si="28"/>
        <v>25000</v>
      </c>
    </row>
    <row r="47" spans="1:17" s="22" customFormat="1" ht="24" customHeight="1">
      <c r="A47" s="57"/>
      <c r="B47" s="58"/>
      <c r="C47" s="59">
        <v>2680</v>
      </c>
      <c r="D47" s="62" t="s">
        <v>248</v>
      </c>
      <c r="E47" s="56">
        <v>264414</v>
      </c>
      <c r="F47" s="56"/>
      <c r="G47" s="123">
        <f t="shared" si="2"/>
        <v>264414</v>
      </c>
      <c r="H47" s="56"/>
      <c r="I47" s="123">
        <f t="shared" si="24"/>
        <v>264414</v>
      </c>
      <c r="J47" s="56"/>
      <c r="K47" s="123">
        <f t="shared" si="25"/>
        <v>264414</v>
      </c>
      <c r="L47" s="56"/>
      <c r="M47" s="123">
        <f t="shared" si="26"/>
        <v>264414</v>
      </c>
      <c r="N47" s="56"/>
      <c r="O47" s="123">
        <f t="shared" si="27"/>
        <v>264414</v>
      </c>
      <c r="P47" s="56"/>
      <c r="Q47" s="123">
        <f t="shared" si="28"/>
        <v>264414</v>
      </c>
    </row>
    <row r="48" spans="1:17" s="22" customFormat="1" ht="56.25">
      <c r="A48" s="57"/>
      <c r="B48" s="58">
        <v>75616</v>
      </c>
      <c r="C48" s="59"/>
      <c r="D48" s="62" t="s">
        <v>268</v>
      </c>
      <c r="E48" s="56">
        <f aca="true" t="shared" si="29" ref="E48:K48">SUM(E49:E56)</f>
        <v>4073240</v>
      </c>
      <c r="F48" s="56">
        <f t="shared" si="29"/>
        <v>0</v>
      </c>
      <c r="G48" s="56">
        <f t="shared" si="29"/>
        <v>4073240</v>
      </c>
      <c r="H48" s="56">
        <f t="shared" si="29"/>
        <v>0</v>
      </c>
      <c r="I48" s="56">
        <f t="shared" si="29"/>
        <v>4073240</v>
      </c>
      <c r="J48" s="56">
        <f t="shared" si="29"/>
        <v>0</v>
      </c>
      <c r="K48" s="56">
        <f t="shared" si="29"/>
        <v>4073240</v>
      </c>
      <c r="L48" s="56">
        <f aca="true" t="shared" si="30" ref="L48:Q48">SUM(L49:L56)</f>
        <v>14000</v>
      </c>
      <c r="M48" s="56">
        <f t="shared" si="30"/>
        <v>4087240</v>
      </c>
      <c r="N48" s="56">
        <f t="shared" si="30"/>
        <v>0</v>
      </c>
      <c r="O48" s="56">
        <f t="shared" si="30"/>
        <v>4087240</v>
      </c>
      <c r="P48" s="56">
        <f t="shared" si="30"/>
        <v>0</v>
      </c>
      <c r="Q48" s="56">
        <f t="shared" si="30"/>
        <v>4087240</v>
      </c>
    </row>
    <row r="49" spans="1:17" s="22" customFormat="1" ht="21.75" customHeight="1">
      <c r="A49" s="57"/>
      <c r="B49" s="58"/>
      <c r="C49" s="59" t="s">
        <v>169</v>
      </c>
      <c r="D49" s="62" t="s">
        <v>31</v>
      </c>
      <c r="E49" s="56">
        <v>2447240</v>
      </c>
      <c r="F49" s="56"/>
      <c r="G49" s="123">
        <f t="shared" si="2"/>
        <v>2447240</v>
      </c>
      <c r="H49" s="56"/>
      <c r="I49" s="123">
        <f aca="true" t="shared" si="31" ref="I49:I56">SUM(G49:H49)</f>
        <v>2447240</v>
      </c>
      <c r="J49" s="56"/>
      <c r="K49" s="123">
        <f aca="true" t="shared" si="32" ref="K49:K56">SUM(I49:J49)</f>
        <v>2447240</v>
      </c>
      <c r="L49" s="56"/>
      <c r="M49" s="123">
        <f aca="true" t="shared" si="33" ref="M49:M56">SUM(K49:L49)</f>
        <v>2447240</v>
      </c>
      <c r="N49" s="56"/>
      <c r="O49" s="123">
        <f aca="true" t="shared" si="34" ref="O49:O56">SUM(M49:N49)</f>
        <v>2447240</v>
      </c>
      <c r="P49" s="56"/>
      <c r="Q49" s="123">
        <f aca="true" t="shared" si="35" ref="Q49:Q56">SUM(O49:P49)</f>
        <v>2447240</v>
      </c>
    </row>
    <row r="50" spans="1:17" s="22" customFormat="1" ht="21.75" customHeight="1">
      <c r="A50" s="57"/>
      <c r="B50" s="58"/>
      <c r="C50" s="59" t="s">
        <v>170</v>
      </c>
      <c r="D50" s="62" t="s">
        <v>32</v>
      </c>
      <c r="E50" s="56">
        <v>575000</v>
      </c>
      <c r="F50" s="56"/>
      <c r="G50" s="123">
        <f t="shared" si="2"/>
        <v>575000</v>
      </c>
      <c r="H50" s="56"/>
      <c r="I50" s="123">
        <f t="shared" si="31"/>
        <v>575000</v>
      </c>
      <c r="J50" s="56"/>
      <c r="K50" s="123">
        <f t="shared" si="32"/>
        <v>575000</v>
      </c>
      <c r="L50" s="56"/>
      <c r="M50" s="123">
        <f t="shared" si="33"/>
        <v>575000</v>
      </c>
      <c r="N50" s="56"/>
      <c r="O50" s="123">
        <f t="shared" si="34"/>
        <v>575000</v>
      </c>
      <c r="P50" s="56"/>
      <c r="Q50" s="123">
        <f t="shared" si="35"/>
        <v>575000</v>
      </c>
    </row>
    <row r="51" spans="1:17" s="22" customFormat="1" ht="21.75" customHeight="1">
      <c r="A51" s="57"/>
      <c r="B51" s="58"/>
      <c r="C51" s="59" t="s">
        <v>171</v>
      </c>
      <c r="D51" s="62" t="s">
        <v>33</v>
      </c>
      <c r="E51" s="56">
        <v>9000</v>
      </c>
      <c r="F51" s="56"/>
      <c r="G51" s="123">
        <f t="shared" si="2"/>
        <v>9000</v>
      </c>
      <c r="H51" s="56"/>
      <c r="I51" s="123">
        <f t="shared" si="31"/>
        <v>9000</v>
      </c>
      <c r="J51" s="56"/>
      <c r="K51" s="123">
        <f t="shared" si="32"/>
        <v>9000</v>
      </c>
      <c r="L51" s="56"/>
      <c r="M51" s="123">
        <f t="shared" si="33"/>
        <v>9000</v>
      </c>
      <c r="N51" s="56"/>
      <c r="O51" s="123">
        <f t="shared" si="34"/>
        <v>9000</v>
      </c>
      <c r="P51" s="56"/>
      <c r="Q51" s="123">
        <f t="shared" si="35"/>
        <v>9000</v>
      </c>
    </row>
    <row r="52" spans="1:17" s="22" customFormat="1" ht="21.75" customHeight="1">
      <c r="A52" s="57"/>
      <c r="B52" s="58"/>
      <c r="C52" s="59" t="s">
        <v>172</v>
      </c>
      <c r="D52" s="62" t="s">
        <v>34</v>
      </c>
      <c r="E52" s="56">
        <f>160000+60000</f>
        <v>220000</v>
      </c>
      <c r="F52" s="56"/>
      <c r="G52" s="123">
        <f t="shared" si="2"/>
        <v>220000</v>
      </c>
      <c r="H52" s="56"/>
      <c r="I52" s="123">
        <f t="shared" si="31"/>
        <v>220000</v>
      </c>
      <c r="J52" s="56"/>
      <c r="K52" s="123">
        <f t="shared" si="32"/>
        <v>220000</v>
      </c>
      <c r="L52" s="56"/>
      <c r="M52" s="123">
        <f t="shared" si="33"/>
        <v>220000</v>
      </c>
      <c r="N52" s="56"/>
      <c r="O52" s="123">
        <f t="shared" si="34"/>
        <v>220000</v>
      </c>
      <c r="P52" s="56"/>
      <c r="Q52" s="123">
        <f t="shared" si="35"/>
        <v>220000</v>
      </c>
    </row>
    <row r="53" spans="1:17" s="22" customFormat="1" ht="21.75" customHeight="1">
      <c r="A53" s="57"/>
      <c r="B53" s="58"/>
      <c r="C53" s="59" t="s">
        <v>257</v>
      </c>
      <c r="D53" s="62" t="s">
        <v>258</v>
      </c>
      <c r="E53" s="56">
        <v>2000</v>
      </c>
      <c r="F53" s="56"/>
      <c r="G53" s="123">
        <f t="shared" si="2"/>
        <v>2000</v>
      </c>
      <c r="H53" s="56"/>
      <c r="I53" s="123">
        <f t="shared" si="31"/>
        <v>2000</v>
      </c>
      <c r="J53" s="56"/>
      <c r="K53" s="123">
        <f t="shared" si="32"/>
        <v>2000</v>
      </c>
      <c r="L53" s="56"/>
      <c r="M53" s="123">
        <f t="shared" si="33"/>
        <v>2000</v>
      </c>
      <c r="N53" s="56"/>
      <c r="O53" s="123">
        <f t="shared" si="34"/>
        <v>2000</v>
      </c>
      <c r="P53" s="56"/>
      <c r="Q53" s="123">
        <f t="shared" si="35"/>
        <v>2000</v>
      </c>
    </row>
    <row r="54" spans="1:17" s="22" customFormat="1" ht="21.75" customHeight="1">
      <c r="A54" s="57"/>
      <c r="B54" s="58"/>
      <c r="C54" s="59" t="s">
        <v>173</v>
      </c>
      <c r="D54" s="62" t="s">
        <v>37</v>
      </c>
      <c r="E54" s="56">
        <v>70000</v>
      </c>
      <c r="F54" s="56"/>
      <c r="G54" s="123">
        <f t="shared" si="2"/>
        <v>70000</v>
      </c>
      <c r="H54" s="56"/>
      <c r="I54" s="123">
        <f t="shared" si="31"/>
        <v>70000</v>
      </c>
      <c r="J54" s="56"/>
      <c r="K54" s="123">
        <f t="shared" si="32"/>
        <v>70000</v>
      </c>
      <c r="L54" s="56"/>
      <c r="M54" s="123">
        <f t="shared" si="33"/>
        <v>70000</v>
      </c>
      <c r="N54" s="56"/>
      <c r="O54" s="123">
        <f t="shared" si="34"/>
        <v>70000</v>
      </c>
      <c r="P54" s="56"/>
      <c r="Q54" s="123">
        <f t="shared" si="35"/>
        <v>70000</v>
      </c>
    </row>
    <row r="55" spans="1:17" s="22" customFormat="1" ht="21.75" customHeight="1">
      <c r="A55" s="57"/>
      <c r="B55" s="58"/>
      <c r="C55" s="59" t="s">
        <v>175</v>
      </c>
      <c r="D55" s="62" t="s">
        <v>38</v>
      </c>
      <c r="E55" s="56">
        <v>700000</v>
      </c>
      <c r="F55" s="56"/>
      <c r="G55" s="123">
        <f t="shared" si="2"/>
        <v>700000</v>
      </c>
      <c r="H55" s="56"/>
      <c r="I55" s="123">
        <f t="shared" si="31"/>
        <v>700000</v>
      </c>
      <c r="J55" s="56"/>
      <c r="K55" s="123">
        <f t="shared" si="32"/>
        <v>700000</v>
      </c>
      <c r="L55" s="56">
        <v>14000</v>
      </c>
      <c r="M55" s="123">
        <f t="shared" si="33"/>
        <v>714000</v>
      </c>
      <c r="N55" s="56"/>
      <c r="O55" s="123">
        <f t="shared" si="34"/>
        <v>714000</v>
      </c>
      <c r="P55" s="56"/>
      <c r="Q55" s="123">
        <f t="shared" si="35"/>
        <v>714000</v>
      </c>
    </row>
    <row r="56" spans="1:17" s="22" customFormat="1" ht="24" customHeight="1">
      <c r="A56" s="57"/>
      <c r="B56" s="58"/>
      <c r="C56" s="59" t="s">
        <v>168</v>
      </c>
      <c r="D56" s="62" t="s">
        <v>205</v>
      </c>
      <c r="E56" s="56">
        <v>50000</v>
      </c>
      <c r="F56" s="56"/>
      <c r="G56" s="123">
        <f t="shared" si="2"/>
        <v>50000</v>
      </c>
      <c r="H56" s="56"/>
      <c r="I56" s="123">
        <f t="shared" si="31"/>
        <v>50000</v>
      </c>
      <c r="J56" s="56"/>
      <c r="K56" s="123">
        <f t="shared" si="32"/>
        <v>50000</v>
      </c>
      <c r="L56" s="56"/>
      <c r="M56" s="123">
        <f t="shared" si="33"/>
        <v>50000</v>
      </c>
      <c r="N56" s="56"/>
      <c r="O56" s="123">
        <f t="shared" si="34"/>
        <v>50000</v>
      </c>
      <c r="P56" s="56"/>
      <c r="Q56" s="123">
        <f t="shared" si="35"/>
        <v>50000</v>
      </c>
    </row>
    <row r="57" spans="1:17" s="22" customFormat="1" ht="33.75">
      <c r="A57" s="57"/>
      <c r="B57" s="58" t="s">
        <v>39</v>
      </c>
      <c r="C57" s="65"/>
      <c r="D57" s="62" t="s">
        <v>40</v>
      </c>
      <c r="E57" s="56">
        <f aca="true" t="shared" si="36" ref="E57:K57">SUM(E58:E61)</f>
        <v>670000</v>
      </c>
      <c r="F57" s="56">
        <f t="shared" si="36"/>
        <v>0</v>
      </c>
      <c r="G57" s="56">
        <f t="shared" si="36"/>
        <v>670000</v>
      </c>
      <c r="H57" s="56">
        <f t="shared" si="36"/>
        <v>0</v>
      </c>
      <c r="I57" s="56">
        <f t="shared" si="36"/>
        <v>670000</v>
      </c>
      <c r="J57" s="56">
        <f t="shared" si="36"/>
        <v>0</v>
      </c>
      <c r="K57" s="56">
        <f t="shared" si="36"/>
        <v>670000</v>
      </c>
      <c r="L57" s="56">
        <f aca="true" t="shared" si="37" ref="L57:Q57">SUM(L58:L61)</f>
        <v>0</v>
      </c>
      <c r="M57" s="56">
        <f t="shared" si="37"/>
        <v>670000</v>
      </c>
      <c r="N57" s="56">
        <f t="shared" si="37"/>
        <v>0</v>
      </c>
      <c r="O57" s="56">
        <f t="shared" si="37"/>
        <v>670000</v>
      </c>
      <c r="P57" s="56">
        <f t="shared" si="37"/>
        <v>0</v>
      </c>
      <c r="Q57" s="56">
        <f t="shared" si="37"/>
        <v>670000</v>
      </c>
    </row>
    <row r="58" spans="1:17" s="22" customFormat="1" ht="21.75" customHeight="1">
      <c r="A58" s="57"/>
      <c r="B58" s="58"/>
      <c r="C58" s="59" t="s">
        <v>176</v>
      </c>
      <c r="D58" s="62" t="s">
        <v>41</v>
      </c>
      <c r="E58" s="56">
        <v>120000</v>
      </c>
      <c r="F58" s="56"/>
      <c r="G58" s="123">
        <f t="shared" si="2"/>
        <v>120000</v>
      </c>
      <c r="H58" s="56"/>
      <c r="I58" s="123">
        <f>SUM(G58:H58)</f>
        <v>120000</v>
      </c>
      <c r="J58" s="56"/>
      <c r="K58" s="123">
        <f>SUM(I58:J58)</f>
        <v>120000</v>
      </c>
      <c r="L58" s="56"/>
      <c r="M58" s="123">
        <f>SUM(K58:L58)</f>
        <v>120000</v>
      </c>
      <c r="N58" s="56"/>
      <c r="O58" s="123">
        <f>SUM(M58:N58)</f>
        <v>120000</v>
      </c>
      <c r="P58" s="56"/>
      <c r="Q58" s="123">
        <f>SUM(O58:P58)</f>
        <v>120000</v>
      </c>
    </row>
    <row r="59" spans="1:17" s="22" customFormat="1" ht="21.75" customHeight="1">
      <c r="A59" s="57"/>
      <c r="B59" s="58"/>
      <c r="C59" s="59" t="s">
        <v>174</v>
      </c>
      <c r="D59" s="62" t="s">
        <v>35</v>
      </c>
      <c r="E59" s="56">
        <v>20000</v>
      </c>
      <c r="F59" s="56"/>
      <c r="G59" s="123">
        <f t="shared" si="2"/>
        <v>20000</v>
      </c>
      <c r="H59" s="56"/>
      <c r="I59" s="123">
        <f>SUM(G59:H59)</f>
        <v>20000</v>
      </c>
      <c r="J59" s="56"/>
      <c r="K59" s="123">
        <f>SUM(I59:J59)</f>
        <v>20000</v>
      </c>
      <c r="L59" s="56"/>
      <c r="M59" s="123">
        <f>SUM(K59:L59)</f>
        <v>20000</v>
      </c>
      <c r="N59" s="56"/>
      <c r="O59" s="123">
        <f>SUM(M59:N59)</f>
        <v>20000</v>
      </c>
      <c r="P59" s="56"/>
      <c r="Q59" s="123">
        <f>SUM(O59:P59)</f>
        <v>20000</v>
      </c>
    </row>
    <row r="60" spans="1:17" s="22" customFormat="1" ht="24" customHeight="1">
      <c r="A60" s="57"/>
      <c r="B60" s="58"/>
      <c r="C60" s="59" t="s">
        <v>180</v>
      </c>
      <c r="D60" s="62" t="s">
        <v>229</v>
      </c>
      <c r="E60" s="56">
        <v>330000</v>
      </c>
      <c r="F60" s="56"/>
      <c r="G60" s="123">
        <f t="shared" si="2"/>
        <v>330000</v>
      </c>
      <c r="H60" s="56"/>
      <c r="I60" s="123">
        <f>SUM(G60:H60)</f>
        <v>330000</v>
      </c>
      <c r="J60" s="56"/>
      <c r="K60" s="123">
        <f>SUM(I60:J60)</f>
        <v>330000</v>
      </c>
      <c r="L60" s="56"/>
      <c r="M60" s="123">
        <f>SUM(K60:L60)</f>
        <v>330000</v>
      </c>
      <c r="N60" s="56"/>
      <c r="O60" s="123">
        <f>SUM(M60:N60)</f>
        <v>330000</v>
      </c>
      <c r="P60" s="56"/>
      <c r="Q60" s="123">
        <f>SUM(O60:P60)</f>
        <v>330000</v>
      </c>
    </row>
    <row r="61" spans="1:17" s="22" customFormat="1" ht="45">
      <c r="A61" s="57"/>
      <c r="B61" s="58"/>
      <c r="C61" s="59" t="s">
        <v>161</v>
      </c>
      <c r="D61" s="62" t="s">
        <v>7</v>
      </c>
      <c r="E61" s="56">
        <f>170000+30000</f>
        <v>200000</v>
      </c>
      <c r="F61" s="56"/>
      <c r="G61" s="123">
        <f t="shared" si="2"/>
        <v>200000</v>
      </c>
      <c r="H61" s="56"/>
      <c r="I61" s="123">
        <f>SUM(G61:H61)</f>
        <v>200000</v>
      </c>
      <c r="J61" s="56"/>
      <c r="K61" s="123">
        <f>SUM(I61:J61)</f>
        <v>200000</v>
      </c>
      <c r="L61" s="56"/>
      <c r="M61" s="123">
        <f>SUM(K61:L61)</f>
        <v>200000</v>
      </c>
      <c r="N61" s="56"/>
      <c r="O61" s="123">
        <f>SUM(M61:N61)</f>
        <v>200000</v>
      </c>
      <c r="P61" s="56"/>
      <c r="Q61" s="123">
        <f>SUM(O61:P61)</f>
        <v>200000</v>
      </c>
    </row>
    <row r="62" spans="1:17" s="22" customFormat="1" ht="24" customHeight="1">
      <c r="A62" s="57"/>
      <c r="B62" s="58" t="s">
        <v>42</v>
      </c>
      <c r="C62" s="65"/>
      <c r="D62" s="62" t="s">
        <v>43</v>
      </c>
      <c r="E62" s="56">
        <f aca="true" t="shared" si="38" ref="E62:K62">SUM(E63:E64)</f>
        <v>11030735</v>
      </c>
      <c r="F62" s="56">
        <f t="shared" si="38"/>
        <v>0</v>
      </c>
      <c r="G62" s="56">
        <f t="shared" si="38"/>
        <v>11030735</v>
      </c>
      <c r="H62" s="56">
        <f t="shared" si="38"/>
        <v>0</v>
      </c>
      <c r="I62" s="56">
        <f t="shared" si="38"/>
        <v>11030735</v>
      </c>
      <c r="J62" s="56">
        <f t="shared" si="38"/>
        <v>-329</v>
      </c>
      <c r="K62" s="56">
        <f t="shared" si="38"/>
        <v>11030406</v>
      </c>
      <c r="L62" s="56">
        <f aca="true" t="shared" si="39" ref="L62:Q62">SUM(L63:L64)</f>
        <v>0</v>
      </c>
      <c r="M62" s="56">
        <f t="shared" si="39"/>
        <v>11030406</v>
      </c>
      <c r="N62" s="56">
        <f t="shared" si="39"/>
        <v>0</v>
      </c>
      <c r="O62" s="56">
        <f t="shared" si="39"/>
        <v>11030406</v>
      </c>
      <c r="P62" s="56">
        <f t="shared" si="39"/>
        <v>0</v>
      </c>
      <c r="Q62" s="56">
        <f t="shared" si="39"/>
        <v>11030406</v>
      </c>
    </row>
    <row r="63" spans="1:17" s="22" customFormat="1" ht="21.75" customHeight="1">
      <c r="A63" s="57"/>
      <c r="B63" s="58"/>
      <c r="C63" s="59" t="s">
        <v>177</v>
      </c>
      <c r="D63" s="62" t="s">
        <v>44</v>
      </c>
      <c r="E63" s="56">
        <v>10030735</v>
      </c>
      <c r="F63" s="56"/>
      <c r="G63" s="123">
        <f t="shared" si="2"/>
        <v>10030735</v>
      </c>
      <c r="H63" s="56"/>
      <c r="I63" s="123">
        <f>SUM(G63:H63)</f>
        <v>10030735</v>
      </c>
      <c r="J63" s="56">
        <v>-329</v>
      </c>
      <c r="K63" s="123">
        <f>SUM(I63:J63)</f>
        <v>10030406</v>
      </c>
      <c r="L63" s="56"/>
      <c r="M63" s="123">
        <f>SUM(K63:L63)</f>
        <v>10030406</v>
      </c>
      <c r="N63" s="56"/>
      <c r="O63" s="123">
        <f>SUM(M63:N63)</f>
        <v>10030406</v>
      </c>
      <c r="P63" s="56"/>
      <c r="Q63" s="123">
        <f>SUM(O63:P63)</f>
        <v>10030406</v>
      </c>
    </row>
    <row r="64" spans="1:17" s="22" customFormat="1" ht="21.75" customHeight="1">
      <c r="A64" s="57"/>
      <c r="B64" s="58"/>
      <c r="C64" s="59" t="s">
        <v>178</v>
      </c>
      <c r="D64" s="62" t="s">
        <v>45</v>
      </c>
      <c r="E64" s="56">
        <v>1000000</v>
      </c>
      <c r="F64" s="56"/>
      <c r="G64" s="123">
        <f t="shared" si="2"/>
        <v>1000000</v>
      </c>
      <c r="H64" s="56"/>
      <c r="I64" s="123">
        <f>SUM(G64:H64)</f>
        <v>1000000</v>
      </c>
      <c r="J64" s="56"/>
      <c r="K64" s="123">
        <f>SUM(I64:J64)</f>
        <v>1000000</v>
      </c>
      <c r="L64" s="56"/>
      <c r="M64" s="123">
        <f>SUM(K64:L64)</f>
        <v>1000000</v>
      </c>
      <c r="N64" s="56"/>
      <c r="O64" s="123">
        <f>SUM(M64:N64)</f>
        <v>1000000</v>
      </c>
      <c r="P64" s="56"/>
      <c r="Q64" s="123">
        <f>SUM(O64:P64)</f>
        <v>1000000</v>
      </c>
    </row>
    <row r="65" spans="1:17" s="5" customFormat="1" ht="24" customHeight="1">
      <c r="A65" s="25" t="s">
        <v>46</v>
      </c>
      <c r="B65" s="1"/>
      <c r="C65" s="2"/>
      <c r="D65" s="26" t="s">
        <v>47</v>
      </c>
      <c r="E65" s="42">
        <f>SUM(E66,E68,E70,E72)</f>
        <v>19119259</v>
      </c>
      <c r="F65" s="42">
        <f>SUM(F66,F68,F70,F72)</f>
        <v>0</v>
      </c>
      <c r="G65" s="17">
        <f t="shared" si="2"/>
        <v>19119259</v>
      </c>
      <c r="H65" s="42">
        <f>SUM(H66,H68,H70,H72)</f>
        <v>0</v>
      </c>
      <c r="I65" s="17">
        <f>SUM(G65:H65)</f>
        <v>19119259</v>
      </c>
      <c r="J65" s="42">
        <f>SUM(J66,J68,J70,J72)</f>
        <v>-175597</v>
      </c>
      <c r="K65" s="17">
        <f>SUM(I65:J65)</f>
        <v>18943662</v>
      </c>
      <c r="L65" s="42">
        <f>SUM(L66,L68,L70,L72)</f>
        <v>0</v>
      </c>
      <c r="M65" s="17">
        <f>SUM(K65:L65)</f>
        <v>18943662</v>
      </c>
      <c r="N65" s="42">
        <f>SUM(N66,N68,N70,N72)</f>
        <v>0</v>
      </c>
      <c r="O65" s="17">
        <f>SUM(M65:N65)</f>
        <v>18943662</v>
      </c>
      <c r="P65" s="42">
        <f>SUM(P66,P68,P70,P72)</f>
        <v>0</v>
      </c>
      <c r="Q65" s="17">
        <f>SUM(O65:P65)</f>
        <v>18943662</v>
      </c>
    </row>
    <row r="66" spans="1:17" s="22" customFormat="1" ht="24" customHeight="1">
      <c r="A66" s="57"/>
      <c r="B66" s="58" t="s">
        <v>48</v>
      </c>
      <c r="C66" s="65"/>
      <c r="D66" s="62" t="s">
        <v>49</v>
      </c>
      <c r="E66" s="56">
        <f aca="true" t="shared" si="40" ref="E66:Q66">SUM(E67)</f>
        <v>14073448</v>
      </c>
      <c r="F66" s="56">
        <f t="shared" si="40"/>
        <v>0</v>
      </c>
      <c r="G66" s="56">
        <f t="shared" si="40"/>
        <v>14073448</v>
      </c>
      <c r="H66" s="56">
        <f t="shared" si="40"/>
        <v>0</v>
      </c>
      <c r="I66" s="56">
        <f t="shared" si="40"/>
        <v>14073448</v>
      </c>
      <c r="J66" s="56">
        <f t="shared" si="40"/>
        <v>-175597</v>
      </c>
      <c r="K66" s="56">
        <f t="shared" si="40"/>
        <v>13897851</v>
      </c>
      <c r="L66" s="56">
        <f t="shared" si="40"/>
        <v>0</v>
      </c>
      <c r="M66" s="56">
        <f t="shared" si="40"/>
        <v>13897851</v>
      </c>
      <c r="N66" s="56">
        <f t="shared" si="40"/>
        <v>0</v>
      </c>
      <c r="O66" s="56">
        <f t="shared" si="40"/>
        <v>13897851</v>
      </c>
      <c r="P66" s="56">
        <f t="shared" si="40"/>
        <v>0</v>
      </c>
      <c r="Q66" s="56">
        <f t="shared" si="40"/>
        <v>13897851</v>
      </c>
    </row>
    <row r="67" spans="1:17" s="22" customFormat="1" ht="21.75" customHeight="1">
      <c r="A67" s="57"/>
      <c r="B67" s="58"/>
      <c r="C67" s="59">
        <v>2920</v>
      </c>
      <c r="D67" s="62" t="s">
        <v>50</v>
      </c>
      <c r="E67" s="56">
        <v>14073448</v>
      </c>
      <c r="F67" s="56"/>
      <c r="G67" s="123">
        <f t="shared" si="2"/>
        <v>14073448</v>
      </c>
      <c r="H67" s="56"/>
      <c r="I67" s="123">
        <f>SUM(G67:H67)</f>
        <v>14073448</v>
      </c>
      <c r="J67" s="56">
        <v>-175597</v>
      </c>
      <c r="K67" s="123">
        <f>SUM(I67:J67)</f>
        <v>13897851</v>
      </c>
      <c r="L67" s="56"/>
      <c r="M67" s="123">
        <f>SUM(K67:L67)</f>
        <v>13897851</v>
      </c>
      <c r="N67" s="56"/>
      <c r="O67" s="123">
        <f>SUM(M67:N67)</f>
        <v>13897851</v>
      </c>
      <c r="P67" s="56"/>
      <c r="Q67" s="123">
        <f>SUM(O67:P67)</f>
        <v>13897851</v>
      </c>
    </row>
    <row r="68" spans="1:17" s="22" customFormat="1" ht="21.75" customHeight="1">
      <c r="A68" s="57"/>
      <c r="B68" s="58" t="s">
        <v>190</v>
      </c>
      <c r="C68" s="65"/>
      <c r="D68" s="62" t="s">
        <v>189</v>
      </c>
      <c r="E68" s="56">
        <f aca="true" t="shared" si="41" ref="E68:Q68">SUM(E69)</f>
        <v>4225670</v>
      </c>
      <c r="F68" s="56">
        <f t="shared" si="41"/>
        <v>0</v>
      </c>
      <c r="G68" s="56">
        <f t="shared" si="41"/>
        <v>4225670</v>
      </c>
      <c r="H68" s="56">
        <f t="shared" si="41"/>
        <v>0</v>
      </c>
      <c r="I68" s="56">
        <f t="shared" si="41"/>
        <v>4225670</v>
      </c>
      <c r="J68" s="56">
        <f t="shared" si="41"/>
        <v>0</v>
      </c>
      <c r="K68" s="56">
        <f t="shared" si="41"/>
        <v>4225670</v>
      </c>
      <c r="L68" s="56">
        <f t="shared" si="41"/>
        <v>0</v>
      </c>
      <c r="M68" s="56">
        <f t="shared" si="41"/>
        <v>4225670</v>
      </c>
      <c r="N68" s="56">
        <f t="shared" si="41"/>
        <v>0</v>
      </c>
      <c r="O68" s="56">
        <f t="shared" si="41"/>
        <v>4225670</v>
      </c>
      <c r="P68" s="56">
        <f t="shared" si="41"/>
        <v>0</v>
      </c>
      <c r="Q68" s="56">
        <f t="shared" si="41"/>
        <v>4225670</v>
      </c>
    </row>
    <row r="69" spans="1:17" s="22" customFormat="1" ht="21.75" customHeight="1">
      <c r="A69" s="57"/>
      <c r="B69" s="58"/>
      <c r="C69" s="59">
        <v>2920</v>
      </c>
      <c r="D69" s="62" t="s">
        <v>50</v>
      </c>
      <c r="E69" s="56">
        <v>4225670</v>
      </c>
      <c r="F69" s="56"/>
      <c r="G69" s="132">
        <f t="shared" si="2"/>
        <v>4225670</v>
      </c>
      <c r="H69" s="56"/>
      <c r="I69" s="132">
        <f>SUM(G69:H69)</f>
        <v>4225670</v>
      </c>
      <c r="J69" s="56"/>
      <c r="K69" s="132">
        <f>SUM(I69:J69)</f>
        <v>4225670</v>
      </c>
      <c r="L69" s="56"/>
      <c r="M69" s="132">
        <f>SUM(K69:L69)</f>
        <v>4225670</v>
      </c>
      <c r="N69" s="56"/>
      <c r="O69" s="132">
        <f>SUM(M69:N69)</f>
        <v>4225670</v>
      </c>
      <c r="P69" s="56"/>
      <c r="Q69" s="132">
        <f>SUM(O69:P69)</f>
        <v>4225670</v>
      </c>
    </row>
    <row r="70" spans="1:17" s="22" customFormat="1" ht="21" customHeight="1">
      <c r="A70" s="57"/>
      <c r="B70" s="58">
        <v>75814</v>
      </c>
      <c r="C70" s="65"/>
      <c r="D70" s="62" t="s">
        <v>51</v>
      </c>
      <c r="E70" s="56">
        <f aca="true" t="shared" si="42" ref="E70:Q70">SUM(E71)</f>
        <v>50000</v>
      </c>
      <c r="F70" s="56">
        <f t="shared" si="42"/>
        <v>0</v>
      </c>
      <c r="G70" s="56">
        <f t="shared" si="42"/>
        <v>50000</v>
      </c>
      <c r="H70" s="56">
        <f t="shared" si="42"/>
        <v>0</v>
      </c>
      <c r="I70" s="56">
        <f t="shared" si="42"/>
        <v>50000</v>
      </c>
      <c r="J70" s="56">
        <f t="shared" si="42"/>
        <v>0</v>
      </c>
      <c r="K70" s="56">
        <f t="shared" si="42"/>
        <v>50000</v>
      </c>
      <c r="L70" s="56">
        <f t="shared" si="42"/>
        <v>0</v>
      </c>
      <c r="M70" s="56">
        <f t="shared" si="42"/>
        <v>50000</v>
      </c>
      <c r="N70" s="56">
        <f t="shared" si="42"/>
        <v>0</v>
      </c>
      <c r="O70" s="56">
        <f t="shared" si="42"/>
        <v>50000</v>
      </c>
      <c r="P70" s="56">
        <f t="shared" si="42"/>
        <v>0</v>
      </c>
      <c r="Q70" s="56">
        <f t="shared" si="42"/>
        <v>50000</v>
      </c>
    </row>
    <row r="71" spans="1:17" s="22" customFormat="1" ht="21.75" customHeight="1">
      <c r="A71" s="57"/>
      <c r="B71" s="58"/>
      <c r="C71" s="59" t="s">
        <v>164</v>
      </c>
      <c r="D71" s="62" t="s">
        <v>11</v>
      </c>
      <c r="E71" s="56">
        <v>50000</v>
      </c>
      <c r="F71" s="56"/>
      <c r="G71" s="123">
        <f t="shared" si="2"/>
        <v>50000</v>
      </c>
      <c r="H71" s="56"/>
      <c r="I71" s="123">
        <f>SUM(G71:H71)</f>
        <v>50000</v>
      </c>
      <c r="J71" s="56"/>
      <c r="K71" s="123">
        <f>SUM(I71:J71)</f>
        <v>50000</v>
      </c>
      <c r="L71" s="56"/>
      <c r="M71" s="123">
        <f>SUM(K71:L71)</f>
        <v>50000</v>
      </c>
      <c r="N71" s="56"/>
      <c r="O71" s="123">
        <f>SUM(M71:N71)</f>
        <v>50000</v>
      </c>
      <c r="P71" s="56"/>
      <c r="Q71" s="123">
        <f>SUM(O71:P71)</f>
        <v>50000</v>
      </c>
    </row>
    <row r="72" spans="1:17" s="22" customFormat="1" ht="22.5">
      <c r="A72" s="57"/>
      <c r="B72" s="58" t="s">
        <v>220</v>
      </c>
      <c r="C72" s="65"/>
      <c r="D72" s="62" t="s">
        <v>221</v>
      </c>
      <c r="E72" s="56">
        <f aca="true" t="shared" si="43" ref="E72:Q72">SUM(E73)</f>
        <v>770141</v>
      </c>
      <c r="F72" s="56">
        <f t="shared" si="43"/>
        <v>0</v>
      </c>
      <c r="G72" s="56">
        <f t="shared" si="43"/>
        <v>770141</v>
      </c>
      <c r="H72" s="56">
        <f t="shared" si="43"/>
        <v>0</v>
      </c>
      <c r="I72" s="56">
        <f t="shared" si="43"/>
        <v>770141</v>
      </c>
      <c r="J72" s="56">
        <f t="shared" si="43"/>
        <v>0</v>
      </c>
      <c r="K72" s="56">
        <f t="shared" si="43"/>
        <v>770141</v>
      </c>
      <c r="L72" s="56">
        <f t="shared" si="43"/>
        <v>0</v>
      </c>
      <c r="M72" s="56">
        <f t="shared" si="43"/>
        <v>770141</v>
      </c>
      <c r="N72" s="56">
        <f t="shared" si="43"/>
        <v>0</v>
      </c>
      <c r="O72" s="56">
        <f t="shared" si="43"/>
        <v>770141</v>
      </c>
      <c r="P72" s="56">
        <f t="shared" si="43"/>
        <v>0</v>
      </c>
      <c r="Q72" s="56">
        <f t="shared" si="43"/>
        <v>770141</v>
      </c>
    </row>
    <row r="73" spans="1:17" s="22" customFormat="1" ht="21.75" customHeight="1">
      <c r="A73" s="57"/>
      <c r="B73" s="58"/>
      <c r="C73" s="59">
        <v>2920</v>
      </c>
      <c r="D73" s="62" t="s">
        <v>50</v>
      </c>
      <c r="E73" s="56">
        <v>770141</v>
      </c>
      <c r="F73" s="56"/>
      <c r="G73" s="123">
        <f t="shared" si="2"/>
        <v>770141</v>
      </c>
      <c r="H73" s="56"/>
      <c r="I73" s="123">
        <f>SUM(G73:H73)</f>
        <v>770141</v>
      </c>
      <c r="J73" s="56"/>
      <c r="K73" s="123">
        <f>SUM(I73:J73)</f>
        <v>770141</v>
      </c>
      <c r="L73" s="56"/>
      <c r="M73" s="123">
        <f>SUM(K73:L73)</f>
        <v>770141</v>
      </c>
      <c r="N73" s="56"/>
      <c r="O73" s="123">
        <f>SUM(M73:N73)</f>
        <v>770141</v>
      </c>
      <c r="P73" s="56"/>
      <c r="Q73" s="123">
        <f>SUM(O73:P73)</f>
        <v>770141</v>
      </c>
    </row>
    <row r="74" spans="1:17" s="22" customFormat="1" ht="24" customHeight="1">
      <c r="A74" s="29" t="s">
        <v>111</v>
      </c>
      <c r="B74" s="30"/>
      <c r="C74" s="31"/>
      <c r="D74" s="32" t="s">
        <v>112</v>
      </c>
      <c r="E74" s="42">
        <f aca="true" t="shared" si="44" ref="E74:K74">SUM(E75,E81,E83,E89,E86)</f>
        <v>268995</v>
      </c>
      <c r="F74" s="42">
        <f t="shared" si="44"/>
        <v>0</v>
      </c>
      <c r="G74" s="42">
        <f t="shared" si="44"/>
        <v>268995</v>
      </c>
      <c r="H74" s="42">
        <f t="shared" si="44"/>
        <v>0</v>
      </c>
      <c r="I74" s="42">
        <f t="shared" si="44"/>
        <v>268995</v>
      </c>
      <c r="J74" s="42">
        <f t="shared" si="44"/>
        <v>0</v>
      </c>
      <c r="K74" s="42">
        <f t="shared" si="44"/>
        <v>268995</v>
      </c>
      <c r="L74" s="42">
        <f aca="true" t="shared" si="45" ref="L74:Q74">SUM(L75,L81,L83,L89,L86)</f>
        <v>0</v>
      </c>
      <c r="M74" s="42">
        <f t="shared" si="45"/>
        <v>268995</v>
      </c>
      <c r="N74" s="42">
        <f t="shared" si="45"/>
        <v>0</v>
      </c>
      <c r="O74" s="42">
        <f t="shared" si="45"/>
        <v>268995</v>
      </c>
      <c r="P74" s="42">
        <f t="shared" si="45"/>
        <v>0</v>
      </c>
      <c r="Q74" s="42">
        <f t="shared" si="45"/>
        <v>268995</v>
      </c>
    </row>
    <row r="75" spans="1:17" s="22" customFormat="1" ht="24" customHeight="1">
      <c r="A75" s="52"/>
      <c r="B75" s="67" t="s">
        <v>113</v>
      </c>
      <c r="C75" s="71"/>
      <c r="D75" s="34" t="s">
        <v>52</v>
      </c>
      <c r="E75" s="56">
        <f aca="true" t="shared" si="46" ref="E75:K75">SUM(E76:E80)</f>
        <v>77684</v>
      </c>
      <c r="F75" s="56">
        <f t="shared" si="46"/>
        <v>0</v>
      </c>
      <c r="G75" s="56">
        <f t="shared" si="46"/>
        <v>77684</v>
      </c>
      <c r="H75" s="56">
        <f t="shared" si="46"/>
        <v>0</v>
      </c>
      <c r="I75" s="56">
        <f t="shared" si="46"/>
        <v>77684</v>
      </c>
      <c r="J75" s="56">
        <f t="shared" si="46"/>
        <v>0</v>
      </c>
      <c r="K75" s="56">
        <f t="shared" si="46"/>
        <v>77684</v>
      </c>
      <c r="L75" s="56">
        <f aca="true" t="shared" si="47" ref="L75:Q75">SUM(L76:L80)</f>
        <v>0</v>
      </c>
      <c r="M75" s="56">
        <f t="shared" si="47"/>
        <v>77684</v>
      </c>
      <c r="N75" s="56">
        <f t="shared" si="47"/>
        <v>0</v>
      </c>
      <c r="O75" s="56">
        <f t="shared" si="47"/>
        <v>77684</v>
      </c>
      <c r="P75" s="56">
        <f t="shared" si="47"/>
        <v>0</v>
      </c>
      <c r="Q75" s="56">
        <f t="shared" si="47"/>
        <v>77684</v>
      </c>
    </row>
    <row r="76" spans="1:17" s="22" customFormat="1" ht="24" customHeight="1">
      <c r="A76" s="67"/>
      <c r="B76" s="67"/>
      <c r="C76" s="68" t="s">
        <v>186</v>
      </c>
      <c r="D76" s="34" t="s">
        <v>146</v>
      </c>
      <c r="E76" s="56">
        <v>400</v>
      </c>
      <c r="F76" s="56"/>
      <c r="G76" s="123">
        <f t="shared" si="2"/>
        <v>400</v>
      </c>
      <c r="H76" s="56"/>
      <c r="I76" s="123">
        <f>SUM(G76:H76)</f>
        <v>400</v>
      </c>
      <c r="J76" s="56"/>
      <c r="K76" s="123">
        <f>SUM(I76:J76)</f>
        <v>400</v>
      </c>
      <c r="L76" s="56"/>
      <c r="M76" s="123">
        <f>SUM(K76:L76)</f>
        <v>400</v>
      </c>
      <c r="N76" s="56"/>
      <c r="O76" s="123">
        <f>SUM(M76:N76)</f>
        <v>400</v>
      </c>
      <c r="P76" s="56"/>
      <c r="Q76" s="123">
        <f>SUM(O76:P76)</f>
        <v>400</v>
      </c>
    </row>
    <row r="77" spans="1:17" s="22" customFormat="1" ht="67.5">
      <c r="A77" s="67"/>
      <c r="B77" s="52"/>
      <c r="C77" s="68" t="s">
        <v>163</v>
      </c>
      <c r="D77" s="34" t="s">
        <v>56</v>
      </c>
      <c r="E77" s="56">
        <v>48899</v>
      </c>
      <c r="F77" s="56"/>
      <c r="G77" s="123">
        <f t="shared" si="2"/>
        <v>48899</v>
      </c>
      <c r="H77" s="56"/>
      <c r="I77" s="123">
        <f>SUM(G77:H77)</f>
        <v>48899</v>
      </c>
      <c r="J77" s="56"/>
      <c r="K77" s="123">
        <f>SUM(I77:J77)</f>
        <v>48899</v>
      </c>
      <c r="L77" s="56"/>
      <c r="M77" s="123">
        <f>SUM(K77:L77)</f>
        <v>48899</v>
      </c>
      <c r="N77" s="56"/>
      <c r="O77" s="123">
        <f>SUM(M77:N77)</f>
        <v>48899</v>
      </c>
      <c r="P77" s="56"/>
      <c r="Q77" s="123">
        <f>SUM(O77:P77)</f>
        <v>48899</v>
      </c>
    </row>
    <row r="78" spans="1:17" s="22" customFormat="1" ht="23.25" customHeight="1">
      <c r="A78" s="67"/>
      <c r="B78" s="52"/>
      <c r="C78" s="99" t="s">
        <v>164</v>
      </c>
      <c r="D78" s="51" t="s">
        <v>11</v>
      </c>
      <c r="E78" s="56">
        <v>853</v>
      </c>
      <c r="F78" s="56"/>
      <c r="G78" s="123">
        <f aca="true" t="shared" si="48" ref="G78:G119">SUM(E78:F78)</f>
        <v>853</v>
      </c>
      <c r="H78" s="56"/>
      <c r="I78" s="123">
        <f>SUM(G78:H78)</f>
        <v>853</v>
      </c>
      <c r="J78" s="56"/>
      <c r="K78" s="123">
        <f>SUM(I78:J78)</f>
        <v>853</v>
      </c>
      <c r="L78" s="56"/>
      <c r="M78" s="123">
        <f>SUM(K78:L78)</f>
        <v>853</v>
      </c>
      <c r="N78" s="56"/>
      <c r="O78" s="123">
        <f>SUM(M78:N78)</f>
        <v>853</v>
      </c>
      <c r="P78" s="56"/>
      <c r="Q78" s="123">
        <f>SUM(O78:P78)</f>
        <v>853</v>
      </c>
    </row>
    <row r="79" spans="1:17" s="22" customFormat="1" ht="22.5" customHeight="1">
      <c r="A79" s="67"/>
      <c r="B79" s="52"/>
      <c r="C79" s="99" t="s">
        <v>165</v>
      </c>
      <c r="D79" s="34" t="s">
        <v>12</v>
      </c>
      <c r="E79" s="56">
        <v>22750</v>
      </c>
      <c r="F79" s="56"/>
      <c r="G79" s="123">
        <f t="shared" si="48"/>
        <v>22750</v>
      </c>
      <c r="H79" s="56"/>
      <c r="I79" s="123">
        <f>SUM(G79:H79)</f>
        <v>22750</v>
      </c>
      <c r="J79" s="56"/>
      <c r="K79" s="123">
        <f>SUM(I79:J79)</f>
        <v>22750</v>
      </c>
      <c r="L79" s="56"/>
      <c r="M79" s="123">
        <f>SUM(K79:L79)</f>
        <v>22750</v>
      </c>
      <c r="N79" s="56"/>
      <c r="O79" s="123">
        <f>SUM(M79:N79)</f>
        <v>22750</v>
      </c>
      <c r="P79" s="56"/>
      <c r="Q79" s="123">
        <f>SUM(O79:P79)</f>
        <v>22750</v>
      </c>
    </row>
    <row r="80" spans="1:17" s="22" customFormat="1" ht="45">
      <c r="A80" s="67"/>
      <c r="B80" s="52"/>
      <c r="C80" s="99">
        <v>2310</v>
      </c>
      <c r="D80" s="34" t="s">
        <v>237</v>
      </c>
      <c r="E80" s="56">
        <v>4782</v>
      </c>
      <c r="F80" s="56"/>
      <c r="G80" s="123">
        <f t="shared" si="48"/>
        <v>4782</v>
      </c>
      <c r="H80" s="56"/>
      <c r="I80" s="123">
        <f>SUM(G80:H80)</f>
        <v>4782</v>
      </c>
      <c r="J80" s="56"/>
      <c r="K80" s="123">
        <f>SUM(I80:J80)</f>
        <v>4782</v>
      </c>
      <c r="L80" s="56"/>
      <c r="M80" s="123">
        <f>SUM(K80:L80)</f>
        <v>4782</v>
      </c>
      <c r="N80" s="56"/>
      <c r="O80" s="123">
        <f>SUM(M80:N80)</f>
        <v>4782</v>
      </c>
      <c r="P80" s="56"/>
      <c r="Q80" s="123">
        <f>SUM(O80:P80)</f>
        <v>4782</v>
      </c>
    </row>
    <row r="81" spans="1:17" s="22" customFormat="1" ht="24" customHeight="1">
      <c r="A81" s="57"/>
      <c r="B81" s="58">
        <v>80104</v>
      </c>
      <c r="C81" s="59"/>
      <c r="D81" s="34" t="s">
        <v>126</v>
      </c>
      <c r="E81" s="56">
        <f aca="true" t="shared" si="49" ref="E81:Q81">SUM(E82)</f>
        <v>2000</v>
      </c>
      <c r="F81" s="56">
        <f t="shared" si="49"/>
        <v>0</v>
      </c>
      <c r="G81" s="56">
        <f t="shared" si="49"/>
        <v>2000</v>
      </c>
      <c r="H81" s="56">
        <f t="shared" si="49"/>
        <v>0</v>
      </c>
      <c r="I81" s="56">
        <f t="shared" si="49"/>
        <v>2000</v>
      </c>
      <c r="J81" s="56">
        <f t="shared" si="49"/>
        <v>0</v>
      </c>
      <c r="K81" s="56">
        <f t="shared" si="49"/>
        <v>2000</v>
      </c>
      <c r="L81" s="56">
        <f t="shared" si="49"/>
        <v>0</v>
      </c>
      <c r="M81" s="56">
        <f t="shared" si="49"/>
        <v>2000</v>
      </c>
      <c r="N81" s="56">
        <f t="shared" si="49"/>
        <v>0</v>
      </c>
      <c r="O81" s="56">
        <f t="shared" si="49"/>
        <v>2000</v>
      </c>
      <c r="P81" s="56">
        <f t="shared" si="49"/>
        <v>0</v>
      </c>
      <c r="Q81" s="56">
        <f t="shared" si="49"/>
        <v>2000</v>
      </c>
    </row>
    <row r="82" spans="1:17" s="22" customFormat="1" ht="67.5">
      <c r="A82" s="57"/>
      <c r="B82" s="58"/>
      <c r="C82" s="59" t="s">
        <v>163</v>
      </c>
      <c r="D82" s="34" t="s">
        <v>56</v>
      </c>
      <c r="E82" s="56">
        <v>2000</v>
      </c>
      <c r="F82" s="56"/>
      <c r="G82" s="123">
        <f t="shared" si="48"/>
        <v>2000</v>
      </c>
      <c r="H82" s="56"/>
      <c r="I82" s="123">
        <f>SUM(G82:H82)</f>
        <v>2000</v>
      </c>
      <c r="J82" s="56"/>
      <c r="K82" s="123">
        <f>SUM(I82:J82)</f>
        <v>2000</v>
      </c>
      <c r="L82" s="56"/>
      <c r="M82" s="123">
        <f>SUM(K82:L82)</f>
        <v>2000</v>
      </c>
      <c r="N82" s="56"/>
      <c r="O82" s="123">
        <f>SUM(M82:N82)</f>
        <v>2000</v>
      </c>
      <c r="P82" s="56"/>
      <c r="Q82" s="123">
        <f>SUM(O82:P82)</f>
        <v>2000</v>
      </c>
    </row>
    <row r="83" spans="1:17" s="22" customFormat="1" ht="24" customHeight="1">
      <c r="A83" s="57"/>
      <c r="B83" s="58">
        <v>80110</v>
      </c>
      <c r="C83" s="59"/>
      <c r="D83" s="34" t="s">
        <v>53</v>
      </c>
      <c r="E83" s="56">
        <f aca="true" t="shared" si="50" ref="E83:K83">SUM(E84:E85)</f>
        <v>8519</v>
      </c>
      <c r="F83" s="56">
        <f t="shared" si="50"/>
        <v>0</v>
      </c>
      <c r="G83" s="56">
        <f t="shared" si="50"/>
        <v>8519</v>
      </c>
      <c r="H83" s="56">
        <f t="shared" si="50"/>
        <v>0</v>
      </c>
      <c r="I83" s="56">
        <f t="shared" si="50"/>
        <v>8519</v>
      </c>
      <c r="J83" s="56">
        <f t="shared" si="50"/>
        <v>0</v>
      </c>
      <c r="K83" s="56">
        <f t="shared" si="50"/>
        <v>8519</v>
      </c>
      <c r="L83" s="56">
        <f aca="true" t="shared" si="51" ref="L83:Q83">SUM(L84:L85)</f>
        <v>0</v>
      </c>
      <c r="M83" s="56">
        <f t="shared" si="51"/>
        <v>8519</v>
      </c>
      <c r="N83" s="56">
        <f t="shared" si="51"/>
        <v>0</v>
      </c>
      <c r="O83" s="56">
        <f t="shared" si="51"/>
        <v>8519</v>
      </c>
      <c r="P83" s="56">
        <f t="shared" si="51"/>
        <v>0</v>
      </c>
      <c r="Q83" s="56">
        <f t="shared" si="51"/>
        <v>8519</v>
      </c>
    </row>
    <row r="84" spans="1:17" s="22" customFormat="1" ht="67.5">
      <c r="A84" s="57"/>
      <c r="B84" s="58"/>
      <c r="C84" s="59" t="s">
        <v>163</v>
      </c>
      <c r="D84" s="34" t="s">
        <v>56</v>
      </c>
      <c r="E84" s="56">
        <v>8510</v>
      </c>
      <c r="F84" s="56"/>
      <c r="G84" s="123">
        <f t="shared" si="48"/>
        <v>8510</v>
      </c>
      <c r="H84" s="56"/>
      <c r="I84" s="123">
        <f>SUM(G84:H84)</f>
        <v>8510</v>
      </c>
      <c r="J84" s="56"/>
      <c r="K84" s="123">
        <f>SUM(I84:J84)</f>
        <v>8510</v>
      </c>
      <c r="L84" s="56"/>
      <c r="M84" s="123">
        <f>SUM(K84:L84)</f>
        <v>8510</v>
      </c>
      <c r="N84" s="56"/>
      <c r="O84" s="123">
        <f>SUM(M84:N84)</f>
        <v>8510</v>
      </c>
      <c r="P84" s="56"/>
      <c r="Q84" s="123">
        <f>SUM(O84:P84)</f>
        <v>8510</v>
      </c>
    </row>
    <row r="85" spans="1:17" s="22" customFormat="1" ht="22.5" customHeight="1">
      <c r="A85" s="57"/>
      <c r="B85" s="58"/>
      <c r="C85" s="59" t="s">
        <v>164</v>
      </c>
      <c r="D85" s="51" t="s">
        <v>11</v>
      </c>
      <c r="E85" s="56">
        <v>9</v>
      </c>
      <c r="F85" s="56"/>
      <c r="G85" s="123">
        <f t="shared" si="48"/>
        <v>9</v>
      </c>
      <c r="H85" s="56"/>
      <c r="I85" s="123">
        <f>SUM(G85:H85)</f>
        <v>9</v>
      </c>
      <c r="J85" s="56"/>
      <c r="K85" s="123">
        <f>SUM(I85:J85)</f>
        <v>9</v>
      </c>
      <c r="L85" s="56"/>
      <c r="M85" s="123">
        <f>SUM(K85:L85)</f>
        <v>9</v>
      </c>
      <c r="N85" s="56"/>
      <c r="O85" s="123">
        <f>SUM(M85:N85)</f>
        <v>9</v>
      </c>
      <c r="P85" s="56"/>
      <c r="Q85" s="123">
        <f>SUM(O85:P85)</f>
        <v>9</v>
      </c>
    </row>
    <row r="86" spans="1:17" s="22" customFormat="1" ht="22.5" customHeight="1">
      <c r="A86" s="57"/>
      <c r="B86" s="58">
        <v>80148</v>
      </c>
      <c r="C86" s="59"/>
      <c r="D86" s="51" t="s">
        <v>243</v>
      </c>
      <c r="E86" s="56">
        <f aca="true" t="shared" si="52" ref="E86:K86">SUM(E87:E88)</f>
        <v>129806</v>
      </c>
      <c r="F86" s="56">
        <f t="shared" si="52"/>
        <v>0</v>
      </c>
      <c r="G86" s="56">
        <f t="shared" si="52"/>
        <v>129806</v>
      </c>
      <c r="H86" s="56">
        <f t="shared" si="52"/>
        <v>0</v>
      </c>
      <c r="I86" s="56">
        <f t="shared" si="52"/>
        <v>129806</v>
      </c>
      <c r="J86" s="56">
        <f t="shared" si="52"/>
        <v>0</v>
      </c>
      <c r="K86" s="56">
        <f t="shared" si="52"/>
        <v>129806</v>
      </c>
      <c r="L86" s="56">
        <f aca="true" t="shared" si="53" ref="L86:Q86">SUM(L87:L88)</f>
        <v>0</v>
      </c>
      <c r="M86" s="56">
        <f t="shared" si="53"/>
        <v>129806</v>
      </c>
      <c r="N86" s="56">
        <f t="shared" si="53"/>
        <v>0</v>
      </c>
      <c r="O86" s="56">
        <f t="shared" si="53"/>
        <v>129806</v>
      </c>
      <c r="P86" s="56">
        <f t="shared" si="53"/>
        <v>0</v>
      </c>
      <c r="Q86" s="56">
        <f t="shared" si="53"/>
        <v>129806</v>
      </c>
    </row>
    <row r="87" spans="1:17" s="22" customFormat="1" ht="22.5" customHeight="1">
      <c r="A87" s="57"/>
      <c r="B87" s="58"/>
      <c r="C87" s="59" t="s">
        <v>199</v>
      </c>
      <c r="D87" s="51" t="s">
        <v>200</v>
      </c>
      <c r="E87" s="56">
        <v>129800</v>
      </c>
      <c r="F87" s="56"/>
      <c r="G87" s="123">
        <f t="shared" si="48"/>
        <v>129800</v>
      </c>
      <c r="H87" s="56"/>
      <c r="I87" s="123">
        <f>SUM(G87:H87)</f>
        <v>129800</v>
      </c>
      <c r="J87" s="56"/>
      <c r="K87" s="123">
        <f>SUM(I87:J87)</f>
        <v>129800</v>
      </c>
      <c r="L87" s="56"/>
      <c r="M87" s="123">
        <f>SUM(K87:L87)</f>
        <v>129800</v>
      </c>
      <c r="N87" s="56"/>
      <c r="O87" s="123">
        <f>SUM(M87:N87)</f>
        <v>129800</v>
      </c>
      <c r="P87" s="56"/>
      <c r="Q87" s="123">
        <f>SUM(O87:P87)</f>
        <v>129800</v>
      </c>
    </row>
    <row r="88" spans="1:17" s="22" customFormat="1" ht="22.5" customHeight="1">
      <c r="A88" s="57"/>
      <c r="B88" s="58"/>
      <c r="C88" s="59" t="s">
        <v>164</v>
      </c>
      <c r="D88" s="51" t="s">
        <v>11</v>
      </c>
      <c r="E88" s="56">
        <v>6</v>
      </c>
      <c r="F88" s="56"/>
      <c r="G88" s="123">
        <f t="shared" si="48"/>
        <v>6</v>
      </c>
      <c r="H88" s="56"/>
      <c r="I88" s="123">
        <f>SUM(G88:H88)</f>
        <v>6</v>
      </c>
      <c r="J88" s="56"/>
      <c r="K88" s="123">
        <f>SUM(I88:J88)</f>
        <v>6</v>
      </c>
      <c r="L88" s="56"/>
      <c r="M88" s="123">
        <f>SUM(K88:L88)</f>
        <v>6</v>
      </c>
      <c r="N88" s="56"/>
      <c r="O88" s="123">
        <f>SUM(M88:N88)</f>
        <v>6</v>
      </c>
      <c r="P88" s="56"/>
      <c r="Q88" s="123">
        <f>SUM(O88:P88)</f>
        <v>6</v>
      </c>
    </row>
    <row r="89" spans="1:17" s="22" customFormat="1" ht="24" customHeight="1">
      <c r="A89" s="57"/>
      <c r="B89" s="58">
        <v>80195</v>
      </c>
      <c r="C89" s="59"/>
      <c r="D89" s="51" t="s">
        <v>6</v>
      </c>
      <c r="E89" s="56">
        <f aca="true" t="shared" si="54" ref="E89:Q89">SUM(E90)</f>
        <v>50986</v>
      </c>
      <c r="F89" s="56">
        <f t="shared" si="54"/>
        <v>0</v>
      </c>
      <c r="G89" s="56">
        <f t="shared" si="54"/>
        <v>50986</v>
      </c>
      <c r="H89" s="56">
        <f t="shared" si="54"/>
        <v>0</v>
      </c>
      <c r="I89" s="56">
        <f t="shared" si="54"/>
        <v>50986</v>
      </c>
      <c r="J89" s="56">
        <f t="shared" si="54"/>
        <v>0</v>
      </c>
      <c r="K89" s="56">
        <f t="shared" si="54"/>
        <v>50986</v>
      </c>
      <c r="L89" s="56">
        <f t="shared" si="54"/>
        <v>0</v>
      </c>
      <c r="M89" s="56">
        <f t="shared" si="54"/>
        <v>50986</v>
      </c>
      <c r="N89" s="56">
        <f t="shared" si="54"/>
        <v>0</v>
      </c>
      <c r="O89" s="56">
        <f t="shared" si="54"/>
        <v>50986</v>
      </c>
      <c r="P89" s="56">
        <f t="shared" si="54"/>
        <v>0</v>
      </c>
      <c r="Q89" s="56">
        <f t="shared" si="54"/>
        <v>50986</v>
      </c>
    </row>
    <row r="90" spans="1:17" s="22" customFormat="1" ht="33.75">
      <c r="A90" s="57"/>
      <c r="B90" s="58"/>
      <c r="C90" s="59">
        <v>2030</v>
      </c>
      <c r="D90" s="62" t="s">
        <v>218</v>
      </c>
      <c r="E90" s="56">
        <v>50986</v>
      </c>
      <c r="F90" s="56"/>
      <c r="G90" s="123">
        <f t="shared" si="48"/>
        <v>50986</v>
      </c>
      <c r="H90" s="56"/>
      <c r="I90" s="123">
        <f>SUM(G90:H90)</f>
        <v>50986</v>
      </c>
      <c r="J90" s="56"/>
      <c r="K90" s="123">
        <f>SUM(I90:J90)</f>
        <v>50986</v>
      </c>
      <c r="L90" s="56"/>
      <c r="M90" s="123">
        <f>SUM(K90:L90)</f>
        <v>50986</v>
      </c>
      <c r="N90" s="56"/>
      <c r="O90" s="123">
        <f>SUM(M90:N90)</f>
        <v>50986</v>
      </c>
      <c r="P90" s="56"/>
      <c r="Q90" s="123">
        <f>SUM(O90:P90)</f>
        <v>50986</v>
      </c>
    </row>
    <row r="91" spans="1:17" s="5" customFormat="1" ht="24.75" customHeight="1">
      <c r="A91" s="25" t="s">
        <v>156</v>
      </c>
      <c r="B91" s="1"/>
      <c r="C91" s="2"/>
      <c r="D91" s="26" t="s">
        <v>192</v>
      </c>
      <c r="E91" s="42">
        <f aca="true" t="shared" si="55" ref="E91:K91">SUM(E92,E94,E96,E100,E104,)</f>
        <v>9133600</v>
      </c>
      <c r="F91" s="42">
        <f t="shared" si="55"/>
        <v>0</v>
      </c>
      <c r="G91" s="42">
        <f t="shared" si="55"/>
        <v>9133600</v>
      </c>
      <c r="H91" s="42">
        <f t="shared" si="55"/>
        <v>0</v>
      </c>
      <c r="I91" s="42">
        <f t="shared" si="55"/>
        <v>9133600</v>
      </c>
      <c r="J91" s="42">
        <f t="shared" si="55"/>
        <v>312600</v>
      </c>
      <c r="K91" s="42">
        <f t="shared" si="55"/>
        <v>9446200</v>
      </c>
      <c r="L91" s="42">
        <f aca="true" t="shared" si="56" ref="L91:Q91">SUM(L92,L94,L96,L100,L104,)</f>
        <v>13050</v>
      </c>
      <c r="M91" s="42">
        <f t="shared" si="56"/>
        <v>9459250</v>
      </c>
      <c r="N91" s="42">
        <f t="shared" si="56"/>
        <v>75000</v>
      </c>
      <c r="O91" s="42">
        <f t="shared" si="56"/>
        <v>9534250</v>
      </c>
      <c r="P91" s="42">
        <f t="shared" si="56"/>
        <v>0</v>
      </c>
      <c r="Q91" s="42">
        <f t="shared" si="56"/>
        <v>9534250</v>
      </c>
    </row>
    <row r="92" spans="1:17" s="22" customFormat="1" ht="45">
      <c r="A92" s="57"/>
      <c r="B92" s="37">
        <v>85212</v>
      </c>
      <c r="C92" s="64"/>
      <c r="D92" s="62" t="s">
        <v>297</v>
      </c>
      <c r="E92" s="56">
        <f aca="true" t="shared" si="57" ref="E92:Q92">SUM(E93:E93)</f>
        <v>6479100</v>
      </c>
      <c r="F92" s="56">
        <f t="shared" si="57"/>
        <v>0</v>
      </c>
      <c r="G92" s="56">
        <f t="shared" si="57"/>
        <v>6479100</v>
      </c>
      <c r="H92" s="56">
        <f t="shared" si="57"/>
        <v>0</v>
      </c>
      <c r="I92" s="56">
        <f t="shared" si="57"/>
        <v>6479100</v>
      </c>
      <c r="J92" s="56">
        <f t="shared" si="57"/>
        <v>334300</v>
      </c>
      <c r="K92" s="56">
        <f t="shared" si="57"/>
        <v>6813400</v>
      </c>
      <c r="L92" s="56">
        <f t="shared" si="57"/>
        <v>0</v>
      </c>
      <c r="M92" s="56">
        <f t="shared" si="57"/>
        <v>6813400</v>
      </c>
      <c r="N92" s="56">
        <f t="shared" si="57"/>
        <v>0</v>
      </c>
      <c r="O92" s="56">
        <f t="shared" si="57"/>
        <v>6813400</v>
      </c>
      <c r="P92" s="56">
        <f t="shared" si="57"/>
        <v>0</v>
      </c>
      <c r="Q92" s="56">
        <f t="shared" si="57"/>
        <v>6813400</v>
      </c>
    </row>
    <row r="93" spans="1:17" s="22" customFormat="1" ht="56.25">
      <c r="A93" s="57"/>
      <c r="B93" s="37"/>
      <c r="C93" s="64">
        <v>2010</v>
      </c>
      <c r="D93" s="62" t="s">
        <v>217</v>
      </c>
      <c r="E93" s="56">
        <v>6479100</v>
      </c>
      <c r="F93" s="56"/>
      <c r="G93" s="123">
        <f t="shared" si="48"/>
        <v>6479100</v>
      </c>
      <c r="H93" s="56"/>
      <c r="I93" s="123">
        <f>SUM(G93:H93)</f>
        <v>6479100</v>
      </c>
      <c r="J93" s="56">
        <v>334300</v>
      </c>
      <c r="K93" s="123">
        <f>SUM(I93:J93)</f>
        <v>6813400</v>
      </c>
      <c r="L93" s="56"/>
      <c r="M93" s="123">
        <f>SUM(K93:L93)</f>
        <v>6813400</v>
      </c>
      <c r="N93" s="56"/>
      <c r="O93" s="123">
        <f>SUM(M93:N93)</f>
        <v>6813400</v>
      </c>
      <c r="P93" s="56"/>
      <c r="Q93" s="123">
        <f>SUM(O93:P93)</f>
        <v>6813400</v>
      </c>
    </row>
    <row r="94" spans="1:17" s="22" customFormat="1" ht="46.5" customHeight="1">
      <c r="A94" s="57"/>
      <c r="B94" s="37">
        <v>85213</v>
      </c>
      <c r="C94" s="65"/>
      <c r="D94" s="62" t="s">
        <v>270</v>
      </c>
      <c r="E94" s="56">
        <f aca="true" t="shared" si="58" ref="E94:Q94">SUM(E95)</f>
        <v>59100</v>
      </c>
      <c r="F94" s="56">
        <f t="shared" si="58"/>
        <v>0</v>
      </c>
      <c r="G94" s="56">
        <f t="shared" si="58"/>
        <v>59100</v>
      </c>
      <c r="H94" s="56">
        <f t="shared" si="58"/>
        <v>0</v>
      </c>
      <c r="I94" s="56">
        <f t="shared" si="58"/>
        <v>59100</v>
      </c>
      <c r="J94" s="56">
        <f t="shared" si="58"/>
        <v>-4100</v>
      </c>
      <c r="K94" s="56">
        <f t="shared" si="58"/>
        <v>55000</v>
      </c>
      <c r="L94" s="56">
        <f t="shared" si="58"/>
        <v>0</v>
      </c>
      <c r="M94" s="56">
        <f t="shared" si="58"/>
        <v>55000</v>
      </c>
      <c r="N94" s="56">
        <f t="shared" si="58"/>
        <v>0</v>
      </c>
      <c r="O94" s="56">
        <f t="shared" si="58"/>
        <v>55000</v>
      </c>
      <c r="P94" s="56">
        <f t="shared" si="58"/>
        <v>0</v>
      </c>
      <c r="Q94" s="56">
        <f t="shared" si="58"/>
        <v>55000</v>
      </c>
    </row>
    <row r="95" spans="1:17" s="22" customFormat="1" ht="56.25">
      <c r="A95" s="57"/>
      <c r="B95" s="37"/>
      <c r="C95" s="65">
        <v>2010</v>
      </c>
      <c r="D95" s="62" t="s">
        <v>217</v>
      </c>
      <c r="E95" s="56">
        <v>59100</v>
      </c>
      <c r="F95" s="56"/>
      <c r="G95" s="123">
        <f t="shared" si="48"/>
        <v>59100</v>
      </c>
      <c r="H95" s="56"/>
      <c r="I95" s="123">
        <f>SUM(G95:H95)</f>
        <v>59100</v>
      </c>
      <c r="J95" s="56">
        <v>-4100</v>
      </c>
      <c r="K95" s="123">
        <f>SUM(I95:J95)</f>
        <v>55000</v>
      </c>
      <c r="L95" s="56"/>
      <c r="M95" s="123">
        <f>SUM(K95:L95)</f>
        <v>55000</v>
      </c>
      <c r="N95" s="56"/>
      <c r="O95" s="123">
        <f>SUM(M95:N95)</f>
        <v>55000</v>
      </c>
      <c r="P95" s="56"/>
      <c r="Q95" s="123">
        <f>SUM(O95:P95)</f>
        <v>55000</v>
      </c>
    </row>
    <row r="96" spans="1:17" s="22" customFormat="1" ht="26.25" customHeight="1">
      <c r="A96" s="57"/>
      <c r="B96" s="58" t="s">
        <v>157</v>
      </c>
      <c r="C96" s="65"/>
      <c r="D96" s="62" t="s">
        <v>57</v>
      </c>
      <c r="E96" s="56">
        <f aca="true" t="shared" si="59" ref="E96:K96">SUM(E97:E99)</f>
        <v>1126700</v>
      </c>
      <c r="F96" s="56">
        <f t="shared" si="59"/>
        <v>0</v>
      </c>
      <c r="G96" s="56">
        <f t="shared" si="59"/>
        <v>1126700</v>
      </c>
      <c r="H96" s="56">
        <f t="shared" si="59"/>
        <v>0</v>
      </c>
      <c r="I96" s="56">
        <f t="shared" si="59"/>
        <v>1126700</v>
      </c>
      <c r="J96" s="56">
        <f t="shared" si="59"/>
        <v>-17600</v>
      </c>
      <c r="K96" s="56">
        <f t="shared" si="59"/>
        <v>1109100</v>
      </c>
      <c r="L96" s="56">
        <f aca="true" t="shared" si="60" ref="L96:Q96">SUM(L97:L99)</f>
        <v>0</v>
      </c>
      <c r="M96" s="56">
        <f t="shared" si="60"/>
        <v>1109100</v>
      </c>
      <c r="N96" s="56">
        <f t="shared" si="60"/>
        <v>0</v>
      </c>
      <c r="O96" s="56">
        <f t="shared" si="60"/>
        <v>1109100</v>
      </c>
      <c r="P96" s="56">
        <f t="shared" si="60"/>
        <v>0</v>
      </c>
      <c r="Q96" s="56">
        <f t="shared" si="60"/>
        <v>1109100</v>
      </c>
    </row>
    <row r="97" spans="1:17" s="22" customFormat="1" ht="26.25" customHeight="1">
      <c r="A97" s="57"/>
      <c r="B97" s="58"/>
      <c r="C97" s="64" t="s">
        <v>199</v>
      </c>
      <c r="D97" s="62" t="s">
        <v>200</v>
      </c>
      <c r="E97" s="56">
        <v>2600</v>
      </c>
      <c r="F97" s="56"/>
      <c r="G97" s="123">
        <f t="shared" si="48"/>
        <v>2600</v>
      </c>
      <c r="H97" s="56"/>
      <c r="I97" s="123">
        <f>SUM(G97:H97)</f>
        <v>2600</v>
      </c>
      <c r="J97" s="56"/>
      <c r="K97" s="123">
        <f>SUM(I97:J97)</f>
        <v>2600</v>
      </c>
      <c r="L97" s="56"/>
      <c r="M97" s="123">
        <f>SUM(K97:L97)</f>
        <v>2600</v>
      </c>
      <c r="N97" s="56"/>
      <c r="O97" s="123">
        <f>SUM(M97:N97)</f>
        <v>2600</v>
      </c>
      <c r="P97" s="56"/>
      <c r="Q97" s="123">
        <f>SUM(O97:P97)</f>
        <v>2600</v>
      </c>
    </row>
    <row r="98" spans="1:17" s="22" customFormat="1" ht="67.5" customHeight="1">
      <c r="A98" s="57"/>
      <c r="B98" s="58"/>
      <c r="C98" s="59">
        <v>2010</v>
      </c>
      <c r="D98" s="62" t="s">
        <v>217</v>
      </c>
      <c r="E98" s="56">
        <v>468000</v>
      </c>
      <c r="F98" s="56"/>
      <c r="G98" s="123">
        <f t="shared" si="48"/>
        <v>468000</v>
      </c>
      <c r="H98" s="56"/>
      <c r="I98" s="123">
        <f>SUM(G98:H98)</f>
        <v>468000</v>
      </c>
      <c r="J98" s="56">
        <v>50700</v>
      </c>
      <c r="K98" s="123">
        <f>SUM(I98:J98)</f>
        <v>518700</v>
      </c>
      <c r="L98" s="56"/>
      <c r="M98" s="123">
        <f>SUM(K98:L98)</f>
        <v>518700</v>
      </c>
      <c r="N98" s="56"/>
      <c r="O98" s="123">
        <f>SUM(M98:N98)</f>
        <v>518700</v>
      </c>
      <c r="P98" s="56"/>
      <c r="Q98" s="123">
        <f>SUM(O98:P98)</f>
        <v>518700</v>
      </c>
    </row>
    <row r="99" spans="1:17" s="22" customFormat="1" ht="48.75" customHeight="1">
      <c r="A99" s="57"/>
      <c r="B99" s="58"/>
      <c r="C99" s="59">
        <v>2030</v>
      </c>
      <c r="D99" s="62" t="s">
        <v>218</v>
      </c>
      <c r="E99" s="56">
        <v>656100</v>
      </c>
      <c r="F99" s="56"/>
      <c r="G99" s="123">
        <f t="shared" si="48"/>
        <v>656100</v>
      </c>
      <c r="H99" s="56"/>
      <c r="I99" s="123">
        <f>SUM(G99:H99)</f>
        <v>656100</v>
      </c>
      <c r="J99" s="56">
        <v>-68300</v>
      </c>
      <c r="K99" s="123">
        <f>SUM(I99:J99)</f>
        <v>587800</v>
      </c>
      <c r="L99" s="56"/>
      <c r="M99" s="123">
        <f>SUM(K99:L99)</f>
        <v>587800</v>
      </c>
      <c r="N99" s="56"/>
      <c r="O99" s="123">
        <f>SUM(M99:N99)</f>
        <v>587800</v>
      </c>
      <c r="P99" s="56"/>
      <c r="Q99" s="123">
        <f>SUM(O99:P99)</f>
        <v>587800</v>
      </c>
    </row>
    <row r="100" spans="1:17" s="22" customFormat="1" ht="24" customHeight="1">
      <c r="A100" s="57"/>
      <c r="B100" s="58" t="s">
        <v>158</v>
      </c>
      <c r="C100" s="65"/>
      <c r="D100" s="62" t="s">
        <v>59</v>
      </c>
      <c r="E100" s="56">
        <f aca="true" t="shared" si="61" ref="E100:K100">SUM(E101:E103)</f>
        <v>602400</v>
      </c>
      <c r="F100" s="56">
        <f t="shared" si="61"/>
        <v>0</v>
      </c>
      <c r="G100" s="56">
        <f t="shared" si="61"/>
        <v>602400</v>
      </c>
      <c r="H100" s="56">
        <f t="shared" si="61"/>
        <v>0</v>
      </c>
      <c r="I100" s="56">
        <f t="shared" si="61"/>
        <v>602400</v>
      </c>
      <c r="J100" s="56">
        <f t="shared" si="61"/>
        <v>0</v>
      </c>
      <c r="K100" s="56">
        <f t="shared" si="61"/>
        <v>602400</v>
      </c>
      <c r="L100" s="56">
        <f aca="true" t="shared" si="62" ref="L100:Q100">SUM(L101:L103)</f>
        <v>13050</v>
      </c>
      <c r="M100" s="56">
        <f t="shared" si="62"/>
        <v>615450</v>
      </c>
      <c r="N100" s="56">
        <f t="shared" si="62"/>
        <v>0</v>
      </c>
      <c r="O100" s="56">
        <f t="shared" si="62"/>
        <v>615450</v>
      </c>
      <c r="P100" s="56">
        <f t="shared" si="62"/>
        <v>0</v>
      </c>
      <c r="Q100" s="56">
        <f t="shared" si="62"/>
        <v>615450</v>
      </c>
    </row>
    <row r="101" spans="1:17" s="22" customFormat="1" ht="76.5" customHeight="1">
      <c r="A101" s="57"/>
      <c r="B101" s="58"/>
      <c r="C101" s="64" t="s">
        <v>163</v>
      </c>
      <c r="D101" s="34" t="s">
        <v>56</v>
      </c>
      <c r="E101" s="56">
        <v>2800</v>
      </c>
      <c r="F101" s="56"/>
      <c r="G101" s="123">
        <f t="shared" si="48"/>
        <v>2800</v>
      </c>
      <c r="H101" s="56"/>
      <c r="I101" s="123">
        <f>SUM(G101:H101)</f>
        <v>2800</v>
      </c>
      <c r="J101" s="56"/>
      <c r="K101" s="123">
        <f>SUM(I101:J101)</f>
        <v>2800</v>
      </c>
      <c r="L101" s="56"/>
      <c r="M101" s="123">
        <f>SUM(K101:L101)</f>
        <v>2800</v>
      </c>
      <c r="N101" s="56"/>
      <c r="O101" s="123">
        <f>SUM(M101:N101)</f>
        <v>2800</v>
      </c>
      <c r="P101" s="56"/>
      <c r="Q101" s="123">
        <f>SUM(O101:P101)</f>
        <v>2800</v>
      </c>
    </row>
    <row r="102" spans="1:17" s="22" customFormat="1" ht="21.75" customHeight="1">
      <c r="A102" s="57"/>
      <c r="B102" s="58"/>
      <c r="C102" s="64" t="s">
        <v>164</v>
      </c>
      <c r="D102" s="62" t="s">
        <v>11</v>
      </c>
      <c r="E102" s="56">
        <v>1800</v>
      </c>
      <c r="F102" s="56"/>
      <c r="G102" s="123">
        <f t="shared" si="48"/>
        <v>1800</v>
      </c>
      <c r="H102" s="56"/>
      <c r="I102" s="123">
        <f>SUM(G102:H102)</f>
        <v>1800</v>
      </c>
      <c r="J102" s="56"/>
      <c r="K102" s="123">
        <f>SUM(I102:J102)</f>
        <v>1800</v>
      </c>
      <c r="L102" s="56"/>
      <c r="M102" s="123">
        <f>SUM(K102:L102)</f>
        <v>1800</v>
      </c>
      <c r="N102" s="56"/>
      <c r="O102" s="123">
        <f>SUM(M102:N102)</f>
        <v>1800</v>
      </c>
      <c r="P102" s="56"/>
      <c r="Q102" s="123">
        <f>SUM(O102:P102)</f>
        <v>1800</v>
      </c>
    </row>
    <row r="103" spans="1:17" s="22" customFormat="1" ht="33.75">
      <c r="A103" s="57"/>
      <c r="B103" s="58"/>
      <c r="C103" s="59">
        <v>2030</v>
      </c>
      <c r="D103" s="62" t="s">
        <v>218</v>
      </c>
      <c r="E103" s="56">
        <v>597800</v>
      </c>
      <c r="F103" s="56"/>
      <c r="G103" s="123">
        <f t="shared" si="48"/>
        <v>597800</v>
      </c>
      <c r="H103" s="56"/>
      <c r="I103" s="123">
        <f>SUM(G103:H103)</f>
        <v>597800</v>
      </c>
      <c r="J103" s="56"/>
      <c r="K103" s="123">
        <f>SUM(I103:J103)</f>
        <v>597800</v>
      </c>
      <c r="L103" s="56">
        <v>13050</v>
      </c>
      <c r="M103" s="123">
        <f>SUM(K103:L103)</f>
        <v>610850</v>
      </c>
      <c r="N103" s="56"/>
      <c r="O103" s="123">
        <f>SUM(M103:N103)</f>
        <v>610850</v>
      </c>
      <c r="P103" s="56"/>
      <c r="Q103" s="123">
        <f>SUM(O103:P103)</f>
        <v>610850</v>
      </c>
    </row>
    <row r="104" spans="1:17" s="22" customFormat="1" ht="24" customHeight="1">
      <c r="A104" s="57"/>
      <c r="B104" s="58">
        <v>85295</v>
      </c>
      <c r="C104" s="59"/>
      <c r="D104" s="62" t="s">
        <v>207</v>
      </c>
      <c r="E104" s="56">
        <f aca="true" t="shared" si="63" ref="E104:K104">SUM(E105:E106)</f>
        <v>866300</v>
      </c>
      <c r="F104" s="56">
        <f t="shared" si="63"/>
        <v>0</v>
      </c>
      <c r="G104" s="56">
        <f t="shared" si="63"/>
        <v>866300</v>
      </c>
      <c r="H104" s="56">
        <f t="shared" si="63"/>
        <v>0</v>
      </c>
      <c r="I104" s="56">
        <f t="shared" si="63"/>
        <v>866300</v>
      </c>
      <c r="J104" s="56">
        <f t="shared" si="63"/>
        <v>0</v>
      </c>
      <c r="K104" s="56">
        <f t="shared" si="63"/>
        <v>866300</v>
      </c>
      <c r="L104" s="56">
        <f aca="true" t="shared" si="64" ref="L104:Q104">SUM(L105:L106)</f>
        <v>0</v>
      </c>
      <c r="M104" s="56">
        <f t="shared" si="64"/>
        <v>866300</v>
      </c>
      <c r="N104" s="56">
        <f t="shared" si="64"/>
        <v>75000</v>
      </c>
      <c r="O104" s="56">
        <f t="shared" si="64"/>
        <v>941300</v>
      </c>
      <c r="P104" s="56">
        <f t="shared" si="64"/>
        <v>0</v>
      </c>
      <c r="Q104" s="56">
        <f t="shared" si="64"/>
        <v>941300</v>
      </c>
    </row>
    <row r="105" spans="1:17" s="22" customFormat="1" ht="24" customHeight="1">
      <c r="A105" s="57"/>
      <c r="B105" s="58"/>
      <c r="C105" s="64" t="s">
        <v>199</v>
      </c>
      <c r="D105" s="62" t="s">
        <v>200</v>
      </c>
      <c r="E105" s="56">
        <v>325000</v>
      </c>
      <c r="F105" s="56"/>
      <c r="G105" s="123">
        <f t="shared" si="48"/>
        <v>325000</v>
      </c>
      <c r="H105" s="56"/>
      <c r="I105" s="123">
        <f>SUM(G105:H105)</f>
        <v>325000</v>
      </c>
      <c r="J105" s="56"/>
      <c r="K105" s="123">
        <f>SUM(I105:J105)</f>
        <v>325000</v>
      </c>
      <c r="L105" s="56"/>
      <c r="M105" s="123">
        <f>SUM(K105:L105)</f>
        <v>325000</v>
      </c>
      <c r="N105" s="56"/>
      <c r="O105" s="123">
        <f>SUM(M105:N105)</f>
        <v>325000</v>
      </c>
      <c r="P105" s="56"/>
      <c r="Q105" s="123">
        <f>SUM(O105:P105)</f>
        <v>325000</v>
      </c>
    </row>
    <row r="106" spans="1:17" s="22" customFormat="1" ht="33.75">
      <c r="A106" s="57"/>
      <c r="B106" s="58"/>
      <c r="C106" s="59">
        <v>2030</v>
      </c>
      <c r="D106" s="62" t="s">
        <v>218</v>
      </c>
      <c r="E106" s="56">
        <v>541300</v>
      </c>
      <c r="F106" s="56"/>
      <c r="G106" s="123">
        <f t="shared" si="48"/>
        <v>541300</v>
      </c>
      <c r="H106" s="56"/>
      <c r="I106" s="123">
        <f>SUM(G106:H106)</f>
        <v>541300</v>
      </c>
      <c r="J106" s="56"/>
      <c r="K106" s="123">
        <f>SUM(I106:J106)</f>
        <v>541300</v>
      </c>
      <c r="L106" s="56"/>
      <c r="M106" s="123">
        <f>SUM(K106:L106)</f>
        <v>541300</v>
      </c>
      <c r="N106" s="56">
        <v>75000</v>
      </c>
      <c r="O106" s="123">
        <f>SUM(M106:N106)</f>
        <v>616300</v>
      </c>
      <c r="P106" s="56"/>
      <c r="Q106" s="123">
        <f>SUM(O106:P106)</f>
        <v>616300</v>
      </c>
    </row>
    <row r="107" spans="1:17" s="110" customFormat="1" ht="22.5" customHeight="1">
      <c r="A107" s="139">
        <v>854</v>
      </c>
      <c r="B107" s="143"/>
      <c r="C107" s="144"/>
      <c r="D107" s="32" t="s">
        <v>60</v>
      </c>
      <c r="E107" s="145"/>
      <c r="F107" s="145"/>
      <c r="G107" s="146">
        <f aca="true" t="shared" si="65" ref="G107:Q108">SUM(G108)</f>
        <v>0</v>
      </c>
      <c r="H107" s="146">
        <f t="shared" si="65"/>
        <v>252163</v>
      </c>
      <c r="I107" s="146">
        <f t="shared" si="65"/>
        <v>252163</v>
      </c>
      <c r="J107" s="146">
        <f t="shared" si="65"/>
        <v>0</v>
      </c>
      <c r="K107" s="146">
        <f t="shared" si="65"/>
        <v>252163</v>
      </c>
      <c r="L107" s="146">
        <f t="shared" si="65"/>
        <v>0</v>
      </c>
      <c r="M107" s="146">
        <f t="shared" si="65"/>
        <v>252163</v>
      </c>
      <c r="N107" s="146">
        <f t="shared" si="65"/>
        <v>0</v>
      </c>
      <c r="O107" s="146">
        <f t="shared" si="65"/>
        <v>252163</v>
      </c>
      <c r="P107" s="146">
        <f t="shared" si="65"/>
        <v>0</v>
      </c>
      <c r="Q107" s="146">
        <f t="shared" si="65"/>
        <v>252163</v>
      </c>
    </row>
    <row r="108" spans="1:17" s="22" customFormat="1" ht="22.5" customHeight="1">
      <c r="A108" s="57"/>
      <c r="B108" s="58">
        <v>85415</v>
      </c>
      <c r="C108" s="59"/>
      <c r="D108" s="34" t="s">
        <v>235</v>
      </c>
      <c r="E108" s="56"/>
      <c r="F108" s="56"/>
      <c r="G108" s="70">
        <f t="shared" si="65"/>
        <v>0</v>
      </c>
      <c r="H108" s="70">
        <f t="shared" si="65"/>
        <v>252163</v>
      </c>
      <c r="I108" s="70">
        <f t="shared" si="65"/>
        <v>252163</v>
      </c>
      <c r="J108" s="70">
        <f t="shared" si="65"/>
        <v>0</v>
      </c>
      <c r="K108" s="70">
        <f t="shared" si="65"/>
        <v>252163</v>
      </c>
      <c r="L108" s="70">
        <f t="shared" si="65"/>
        <v>0</v>
      </c>
      <c r="M108" s="70">
        <f t="shared" si="65"/>
        <v>252163</v>
      </c>
      <c r="N108" s="70">
        <f t="shared" si="65"/>
        <v>0</v>
      </c>
      <c r="O108" s="70">
        <f t="shared" si="65"/>
        <v>252163</v>
      </c>
      <c r="P108" s="70">
        <f t="shared" si="65"/>
        <v>0</v>
      </c>
      <c r="Q108" s="70">
        <f t="shared" si="65"/>
        <v>252163</v>
      </c>
    </row>
    <row r="109" spans="1:17" s="22" customFormat="1" ht="33.75">
      <c r="A109" s="57"/>
      <c r="B109" s="58"/>
      <c r="C109" s="59">
        <v>2030</v>
      </c>
      <c r="D109" s="62" t="s">
        <v>218</v>
      </c>
      <c r="E109" s="56"/>
      <c r="F109" s="56"/>
      <c r="G109" s="70">
        <v>0</v>
      </c>
      <c r="H109" s="56">
        <v>252163</v>
      </c>
      <c r="I109" s="70">
        <f>SUM(G109:H109)</f>
        <v>252163</v>
      </c>
      <c r="J109" s="56"/>
      <c r="K109" s="70">
        <f>SUM(I109:J109)</f>
        <v>252163</v>
      </c>
      <c r="L109" s="56"/>
      <c r="M109" s="70">
        <f>SUM(K109:L109)</f>
        <v>252163</v>
      </c>
      <c r="N109" s="56"/>
      <c r="O109" s="70">
        <f>SUM(M109:N109)</f>
        <v>252163</v>
      </c>
      <c r="P109" s="56"/>
      <c r="Q109" s="70">
        <f>SUM(O109:P109)</f>
        <v>252163</v>
      </c>
    </row>
    <row r="110" spans="1:17" s="6" customFormat="1" ht="24" customHeight="1">
      <c r="A110" s="25">
        <v>900</v>
      </c>
      <c r="B110" s="27"/>
      <c r="C110" s="28"/>
      <c r="D110" s="26" t="s">
        <v>62</v>
      </c>
      <c r="E110" s="42">
        <f aca="true" t="shared" si="66" ref="E110:K110">SUM(E113,E111)</f>
        <v>16000</v>
      </c>
      <c r="F110" s="42">
        <f t="shared" si="66"/>
        <v>0</v>
      </c>
      <c r="G110" s="42">
        <f t="shared" si="66"/>
        <v>16000</v>
      </c>
      <c r="H110" s="42">
        <f t="shared" si="66"/>
        <v>0</v>
      </c>
      <c r="I110" s="42">
        <f t="shared" si="66"/>
        <v>16000</v>
      </c>
      <c r="J110" s="42">
        <f t="shared" si="66"/>
        <v>0</v>
      </c>
      <c r="K110" s="42">
        <f t="shared" si="66"/>
        <v>16000</v>
      </c>
      <c r="L110" s="42">
        <f aca="true" t="shared" si="67" ref="L110:Q110">SUM(L113,L111)</f>
        <v>0</v>
      </c>
      <c r="M110" s="42">
        <f t="shared" si="67"/>
        <v>16000</v>
      </c>
      <c r="N110" s="42">
        <f t="shared" si="67"/>
        <v>0</v>
      </c>
      <c r="O110" s="42">
        <f t="shared" si="67"/>
        <v>16000</v>
      </c>
      <c r="P110" s="42">
        <f t="shared" si="67"/>
        <v>0</v>
      </c>
      <c r="Q110" s="42">
        <f t="shared" si="67"/>
        <v>16000</v>
      </c>
    </row>
    <row r="111" spans="1:17" s="113" customFormat="1" ht="24" customHeight="1">
      <c r="A111" s="115"/>
      <c r="B111" s="116">
        <v>90001</v>
      </c>
      <c r="C111" s="117"/>
      <c r="D111" s="34" t="s">
        <v>63</v>
      </c>
      <c r="E111" s="118">
        <f aca="true" t="shared" si="68" ref="E111:Q111">SUM(E112)</f>
        <v>10000</v>
      </c>
      <c r="F111" s="118">
        <f t="shared" si="68"/>
        <v>0</v>
      </c>
      <c r="G111" s="118">
        <f t="shared" si="68"/>
        <v>10000</v>
      </c>
      <c r="H111" s="118">
        <f t="shared" si="68"/>
        <v>0</v>
      </c>
      <c r="I111" s="118">
        <f t="shared" si="68"/>
        <v>10000</v>
      </c>
      <c r="J111" s="118">
        <f t="shared" si="68"/>
        <v>0</v>
      </c>
      <c r="K111" s="118">
        <f t="shared" si="68"/>
        <v>10000</v>
      </c>
      <c r="L111" s="118">
        <f t="shared" si="68"/>
        <v>0</v>
      </c>
      <c r="M111" s="118">
        <f t="shared" si="68"/>
        <v>10000</v>
      </c>
      <c r="N111" s="118">
        <f t="shared" si="68"/>
        <v>0</v>
      </c>
      <c r="O111" s="118">
        <f t="shared" si="68"/>
        <v>10000</v>
      </c>
      <c r="P111" s="118">
        <f t="shared" si="68"/>
        <v>0</v>
      </c>
      <c r="Q111" s="118">
        <f t="shared" si="68"/>
        <v>10000</v>
      </c>
    </row>
    <row r="112" spans="1:17" s="113" customFormat="1" ht="24" customHeight="1">
      <c r="A112" s="119"/>
      <c r="B112" s="120"/>
      <c r="C112" s="64" t="s">
        <v>165</v>
      </c>
      <c r="D112" s="62" t="s">
        <v>12</v>
      </c>
      <c r="E112" s="118">
        <v>10000</v>
      </c>
      <c r="F112" s="118"/>
      <c r="G112" s="123">
        <f t="shared" si="48"/>
        <v>10000</v>
      </c>
      <c r="H112" s="118"/>
      <c r="I112" s="123">
        <f>SUM(G112:H112)</f>
        <v>10000</v>
      </c>
      <c r="J112" s="118"/>
      <c r="K112" s="123">
        <f>SUM(I112:J112)</f>
        <v>10000</v>
      </c>
      <c r="L112" s="118"/>
      <c r="M112" s="123">
        <f>SUM(K112:L112)</f>
        <v>10000</v>
      </c>
      <c r="N112" s="118"/>
      <c r="O112" s="123">
        <f>SUM(M112:N112)</f>
        <v>10000</v>
      </c>
      <c r="P112" s="118"/>
      <c r="Q112" s="123">
        <f>SUM(O112:P112)</f>
        <v>10000</v>
      </c>
    </row>
    <row r="113" spans="1:17" s="22" customFormat="1" ht="24" customHeight="1">
      <c r="A113" s="57"/>
      <c r="B113" s="58">
        <v>90095</v>
      </c>
      <c r="C113" s="59"/>
      <c r="D113" s="62" t="s">
        <v>6</v>
      </c>
      <c r="E113" s="56">
        <f aca="true" t="shared" si="69" ref="E113:Q113">SUM(E114)</f>
        <v>6000</v>
      </c>
      <c r="F113" s="56">
        <f t="shared" si="69"/>
        <v>0</v>
      </c>
      <c r="G113" s="56">
        <f t="shared" si="69"/>
        <v>6000</v>
      </c>
      <c r="H113" s="56">
        <f t="shared" si="69"/>
        <v>0</v>
      </c>
      <c r="I113" s="56">
        <f t="shared" si="69"/>
        <v>6000</v>
      </c>
      <c r="J113" s="56">
        <f t="shared" si="69"/>
        <v>0</v>
      </c>
      <c r="K113" s="56">
        <f t="shared" si="69"/>
        <v>6000</v>
      </c>
      <c r="L113" s="56">
        <f t="shared" si="69"/>
        <v>0</v>
      </c>
      <c r="M113" s="56">
        <f t="shared" si="69"/>
        <v>6000</v>
      </c>
      <c r="N113" s="56">
        <f t="shared" si="69"/>
        <v>0</v>
      </c>
      <c r="O113" s="56">
        <f t="shared" si="69"/>
        <v>6000</v>
      </c>
      <c r="P113" s="56">
        <f t="shared" si="69"/>
        <v>0</v>
      </c>
      <c r="Q113" s="56">
        <f t="shared" si="69"/>
        <v>6000</v>
      </c>
    </row>
    <row r="114" spans="1:17" s="22" customFormat="1" ht="21.75" customHeight="1">
      <c r="A114" s="57"/>
      <c r="B114" s="58"/>
      <c r="C114" s="59" t="s">
        <v>179</v>
      </c>
      <c r="D114" s="62" t="s">
        <v>242</v>
      </c>
      <c r="E114" s="56">
        <v>6000</v>
      </c>
      <c r="F114" s="56"/>
      <c r="G114" s="123">
        <f t="shared" si="48"/>
        <v>6000</v>
      </c>
      <c r="H114" s="56"/>
      <c r="I114" s="123">
        <f>SUM(G114:H114)</f>
        <v>6000</v>
      </c>
      <c r="J114" s="56"/>
      <c r="K114" s="123">
        <f>SUM(I114:J114)</f>
        <v>6000</v>
      </c>
      <c r="L114" s="56"/>
      <c r="M114" s="123">
        <f>SUM(K114:L114)</f>
        <v>6000</v>
      </c>
      <c r="N114" s="56"/>
      <c r="O114" s="123">
        <f>SUM(M114:N114)</f>
        <v>6000</v>
      </c>
      <c r="P114" s="56"/>
      <c r="Q114" s="123">
        <f>SUM(O114:P114)</f>
        <v>6000</v>
      </c>
    </row>
    <row r="115" spans="1:17" s="6" customFormat="1" ht="24" customHeight="1">
      <c r="A115" s="25" t="s">
        <v>64</v>
      </c>
      <c r="B115" s="1"/>
      <c r="C115" s="2"/>
      <c r="D115" s="26" t="s">
        <v>70</v>
      </c>
      <c r="E115" s="42">
        <f>SUM(E118)</f>
        <v>60000</v>
      </c>
      <c r="F115" s="42">
        <f>SUM(F118)</f>
        <v>0</v>
      </c>
      <c r="G115" s="42">
        <f>SUM(G118)</f>
        <v>60000</v>
      </c>
      <c r="H115" s="42">
        <f>SUM(H118)</f>
        <v>0</v>
      </c>
      <c r="I115" s="42">
        <f aca="true" t="shared" si="70" ref="I115:O115">SUM(I116,I118)</f>
        <v>60000</v>
      </c>
      <c r="J115" s="42">
        <f t="shared" si="70"/>
        <v>9350</v>
      </c>
      <c r="K115" s="42">
        <f t="shared" si="70"/>
        <v>69350</v>
      </c>
      <c r="L115" s="42">
        <f t="shared" si="70"/>
        <v>0</v>
      </c>
      <c r="M115" s="42">
        <f t="shared" si="70"/>
        <v>69350</v>
      </c>
      <c r="N115" s="42">
        <f t="shared" si="70"/>
        <v>0</v>
      </c>
      <c r="O115" s="42">
        <f t="shared" si="70"/>
        <v>69350</v>
      </c>
      <c r="P115" s="42">
        <f>SUM(P116,P118)</f>
        <v>0</v>
      </c>
      <c r="Q115" s="42">
        <f>SUM(Q116,Q118)</f>
        <v>69350</v>
      </c>
    </row>
    <row r="116" spans="1:17" s="113" customFormat="1" ht="24" customHeight="1">
      <c r="A116" s="115"/>
      <c r="B116" s="121">
        <v>92105</v>
      </c>
      <c r="C116" s="131"/>
      <c r="D116" s="149" t="s">
        <v>300</v>
      </c>
      <c r="E116" s="118"/>
      <c r="F116" s="118"/>
      <c r="G116" s="118"/>
      <c r="H116" s="118"/>
      <c r="I116" s="118">
        <f aca="true" t="shared" si="71" ref="I116:Q116">SUM(I117)</f>
        <v>0</v>
      </c>
      <c r="J116" s="118">
        <f t="shared" si="71"/>
        <v>9350</v>
      </c>
      <c r="K116" s="118">
        <f t="shared" si="71"/>
        <v>9350</v>
      </c>
      <c r="L116" s="118">
        <f t="shared" si="71"/>
        <v>0</v>
      </c>
      <c r="M116" s="118">
        <f t="shared" si="71"/>
        <v>9350</v>
      </c>
      <c r="N116" s="118">
        <f t="shared" si="71"/>
        <v>0</v>
      </c>
      <c r="O116" s="118">
        <f t="shared" si="71"/>
        <v>9350</v>
      </c>
      <c r="P116" s="118">
        <f t="shared" si="71"/>
        <v>0</v>
      </c>
      <c r="Q116" s="118">
        <f t="shared" si="71"/>
        <v>9350</v>
      </c>
    </row>
    <row r="117" spans="1:17" s="113" customFormat="1" ht="51" customHeight="1">
      <c r="A117" s="115"/>
      <c r="B117" s="121"/>
      <c r="C117" s="131">
        <v>2320</v>
      </c>
      <c r="D117" s="62" t="s">
        <v>219</v>
      </c>
      <c r="E117" s="118"/>
      <c r="F117" s="118"/>
      <c r="G117" s="118"/>
      <c r="H117" s="118"/>
      <c r="I117" s="118">
        <v>0</v>
      </c>
      <c r="J117" s="118">
        <f>2850+6500</f>
        <v>9350</v>
      </c>
      <c r="K117" s="118">
        <f>SUM(I117:J117)</f>
        <v>9350</v>
      </c>
      <c r="L117" s="118"/>
      <c r="M117" s="118">
        <f>SUM(K117:L117)</f>
        <v>9350</v>
      </c>
      <c r="N117" s="118"/>
      <c r="O117" s="118">
        <f>SUM(M117:N117)</f>
        <v>9350</v>
      </c>
      <c r="P117" s="118"/>
      <c r="Q117" s="118">
        <f>SUM(O117:P117)</f>
        <v>9350</v>
      </c>
    </row>
    <row r="118" spans="1:17" s="22" customFormat="1" ht="24" customHeight="1">
      <c r="A118" s="57"/>
      <c r="B118" s="58" t="s">
        <v>65</v>
      </c>
      <c r="C118" s="65"/>
      <c r="D118" s="62" t="s">
        <v>66</v>
      </c>
      <c r="E118" s="56">
        <f aca="true" t="shared" si="72" ref="E118:Q118">SUM(E119)</f>
        <v>60000</v>
      </c>
      <c r="F118" s="56">
        <f t="shared" si="72"/>
        <v>0</v>
      </c>
      <c r="G118" s="56">
        <f t="shared" si="72"/>
        <v>60000</v>
      </c>
      <c r="H118" s="56">
        <f t="shared" si="72"/>
        <v>0</v>
      </c>
      <c r="I118" s="56">
        <f t="shared" si="72"/>
        <v>60000</v>
      </c>
      <c r="J118" s="56">
        <f t="shared" si="72"/>
        <v>0</v>
      </c>
      <c r="K118" s="56">
        <f t="shared" si="72"/>
        <v>60000</v>
      </c>
      <c r="L118" s="56">
        <f t="shared" si="72"/>
        <v>0</v>
      </c>
      <c r="M118" s="56">
        <f t="shared" si="72"/>
        <v>60000</v>
      </c>
      <c r="N118" s="56">
        <f t="shared" si="72"/>
        <v>0</v>
      </c>
      <c r="O118" s="56">
        <f t="shared" si="72"/>
        <v>60000</v>
      </c>
      <c r="P118" s="56">
        <f t="shared" si="72"/>
        <v>0</v>
      </c>
      <c r="Q118" s="56">
        <f t="shared" si="72"/>
        <v>60000</v>
      </c>
    </row>
    <row r="119" spans="1:17" s="22" customFormat="1" ht="54.75" customHeight="1">
      <c r="A119" s="58"/>
      <c r="B119" s="58"/>
      <c r="C119" s="59">
        <v>2320</v>
      </c>
      <c r="D119" s="62" t="s">
        <v>219</v>
      </c>
      <c r="E119" s="56">
        <v>60000</v>
      </c>
      <c r="F119" s="56"/>
      <c r="G119" s="123">
        <f t="shared" si="48"/>
        <v>60000</v>
      </c>
      <c r="H119" s="56"/>
      <c r="I119" s="123">
        <f>SUM(G119:H119)</f>
        <v>60000</v>
      </c>
      <c r="J119" s="56"/>
      <c r="K119" s="123">
        <f>SUM(I119:J119)</f>
        <v>60000</v>
      </c>
      <c r="L119" s="56"/>
      <c r="M119" s="123">
        <f>SUM(K119:L119)</f>
        <v>60000</v>
      </c>
      <c r="N119" s="56"/>
      <c r="O119" s="123">
        <f>SUM(M119:N119)</f>
        <v>60000</v>
      </c>
      <c r="P119" s="56"/>
      <c r="Q119" s="123">
        <f>SUM(O119:P119)</f>
        <v>60000</v>
      </c>
    </row>
    <row r="120" spans="1:17" s="110" customFormat="1" ht="30" customHeight="1">
      <c r="A120" s="143">
        <v>926</v>
      </c>
      <c r="B120" s="143"/>
      <c r="C120" s="143"/>
      <c r="D120" s="32" t="s">
        <v>139</v>
      </c>
      <c r="E120" s="145"/>
      <c r="F120" s="145"/>
      <c r="G120" s="146"/>
      <c r="H120" s="145"/>
      <c r="I120" s="146">
        <f aca="true" t="shared" si="73" ref="I120:Q121">SUM(I121)</f>
        <v>0</v>
      </c>
      <c r="J120" s="146">
        <f t="shared" si="73"/>
        <v>3200</v>
      </c>
      <c r="K120" s="146">
        <f t="shared" si="73"/>
        <v>3200</v>
      </c>
      <c r="L120" s="146">
        <f t="shared" si="73"/>
        <v>0</v>
      </c>
      <c r="M120" s="146">
        <f t="shared" si="73"/>
        <v>3200</v>
      </c>
      <c r="N120" s="146">
        <f t="shared" si="73"/>
        <v>0</v>
      </c>
      <c r="O120" s="146">
        <f t="shared" si="73"/>
        <v>3200</v>
      </c>
      <c r="P120" s="146">
        <f t="shared" si="73"/>
        <v>0</v>
      </c>
      <c r="Q120" s="146">
        <f t="shared" si="73"/>
        <v>3200</v>
      </c>
    </row>
    <row r="121" spans="1:17" s="22" customFormat="1" ht="30" customHeight="1">
      <c r="A121" s="58"/>
      <c r="B121" s="58">
        <v>92605</v>
      </c>
      <c r="C121" s="58"/>
      <c r="D121" s="34" t="s">
        <v>68</v>
      </c>
      <c r="E121" s="56"/>
      <c r="F121" s="56"/>
      <c r="G121" s="70"/>
      <c r="H121" s="56"/>
      <c r="I121" s="70">
        <f t="shared" si="73"/>
        <v>0</v>
      </c>
      <c r="J121" s="70">
        <f t="shared" si="73"/>
        <v>3200</v>
      </c>
      <c r="K121" s="70">
        <f t="shared" si="73"/>
        <v>3200</v>
      </c>
      <c r="L121" s="70">
        <f t="shared" si="73"/>
        <v>0</v>
      </c>
      <c r="M121" s="70">
        <f t="shared" si="73"/>
        <v>3200</v>
      </c>
      <c r="N121" s="70">
        <f t="shared" si="73"/>
        <v>0</v>
      </c>
      <c r="O121" s="70">
        <f t="shared" si="73"/>
        <v>3200</v>
      </c>
      <c r="P121" s="70">
        <f t="shared" si="73"/>
        <v>0</v>
      </c>
      <c r="Q121" s="70">
        <f t="shared" si="73"/>
        <v>3200</v>
      </c>
    </row>
    <row r="122" spans="1:17" s="22" customFormat="1" ht="52.5" customHeight="1">
      <c r="A122" s="58"/>
      <c r="B122" s="58"/>
      <c r="C122" s="58">
        <v>2320</v>
      </c>
      <c r="D122" s="62" t="s">
        <v>219</v>
      </c>
      <c r="E122" s="56"/>
      <c r="F122" s="56"/>
      <c r="G122" s="70"/>
      <c r="H122" s="56"/>
      <c r="I122" s="70">
        <v>0</v>
      </c>
      <c r="J122" s="56">
        <v>3200</v>
      </c>
      <c r="K122" s="70">
        <f>SUM(I122:J122)</f>
        <v>3200</v>
      </c>
      <c r="L122" s="56"/>
      <c r="M122" s="70">
        <f>SUM(K122:L122)</f>
        <v>3200</v>
      </c>
      <c r="N122" s="56"/>
      <c r="O122" s="70">
        <f>SUM(M122:N122)</f>
        <v>3200</v>
      </c>
      <c r="P122" s="56"/>
      <c r="Q122" s="70">
        <f>SUM(O122:P122)</f>
        <v>3200</v>
      </c>
    </row>
    <row r="123" spans="1:17" ht="26.25" customHeight="1">
      <c r="A123" s="13"/>
      <c r="B123" s="14"/>
      <c r="C123" s="15"/>
      <c r="D123" s="16" t="s">
        <v>69</v>
      </c>
      <c r="E123" s="42">
        <f>SUM(E7,E12,E22,E28,E33,E37,E65,E91,E110,E115,E74)</f>
        <v>56856085</v>
      </c>
      <c r="F123" s="42">
        <f>SUM(F7,F12,F22,F28,F33,F37,F65,F91,F110,F115,F74)</f>
        <v>600000</v>
      </c>
      <c r="G123" s="42">
        <f>SUM(G7,G12,G22,G28,G33,G37,G65,G91,G110,G115,G74,G107)</f>
        <v>57456085</v>
      </c>
      <c r="H123" s="42">
        <f>SUM(H7,H12,H22,H28,H33,H37,H65,H91,H110,H115,H74,H107)</f>
        <v>252163</v>
      </c>
      <c r="I123" s="42">
        <f aca="true" t="shared" si="74" ref="I123:O123">SUM(I7,I12,I22,I28,I33,I37,I65,I91,I110,I115,I74,I107,I19,I120)</f>
        <v>57708248</v>
      </c>
      <c r="J123" s="42">
        <f t="shared" si="74"/>
        <v>173624</v>
      </c>
      <c r="K123" s="42">
        <f t="shared" si="74"/>
        <v>57881872</v>
      </c>
      <c r="L123" s="42">
        <f t="shared" si="74"/>
        <v>46982</v>
      </c>
      <c r="M123" s="42">
        <f t="shared" si="74"/>
        <v>57928854</v>
      </c>
      <c r="N123" s="42">
        <f t="shared" si="74"/>
        <v>75000</v>
      </c>
      <c r="O123" s="42">
        <f t="shared" si="74"/>
        <v>58003854</v>
      </c>
      <c r="P123" s="42">
        <f>SUM(P7,P12,P22,P28,P33,P37,P65,P91,P110,P115,P74,P107,P19,P120)</f>
        <v>286502</v>
      </c>
      <c r="Q123" s="42">
        <f>SUM(Q7,Q12,Q22,Q28,Q33,Q37,Q65,Q91,Q110,Q115,Q74,Q107,Q19,Q120)</f>
        <v>58290356</v>
      </c>
    </row>
    <row r="125" spans="4:6" ht="12.75">
      <c r="D125" s="87"/>
      <c r="E125" s="24">
        <f>SUM(E123-'wydatki 2009 zał.2'!E459)</f>
        <v>-11111691</v>
      </c>
      <c r="F125" s="24">
        <f>SUM(F123-'wydatki 2009 zał.2'!F459)</f>
        <v>1488500</v>
      </c>
    </row>
    <row r="126" ht="12.75">
      <c r="D126" s="87"/>
    </row>
    <row r="127" spans="4:11" ht="12.75">
      <c r="D127" s="87"/>
      <c r="J127" s="24">
        <v>12550</v>
      </c>
      <c r="K127" s="24" t="s">
        <v>301</v>
      </c>
    </row>
    <row r="128" spans="4:11" ht="12.75">
      <c r="D128" s="87"/>
      <c r="J128" s="24">
        <v>-175597</v>
      </c>
      <c r="K128" s="24" t="s">
        <v>302</v>
      </c>
    </row>
    <row r="129" spans="4:11" ht="12.75">
      <c r="D129" s="87"/>
      <c r="E129" s="24">
        <v>19069259</v>
      </c>
      <c r="J129" s="24">
        <v>24400</v>
      </c>
      <c r="K129" s="24" t="s">
        <v>303</v>
      </c>
    </row>
    <row r="130" spans="4:11" ht="12.75">
      <c r="D130" s="87"/>
      <c r="J130" s="24">
        <v>-329</v>
      </c>
      <c r="K130" s="24" t="s">
        <v>307</v>
      </c>
    </row>
    <row r="131" spans="4:11" ht="12.75">
      <c r="D131" s="87"/>
      <c r="J131" s="24">
        <v>334300</v>
      </c>
      <c r="K131" s="24" t="s">
        <v>308</v>
      </c>
    </row>
    <row r="132" spans="4:11" ht="12.75">
      <c r="D132" s="87"/>
      <c r="J132" s="24">
        <v>-4100</v>
      </c>
      <c r="K132" s="24" t="s">
        <v>309</v>
      </c>
    </row>
    <row r="133" spans="4:11" ht="12.75">
      <c r="D133" s="87"/>
      <c r="J133" s="24">
        <v>50700</v>
      </c>
      <c r="K133" s="24" t="s">
        <v>310</v>
      </c>
    </row>
    <row r="134" spans="4:11" ht="12.75">
      <c r="D134" s="87"/>
      <c r="J134" s="24">
        <v>-68300</v>
      </c>
      <c r="K134" s="24" t="s">
        <v>311</v>
      </c>
    </row>
    <row r="135" spans="4:16" ht="12.75">
      <c r="D135" s="87"/>
      <c r="E135" s="24">
        <v>10030735</v>
      </c>
      <c r="J135" s="112">
        <f>SUM(J127:J129)</f>
        <v>-138647</v>
      </c>
      <c r="L135" s="112"/>
      <c r="N135" s="112"/>
      <c r="P135" s="112"/>
    </row>
    <row r="136" spans="4:5" ht="12.75">
      <c r="D136" s="87"/>
      <c r="E136" s="24">
        <v>9008986</v>
      </c>
    </row>
    <row r="137" spans="4:5" ht="12.75">
      <c r="D137" s="87"/>
      <c r="E137" s="24">
        <v>330000</v>
      </c>
    </row>
    <row r="138" spans="4:5" ht="12.75">
      <c r="D138" s="87"/>
      <c r="E138" s="24">
        <v>211227</v>
      </c>
    </row>
    <row r="139" spans="4:5" ht="12.75">
      <c r="D139" s="87"/>
      <c r="E139" s="24">
        <v>3910</v>
      </c>
    </row>
    <row r="140" spans="4:5" ht="12.75">
      <c r="D140" s="87"/>
      <c r="E140" s="24">
        <v>3750</v>
      </c>
    </row>
    <row r="141" spans="4:5" ht="12.75">
      <c r="D141" s="87"/>
      <c r="E141" s="24">
        <v>60000</v>
      </c>
    </row>
    <row r="142" ht="12.75">
      <c r="D142" s="87"/>
    </row>
    <row r="143" ht="12.75">
      <c r="D143" s="87"/>
    </row>
    <row r="144" ht="12.75">
      <c r="D144" s="87"/>
    </row>
    <row r="145" ht="12.75">
      <c r="D145" s="87"/>
    </row>
    <row r="146" spans="4:17" ht="12.75">
      <c r="D146" s="87"/>
      <c r="E146" s="112">
        <f>SUM(E129:E141)</f>
        <v>38717867</v>
      </c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</row>
    <row r="147" ht="12.75">
      <c r="D147" s="87"/>
    </row>
    <row r="148" ht="12.75">
      <c r="D148" s="87"/>
    </row>
    <row r="149" spans="1:4" ht="12.75">
      <c r="A149" s="141"/>
      <c r="B149" s="141"/>
      <c r="C149" s="141"/>
      <c r="D149" s="86"/>
    </row>
    <row r="150" spans="3:4" ht="12.75">
      <c r="C150" s="141"/>
      <c r="D150" s="86"/>
    </row>
    <row r="151" ht="12.75">
      <c r="D151" s="87"/>
    </row>
    <row r="152" ht="12.75">
      <c r="D152" s="86"/>
    </row>
    <row r="165" spans="5:17" ht="12.75"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</row>
    <row r="166" spans="5:17" ht="12.75"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</row>
  </sheetData>
  <sheetProtection/>
  <printOptions horizontalCentered="1"/>
  <pageMargins left="0.33" right="0.4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&amp;C&amp;8Dochody - str.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689"/>
  <sheetViews>
    <sheetView zoomScalePageLayoutView="0" workbookViewId="0" topLeftCell="A126">
      <selection activeCell="T422" sqref="T422"/>
    </sheetView>
  </sheetViews>
  <sheetFormatPr defaultColWidth="9.00390625" defaultRowHeight="12.75"/>
  <cols>
    <col min="1" max="1" width="5.75390625" style="6" customWidth="1"/>
    <col min="2" max="2" width="8.125" style="6" customWidth="1"/>
    <col min="3" max="3" width="6.625" style="6" customWidth="1"/>
    <col min="4" max="4" width="32.875" style="6" customWidth="1"/>
    <col min="5" max="5" width="13.875" style="24" hidden="1" customWidth="1"/>
    <col min="6" max="6" width="11.875" style="24" hidden="1" customWidth="1"/>
    <col min="7" max="7" width="41.00390625" style="24" hidden="1" customWidth="1"/>
    <col min="8" max="8" width="11.25390625" style="24" hidden="1" customWidth="1"/>
    <col min="9" max="9" width="43.375" style="24" hidden="1" customWidth="1"/>
    <col min="10" max="10" width="11.25390625" style="24" hidden="1" customWidth="1"/>
    <col min="11" max="11" width="44.875" style="24" hidden="1" customWidth="1"/>
    <col min="12" max="12" width="11.25390625" style="24" hidden="1" customWidth="1"/>
    <col min="13" max="13" width="0.12890625" style="24" hidden="1" customWidth="1"/>
    <col min="14" max="14" width="13.375" style="24" hidden="1" customWidth="1"/>
    <col min="15" max="15" width="13.00390625" style="24" customWidth="1"/>
    <col min="16" max="16" width="13.375" style="24" customWidth="1"/>
    <col min="17" max="17" width="13.00390625" style="24" customWidth="1"/>
    <col min="19" max="19" width="11.75390625" style="0" bestFit="1" customWidth="1"/>
  </cols>
  <sheetData>
    <row r="1" spans="1:17" ht="12.75">
      <c r="A1" s="90"/>
      <c r="B1" s="90"/>
      <c r="C1" s="90"/>
      <c r="D1" s="90"/>
      <c r="E1" s="41" t="s">
        <v>194</v>
      </c>
      <c r="F1" s="41"/>
      <c r="G1" s="41" t="s">
        <v>285</v>
      </c>
      <c r="H1" s="41"/>
      <c r="I1" s="41" t="s">
        <v>314</v>
      </c>
      <c r="J1" s="41"/>
      <c r="K1" s="41" t="s">
        <v>326</v>
      </c>
      <c r="L1" s="41"/>
      <c r="M1" s="41" t="s">
        <v>330</v>
      </c>
      <c r="N1" s="41"/>
      <c r="O1" s="41" t="s">
        <v>336</v>
      </c>
      <c r="P1" s="41"/>
      <c r="Q1" s="41"/>
    </row>
    <row r="2" spans="1:17" ht="12.75">
      <c r="A2" s="90"/>
      <c r="B2" s="90"/>
      <c r="C2" s="90"/>
      <c r="D2" s="90"/>
      <c r="E2" s="41" t="s">
        <v>227</v>
      </c>
      <c r="F2" s="41"/>
      <c r="G2" s="41" t="s">
        <v>284</v>
      </c>
      <c r="H2" s="41"/>
      <c r="I2" s="41" t="s">
        <v>313</v>
      </c>
      <c r="J2" s="41"/>
      <c r="K2" s="41" t="s">
        <v>322</v>
      </c>
      <c r="L2" s="41"/>
      <c r="M2" s="41" t="s">
        <v>331</v>
      </c>
      <c r="N2" s="41"/>
      <c r="O2" s="41" t="s">
        <v>333</v>
      </c>
      <c r="P2" s="41"/>
      <c r="Q2" s="41"/>
    </row>
    <row r="3" spans="1:17" ht="12.75">
      <c r="A3" s="90"/>
      <c r="B3" s="90"/>
      <c r="C3" s="90"/>
      <c r="D3" s="90"/>
      <c r="E3" s="41" t="s">
        <v>148</v>
      </c>
      <c r="F3" s="41"/>
      <c r="G3" s="41" t="s">
        <v>286</v>
      </c>
      <c r="H3" s="41"/>
      <c r="I3" s="41" t="s">
        <v>285</v>
      </c>
      <c r="J3" s="41"/>
      <c r="K3" s="41" t="s">
        <v>314</v>
      </c>
      <c r="L3" s="41"/>
      <c r="M3" s="41" t="s">
        <v>326</v>
      </c>
      <c r="N3" s="41"/>
      <c r="O3" s="41" t="s">
        <v>330</v>
      </c>
      <c r="P3" s="41"/>
      <c r="Q3" s="41"/>
    </row>
    <row r="4" spans="1:17" ht="12.75">
      <c r="A4" s="90"/>
      <c r="B4" s="90"/>
      <c r="C4" s="90"/>
      <c r="D4" s="90"/>
      <c r="E4" s="41" t="s">
        <v>228</v>
      </c>
      <c r="F4" s="41"/>
      <c r="G4" s="41" t="s">
        <v>282</v>
      </c>
      <c r="H4" s="41"/>
      <c r="I4" s="41" t="s">
        <v>296</v>
      </c>
      <c r="J4" s="41"/>
      <c r="K4" s="41" t="s">
        <v>317</v>
      </c>
      <c r="L4" s="41"/>
      <c r="M4" s="41" t="s">
        <v>327</v>
      </c>
      <c r="N4" s="41"/>
      <c r="O4" s="41" t="s">
        <v>332</v>
      </c>
      <c r="P4" s="41"/>
      <c r="Q4" s="41"/>
    </row>
    <row r="5" spans="1:17" ht="21" customHeight="1">
      <c r="A5" s="162" t="s">
        <v>291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</row>
    <row r="6" spans="1:17" s="6" customFormat="1" ht="24.75" customHeight="1">
      <c r="A6" s="31" t="s">
        <v>0</v>
      </c>
      <c r="B6" s="31" t="s">
        <v>1</v>
      </c>
      <c r="C6" s="31" t="s">
        <v>2</v>
      </c>
      <c r="D6" s="31" t="s">
        <v>3</v>
      </c>
      <c r="E6" s="43" t="s">
        <v>144</v>
      </c>
      <c r="F6" s="43" t="s">
        <v>273</v>
      </c>
      <c r="G6" s="43" t="s">
        <v>145</v>
      </c>
      <c r="H6" s="43" t="s">
        <v>273</v>
      </c>
      <c r="I6" s="43" t="s">
        <v>145</v>
      </c>
      <c r="J6" s="43" t="s">
        <v>273</v>
      </c>
      <c r="K6" s="43" t="s">
        <v>145</v>
      </c>
      <c r="L6" s="43" t="s">
        <v>273</v>
      </c>
      <c r="M6" s="43" t="s">
        <v>145</v>
      </c>
      <c r="N6" s="43" t="s">
        <v>273</v>
      </c>
      <c r="O6" s="43" t="s">
        <v>145</v>
      </c>
      <c r="P6" s="43" t="s">
        <v>273</v>
      </c>
      <c r="Q6" s="43" t="s">
        <v>274</v>
      </c>
    </row>
    <row r="7" spans="1:17" s="9" customFormat="1" ht="21" customHeight="1">
      <c r="A7" s="29" t="s">
        <v>4</v>
      </c>
      <c r="B7" s="44"/>
      <c r="C7" s="45"/>
      <c r="D7" s="32" t="s">
        <v>5</v>
      </c>
      <c r="E7" s="33">
        <f>SUM(E8,E10)</f>
        <v>12000</v>
      </c>
      <c r="F7" s="33">
        <f>SUM(F8,F10)</f>
        <v>300000</v>
      </c>
      <c r="G7" s="33">
        <f>SUM(G8,G10)</f>
        <v>312000</v>
      </c>
      <c r="H7" s="33">
        <f>SUM(H8,H10)</f>
        <v>0</v>
      </c>
      <c r="I7" s="33">
        <f aca="true" t="shared" si="0" ref="I7:N7">SUM(I8,I10,I12)</f>
        <v>312000</v>
      </c>
      <c r="J7" s="33">
        <f t="shared" si="0"/>
        <v>45000</v>
      </c>
      <c r="K7" s="33">
        <f t="shared" si="0"/>
        <v>357000</v>
      </c>
      <c r="L7" s="33">
        <f t="shared" si="0"/>
        <v>0</v>
      </c>
      <c r="M7" s="33">
        <f t="shared" si="0"/>
        <v>357000</v>
      </c>
      <c r="N7" s="33">
        <f t="shared" si="0"/>
        <v>0</v>
      </c>
      <c r="O7" s="33">
        <f>SUM(O8,O10,O12,O14)</f>
        <v>357000</v>
      </c>
      <c r="P7" s="33">
        <f>SUM(P8,P10,P12,P14)</f>
        <v>285502</v>
      </c>
      <c r="Q7" s="33">
        <f>SUM(Q8,Q10,Q12,Q14)</f>
        <v>642502</v>
      </c>
    </row>
    <row r="8" spans="1:17" s="22" customFormat="1" ht="21" customHeight="1">
      <c r="A8" s="52"/>
      <c r="B8" s="67" t="s">
        <v>71</v>
      </c>
      <c r="C8" s="55"/>
      <c r="D8" s="34" t="s">
        <v>72</v>
      </c>
      <c r="E8" s="66">
        <f aca="true" t="shared" si="1" ref="E8:Q8">SUM(E9)</f>
        <v>12000</v>
      </c>
      <c r="F8" s="66">
        <f t="shared" si="1"/>
        <v>0</v>
      </c>
      <c r="G8" s="66">
        <f t="shared" si="1"/>
        <v>12000</v>
      </c>
      <c r="H8" s="66">
        <f t="shared" si="1"/>
        <v>0</v>
      </c>
      <c r="I8" s="66">
        <f t="shared" si="1"/>
        <v>12000</v>
      </c>
      <c r="J8" s="66">
        <f t="shared" si="1"/>
        <v>0</v>
      </c>
      <c r="K8" s="66">
        <f t="shared" si="1"/>
        <v>12000</v>
      </c>
      <c r="L8" s="66">
        <f t="shared" si="1"/>
        <v>0</v>
      </c>
      <c r="M8" s="66">
        <f t="shared" si="1"/>
        <v>12000</v>
      </c>
      <c r="N8" s="66">
        <f t="shared" si="1"/>
        <v>0</v>
      </c>
      <c r="O8" s="66">
        <f t="shared" si="1"/>
        <v>12000</v>
      </c>
      <c r="P8" s="66">
        <f t="shared" si="1"/>
        <v>0</v>
      </c>
      <c r="Q8" s="66">
        <f t="shared" si="1"/>
        <v>12000</v>
      </c>
    </row>
    <row r="9" spans="1:17" s="22" customFormat="1" ht="36">
      <c r="A9" s="68"/>
      <c r="B9" s="69"/>
      <c r="C9" s="55">
        <v>2850</v>
      </c>
      <c r="D9" s="34" t="s">
        <v>73</v>
      </c>
      <c r="E9" s="66">
        <v>12000</v>
      </c>
      <c r="F9" s="66"/>
      <c r="G9" s="66">
        <f>SUM(E9:F9)</f>
        <v>12000</v>
      </c>
      <c r="H9" s="66"/>
      <c r="I9" s="66">
        <f>SUM(G9:H9)</f>
        <v>12000</v>
      </c>
      <c r="J9" s="66"/>
      <c r="K9" s="66">
        <f>SUM(I9:J9)</f>
        <v>12000</v>
      </c>
      <c r="L9" s="66"/>
      <c r="M9" s="66">
        <f>SUM(K9:L9)</f>
        <v>12000</v>
      </c>
      <c r="N9" s="66"/>
      <c r="O9" s="66">
        <f>SUM(M9:N9)</f>
        <v>12000</v>
      </c>
      <c r="P9" s="66"/>
      <c r="Q9" s="66">
        <f>SUM(O9:P9)</f>
        <v>12000</v>
      </c>
    </row>
    <row r="10" spans="1:17" s="138" customFormat="1" ht="24" customHeight="1">
      <c r="A10" s="137"/>
      <c r="B10" s="69" t="s">
        <v>276</v>
      </c>
      <c r="C10" s="55"/>
      <c r="D10" s="34" t="s">
        <v>295</v>
      </c>
      <c r="E10" s="66">
        <f aca="true" t="shared" si="2" ref="E10:Q10">SUM(E11)</f>
        <v>0</v>
      </c>
      <c r="F10" s="66">
        <f t="shared" si="2"/>
        <v>300000</v>
      </c>
      <c r="G10" s="66">
        <f t="shared" si="2"/>
        <v>300000</v>
      </c>
      <c r="H10" s="66">
        <f t="shared" si="2"/>
        <v>0</v>
      </c>
      <c r="I10" s="66">
        <f t="shared" si="2"/>
        <v>300000</v>
      </c>
      <c r="J10" s="66">
        <f t="shared" si="2"/>
        <v>0</v>
      </c>
      <c r="K10" s="66">
        <f t="shared" si="2"/>
        <v>300000</v>
      </c>
      <c r="L10" s="66">
        <f t="shared" si="2"/>
        <v>0</v>
      </c>
      <c r="M10" s="66">
        <f t="shared" si="2"/>
        <v>300000</v>
      </c>
      <c r="N10" s="66">
        <f t="shared" si="2"/>
        <v>0</v>
      </c>
      <c r="O10" s="66">
        <f t="shared" si="2"/>
        <v>300000</v>
      </c>
      <c r="P10" s="66">
        <f t="shared" si="2"/>
        <v>0</v>
      </c>
      <c r="Q10" s="66">
        <f t="shared" si="2"/>
        <v>300000</v>
      </c>
    </row>
    <row r="11" spans="1:17" s="22" customFormat="1" ht="20.25" customHeight="1">
      <c r="A11" s="68"/>
      <c r="B11" s="69"/>
      <c r="C11" s="55">
        <v>4300</v>
      </c>
      <c r="D11" s="34" t="s">
        <v>81</v>
      </c>
      <c r="E11" s="66">
        <v>0</v>
      </c>
      <c r="F11" s="66">
        <v>300000</v>
      </c>
      <c r="G11" s="66">
        <f>SUM(E11:F11)</f>
        <v>300000</v>
      </c>
      <c r="H11" s="66"/>
      <c r="I11" s="66">
        <f>SUM(G11:H11)</f>
        <v>300000</v>
      </c>
      <c r="J11" s="66"/>
      <c r="K11" s="66">
        <f>SUM(I11:J11)</f>
        <v>300000</v>
      </c>
      <c r="L11" s="66"/>
      <c r="M11" s="66">
        <f>SUM(K11:L11)</f>
        <v>300000</v>
      </c>
      <c r="N11" s="66"/>
      <c r="O11" s="66">
        <f>SUM(M11:N11)</f>
        <v>300000</v>
      </c>
      <c r="P11" s="66"/>
      <c r="Q11" s="66">
        <f>SUM(O11:P11)</f>
        <v>300000</v>
      </c>
    </row>
    <row r="12" spans="1:17" s="22" customFormat="1" ht="20.25" customHeight="1">
      <c r="A12" s="68"/>
      <c r="B12" s="69" t="s">
        <v>305</v>
      </c>
      <c r="C12" s="55"/>
      <c r="D12" s="34" t="s">
        <v>306</v>
      </c>
      <c r="E12" s="66"/>
      <c r="F12" s="66"/>
      <c r="G12" s="66"/>
      <c r="H12" s="66"/>
      <c r="I12" s="66">
        <f aca="true" t="shared" si="3" ref="I12:Q12">SUM(I13)</f>
        <v>0</v>
      </c>
      <c r="J12" s="66">
        <f t="shared" si="3"/>
        <v>45000</v>
      </c>
      <c r="K12" s="66">
        <f t="shared" si="3"/>
        <v>45000</v>
      </c>
      <c r="L12" s="66">
        <f t="shared" si="3"/>
        <v>0</v>
      </c>
      <c r="M12" s="66">
        <f t="shared" si="3"/>
        <v>45000</v>
      </c>
      <c r="N12" s="66">
        <f t="shared" si="3"/>
        <v>0</v>
      </c>
      <c r="O12" s="66">
        <f t="shared" si="3"/>
        <v>45000</v>
      </c>
      <c r="P12" s="66">
        <f t="shared" si="3"/>
        <v>0</v>
      </c>
      <c r="Q12" s="66">
        <f t="shared" si="3"/>
        <v>45000</v>
      </c>
    </row>
    <row r="13" spans="1:17" s="22" customFormat="1" ht="48">
      <c r="A13" s="68"/>
      <c r="B13" s="69"/>
      <c r="C13" s="55">
        <v>2830</v>
      </c>
      <c r="D13" s="34" t="s">
        <v>293</v>
      </c>
      <c r="E13" s="66"/>
      <c r="F13" s="66"/>
      <c r="G13" s="66"/>
      <c r="H13" s="66"/>
      <c r="I13" s="66">
        <v>0</v>
      </c>
      <c r="J13" s="66">
        <v>45000</v>
      </c>
      <c r="K13" s="66">
        <f>SUM(I13:J13)</f>
        <v>45000</v>
      </c>
      <c r="L13" s="66"/>
      <c r="M13" s="66">
        <f>SUM(K13:L13)</f>
        <v>45000</v>
      </c>
      <c r="N13" s="66"/>
      <c r="O13" s="66">
        <f>SUM(M13:N13)</f>
        <v>45000</v>
      </c>
      <c r="P13" s="66"/>
      <c r="Q13" s="66">
        <f>SUM(O13:P13)</f>
        <v>45000</v>
      </c>
    </row>
    <row r="14" spans="1:17" s="22" customFormat="1" ht="21" customHeight="1">
      <c r="A14" s="68"/>
      <c r="B14" s="69" t="s">
        <v>239</v>
      </c>
      <c r="C14" s="55"/>
      <c r="D14" s="34" t="s">
        <v>6</v>
      </c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>
        <f>SUM(O15:O16)</f>
        <v>0</v>
      </c>
      <c r="P14" s="66">
        <f>SUM(P15:P16)</f>
        <v>285502</v>
      </c>
      <c r="Q14" s="66">
        <f>SUM(Q15:Q16)</f>
        <v>285502</v>
      </c>
    </row>
    <row r="15" spans="1:17" s="22" customFormat="1" ht="21.75" customHeight="1">
      <c r="A15" s="68"/>
      <c r="B15" s="69"/>
      <c r="C15" s="55">
        <v>4210</v>
      </c>
      <c r="D15" s="34" t="s">
        <v>74</v>
      </c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>
        <v>0</v>
      </c>
      <c r="P15" s="66">
        <v>5598</v>
      </c>
      <c r="Q15" s="66">
        <f>SUM(O15:P15)</f>
        <v>5598</v>
      </c>
    </row>
    <row r="16" spans="1:17" s="22" customFormat="1" ht="22.5" customHeight="1">
      <c r="A16" s="68"/>
      <c r="B16" s="69"/>
      <c r="C16" s="55">
        <v>4430</v>
      </c>
      <c r="D16" s="34" t="s">
        <v>96</v>
      </c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>
        <v>0</v>
      </c>
      <c r="P16" s="66">
        <v>279904</v>
      </c>
      <c r="Q16" s="66">
        <f>SUM(O16:P16)</f>
        <v>279904</v>
      </c>
    </row>
    <row r="17" spans="1:17" s="5" customFormat="1" ht="21" customHeight="1">
      <c r="A17" s="29" t="s">
        <v>76</v>
      </c>
      <c r="B17" s="30"/>
      <c r="C17" s="31"/>
      <c r="D17" s="32" t="s">
        <v>77</v>
      </c>
      <c r="E17" s="33">
        <f aca="true" t="shared" si="4" ref="E17:Q17">E18</f>
        <v>5719925</v>
      </c>
      <c r="F17" s="33">
        <f t="shared" si="4"/>
        <v>1935000</v>
      </c>
      <c r="G17" s="33">
        <f t="shared" si="4"/>
        <v>7654925</v>
      </c>
      <c r="H17" s="33">
        <f t="shared" si="4"/>
        <v>0</v>
      </c>
      <c r="I17" s="33">
        <f t="shared" si="4"/>
        <v>7654925</v>
      </c>
      <c r="J17" s="33">
        <f t="shared" si="4"/>
        <v>20000</v>
      </c>
      <c r="K17" s="33">
        <f t="shared" si="4"/>
        <v>7674925</v>
      </c>
      <c r="L17" s="33">
        <f t="shared" si="4"/>
        <v>25000</v>
      </c>
      <c r="M17" s="33">
        <f t="shared" si="4"/>
        <v>7699925</v>
      </c>
      <c r="N17" s="33">
        <f t="shared" si="4"/>
        <v>0</v>
      </c>
      <c r="O17" s="33">
        <f t="shared" si="4"/>
        <v>7699925</v>
      </c>
      <c r="P17" s="33">
        <f t="shared" si="4"/>
        <v>0</v>
      </c>
      <c r="Q17" s="33">
        <f t="shared" si="4"/>
        <v>7699925</v>
      </c>
    </row>
    <row r="18" spans="1:17" s="22" customFormat="1" ht="21" customHeight="1">
      <c r="A18" s="52"/>
      <c r="B18" s="67" t="s">
        <v>78</v>
      </c>
      <c r="C18" s="71"/>
      <c r="D18" s="34" t="s">
        <v>79</v>
      </c>
      <c r="E18" s="66">
        <f aca="true" t="shared" si="5" ref="E18:K18">SUM(E19:E23)</f>
        <v>5719925</v>
      </c>
      <c r="F18" s="66">
        <f t="shared" si="5"/>
        <v>1935000</v>
      </c>
      <c r="G18" s="66">
        <f t="shared" si="5"/>
        <v>7654925</v>
      </c>
      <c r="H18" s="66">
        <f t="shared" si="5"/>
        <v>0</v>
      </c>
      <c r="I18" s="66">
        <f t="shared" si="5"/>
        <v>7654925</v>
      </c>
      <c r="J18" s="66">
        <f t="shared" si="5"/>
        <v>20000</v>
      </c>
      <c r="K18" s="66">
        <f t="shared" si="5"/>
        <v>7674925</v>
      </c>
      <c r="L18" s="66">
        <f aca="true" t="shared" si="6" ref="L18:Q18">SUM(L19:L23)</f>
        <v>25000</v>
      </c>
      <c r="M18" s="66">
        <f t="shared" si="6"/>
        <v>7699925</v>
      </c>
      <c r="N18" s="66">
        <f t="shared" si="6"/>
        <v>0</v>
      </c>
      <c r="O18" s="66">
        <f t="shared" si="6"/>
        <v>7699925</v>
      </c>
      <c r="P18" s="66">
        <f t="shared" si="6"/>
        <v>0</v>
      </c>
      <c r="Q18" s="66">
        <f t="shared" si="6"/>
        <v>7699925</v>
      </c>
    </row>
    <row r="19" spans="1:17" s="22" customFormat="1" ht="21" customHeight="1">
      <c r="A19" s="52"/>
      <c r="B19" s="72"/>
      <c r="C19" s="52">
        <v>4210</v>
      </c>
      <c r="D19" s="34" t="s">
        <v>74</v>
      </c>
      <c r="E19" s="66">
        <v>57205</v>
      </c>
      <c r="F19" s="66"/>
      <c r="G19" s="66">
        <f>SUM(E19:F19)</f>
        <v>57205</v>
      </c>
      <c r="H19" s="66"/>
      <c r="I19" s="66">
        <f>SUM(G19:H19)</f>
        <v>57205</v>
      </c>
      <c r="J19" s="66"/>
      <c r="K19" s="66">
        <f>SUM(I19:J19)</f>
        <v>57205</v>
      </c>
      <c r="L19" s="66"/>
      <c r="M19" s="66">
        <f>SUM(K19:L19)</f>
        <v>57205</v>
      </c>
      <c r="N19" s="66"/>
      <c r="O19" s="66">
        <f>SUM(M19:N19)</f>
        <v>57205</v>
      </c>
      <c r="P19" s="66"/>
      <c r="Q19" s="66">
        <f>SUM(O19:P19)</f>
        <v>57205</v>
      </c>
    </row>
    <row r="20" spans="1:17" s="22" customFormat="1" ht="21" customHeight="1">
      <c r="A20" s="52"/>
      <c r="B20" s="72"/>
      <c r="C20" s="52">
        <v>4270</v>
      </c>
      <c r="D20" s="34" t="s">
        <v>80</v>
      </c>
      <c r="E20" s="66">
        <f>70000+15000+60000</f>
        <v>145000</v>
      </c>
      <c r="F20" s="66">
        <v>100000</v>
      </c>
      <c r="G20" s="66">
        <f>SUM(E20:F20)</f>
        <v>245000</v>
      </c>
      <c r="H20" s="66"/>
      <c r="I20" s="66">
        <f>SUM(G20:H20)</f>
        <v>245000</v>
      </c>
      <c r="J20" s="66"/>
      <c r="K20" s="66">
        <f>SUM(I20:J20)</f>
        <v>245000</v>
      </c>
      <c r="L20" s="66"/>
      <c r="M20" s="66">
        <f>SUM(K20:L20)</f>
        <v>245000</v>
      </c>
      <c r="N20" s="66"/>
      <c r="O20" s="66">
        <f>SUM(M20:N20)</f>
        <v>245000</v>
      </c>
      <c r="P20" s="66"/>
      <c r="Q20" s="66">
        <f>SUM(O20:P20)</f>
        <v>245000</v>
      </c>
    </row>
    <row r="21" spans="1:17" s="22" customFormat="1" ht="21" customHeight="1">
      <c r="A21" s="52"/>
      <c r="B21" s="72"/>
      <c r="C21" s="52">
        <v>4300</v>
      </c>
      <c r="D21" s="34" t="s">
        <v>81</v>
      </c>
      <c r="E21" s="66">
        <f>21800+200000+80000+30000+25000</f>
        <v>356800</v>
      </c>
      <c r="F21" s="66"/>
      <c r="G21" s="66">
        <f>SUM(E21:F21)</f>
        <v>356800</v>
      </c>
      <c r="H21" s="66"/>
      <c r="I21" s="66">
        <f>SUM(G21:H21)</f>
        <v>356800</v>
      </c>
      <c r="J21" s="66"/>
      <c r="K21" s="66">
        <f>SUM(I21:J21)</f>
        <v>356800</v>
      </c>
      <c r="L21" s="66"/>
      <c r="M21" s="66">
        <f>SUM(K21:L21)</f>
        <v>356800</v>
      </c>
      <c r="N21" s="66"/>
      <c r="O21" s="66">
        <f>SUM(M21:N21)</f>
        <v>356800</v>
      </c>
      <c r="P21" s="66"/>
      <c r="Q21" s="66">
        <f>SUM(O21:P21)</f>
        <v>356800</v>
      </c>
    </row>
    <row r="22" spans="1:17" s="22" customFormat="1" ht="21" customHeight="1">
      <c r="A22" s="52"/>
      <c r="B22" s="72"/>
      <c r="C22" s="52">
        <v>6050</v>
      </c>
      <c r="D22" s="34" t="s">
        <v>75</v>
      </c>
      <c r="E22" s="66">
        <f>14120+3800+18000+5110000</f>
        <v>5145920</v>
      </c>
      <c r="F22" s="66">
        <f>-190000-1500000-490000-70000-70000-70000+135000+340000+500000+250000+250000+800000+700000+700000+500000+50000</f>
        <v>1835000</v>
      </c>
      <c r="G22" s="66">
        <f>SUM(E22:F22)</f>
        <v>6980920</v>
      </c>
      <c r="H22" s="66"/>
      <c r="I22" s="66">
        <f>SUM(G22:H22)</f>
        <v>6980920</v>
      </c>
      <c r="J22" s="66">
        <v>20000</v>
      </c>
      <c r="K22" s="66">
        <f>SUM(I22:J22)</f>
        <v>7000920</v>
      </c>
      <c r="L22" s="66">
        <v>25000</v>
      </c>
      <c r="M22" s="66">
        <f>SUM(K22:L22)</f>
        <v>7025920</v>
      </c>
      <c r="N22" s="66"/>
      <c r="O22" s="66">
        <f>SUM(M22:N22)</f>
        <v>7025920</v>
      </c>
      <c r="P22" s="66"/>
      <c r="Q22" s="66">
        <f>SUM(O22:P22)</f>
        <v>7025920</v>
      </c>
    </row>
    <row r="23" spans="1:17" s="22" customFormat="1" ht="24">
      <c r="A23" s="52"/>
      <c r="B23" s="72"/>
      <c r="C23" s="52">
        <v>6060</v>
      </c>
      <c r="D23" s="34" t="s">
        <v>98</v>
      </c>
      <c r="E23" s="66">
        <v>15000</v>
      </c>
      <c r="F23" s="66"/>
      <c r="G23" s="66">
        <f>SUM(E23:F23)</f>
        <v>15000</v>
      </c>
      <c r="H23" s="66"/>
      <c r="I23" s="66">
        <f>SUM(G23:H23)</f>
        <v>15000</v>
      </c>
      <c r="J23" s="66"/>
      <c r="K23" s="66">
        <f>SUM(I23:J23)</f>
        <v>15000</v>
      </c>
      <c r="L23" s="66"/>
      <c r="M23" s="66">
        <f>SUM(K23:L23)</f>
        <v>15000</v>
      </c>
      <c r="N23" s="66"/>
      <c r="O23" s="66">
        <f>SUM(M23:N23)</f>
        <v>15000</v>
      </c>
      <c r="P23" s="66"/>
      <c r="Q23" s="66">
        <f>SUM(O23:P23)</f>
        <v>15000</v>
      </c>
    </row>
    <row r="24" spans="1:17" s="5" customFormat="1" ht="21" customHeight="1">
      <c r="A24" s="29" t="s">
        <v>8</v>
      </c>
      <c r="B24" s="30"/>
      <c r="C24" s="31"/>
      <c r="D24" s="32" t="s">
        <v>9</v>
      </c>
      <c r="E24" s="33">
        <f aca="true" t="shared" si="7" ref="E24:K24">SUM(E25,E27,E37,E40)</f>
        <v>3482512</v>
      </c>
      <c r="F24" s="33">
        <f t="shared" si="7"/>
        <v>80000</v>
      </c>
      <c r="G24" s="33">
        <f t="shared" si="7"/>
        <v>3562512</v>
      </c>
      <c r="H24" s="33">
        <f t="shared" si="7"/>
        <v>0</v>
      </c>
      <c r="I24" s="33">
        <f t="shared" si="7"/>
        <v>3562512</v>
      </c>
      <c r="J24" s="33">
        <f t="shared" si="7"/>
        <v>0</v>
      </c>
      <c r="K24" s="33">
        <f t="shared" si="7"/>
        <v>3562512</v>
      </c>
      <c r="L24" s="33">
        <f aca="true" t="shared" si="8" ref="L24:Q24">SUM(L25,L27,L37,L40)</f>
        <v>0</v>
      </c>
      <c r="M24" s="33">
        <f t="shared" si="8"/>
        <v>3562512</v>
      </c>
      <c r="N24" s="33">
        <f t="shared" si="8"/>
        <v>0</v>
      </c>
      <c r="O24" s="33">
        <f t="shared" si="8"/>
        <v>3562512</v>
      </c>
      <c r="P24" s="33">
        <f t="shared" si="8"/>
        <v>0</v>
      </c>
      <c r="Q24" s="33">
        <f t="shared" si="8"/>
        <v>3562512</v>
      </c>
    </row>
    <row r="25" spans="1:17" s="22" customFormat="1" ht="24">
      <c r="A25" s="52"/>
      <c r="B25" s="72">
        <v>70004</v>
      </c>
      <c r="C25" s="71"/>
      <c r="D25" s="34" t="s">
        <v>204</v>
      </c>
      <c r="E25" s="66">
        <f aca="true" t="shared" si="9" ref="E25:Q25">SUM(E26)</f>
        <v>45000</v>
      </c>
      <c r="F25" s="66">
        <f t="shared" si="9"/>
        <v>0</v>
      </c>
      <c r="G25" s="66">
        <f t="shared" si="9"/>
        <v>45000</v>
      </c>
      <c r="H25" s="66">
        <f t="shared" si="9"/>
        <v>0</v>
      </c>
      <c r="I25" s="66">
        <f t="shared" si="9"/>
        <v>45000</v>
      </c>
      <c r="J25" s="66">
        <f t="shared" si="9"/>
        <v>0</v>
      </c>
      <c r="K25" s="66">
        <f t="shared" si="9"/>
        <v>45000</v>
      </c>
      <c r="L25" s="66">
        <f t="shared" si="9"/>
        <v>0</v>
      </c>
      <c r="M25" s="66">
        <f t="shared" si="9"/>
        <v>45000</v>
      </c>
      <c r="N25" s="66">
        <f t="shared" si="9"/>
        <v>0</v>
      </c>
      <c r="O25" s="66">
        <f t="shared" si="9"/>
        <v>45000</v>
      </c>
      <c r="P25" s="66">
        <f t="shared" si="9"/>
        <v>0</v>
      </c>
      <c r="Q25" s="66">
        <f t="shared" si="9"/>
        <v>45000</v>
      </c>
    </row>
    <row r="26" spans="1:17" s="22" customFormat="1" ht="21" customHeight="1">
      <c r="A26" s="52"/>
      <c r="B26" s="72"/>
      <c r="C26" s="71">
        <v>4300</v>
      </c>
      <c r="D26" s="34" t="s">
        <v>81</v>
      </c>
      <c r="E26" s="66">
        <v>45000</v>
      </c>
      <c r="F26" s="66"/>
      <c r="G26" s="66">
        <f>SUM(E26:F26)</f>
        <v>45000</v>
      </c>
      <c r="H26" s="66"/>
      <c r="I26" s="66">
        <f>SUM(G26:H26)</f>
        <v>45000</v>
      </c>
      <c r="J26" s="66"/>
      <c r="K26" s="66">
        <f>SUM(I26:J26)</f>
        <v>45000</v>
      </c>
      <c r="L26" s="66"/>
      <c r="M26" s="66">
        <f>SUM(K26:L26)</f>
        <v>45000</v>
      </c>
      <c r="N26" s="66"/>
      <c r="O26" s="66">
        <f>SUM(M26:N26)</f>
        <v>45000</v>
      </c>
      <c r="P26" s="66"/>
      <c r="Q26" s="66">
        <f>SUM(O26:P26)</f>
        <v>45000</v>
      </c>
    </row>
    <row r="27" spans="1:17" s="22" customFormat="1" ht="21" customHeight="1">
      <c r="A27" s="52"/>
      <c r="B27" s="67" t="s">
        <v>10</v>
      </c>
      <c r="C27" s="71"/>
      <c r="D27" s="34" t="s">
        <v>150</v>
      </c>
      <c r="E27" s="66">
        <f aca="true" t="shared" si="10" ref="E27:J27">SUM(E29:E36)</f>
        <v>2236932</v>
      </c>
      <c r="F27" s="66">
        <f t="shared" si="10"/>
        <v>0</v>
      </c>
      <c r="G27" s="66">
        <f t="shared" si="10"/>
        <v>2236932</v>
      </c>
      <c r="H27" s="66">
        <f t="shared" si="10"/>
        <v>0</v>
      </c>
      <c r="I27" s="66">
        <f t="shared" si="10"/>
        <v>2236932</v>
      </c>
      <c r="J27" s="66">
        <f t="shared" si="10"/>
        <v>0</v>
      </c>
      <c r="K27" s="66">
        <f aca="true" t="shared" si="11" ref="K27:Q27">SUM(K28:K36)</f>
        <v>2236932</v>
      </c>
      <c r="L27" s="66">
        <f t="shared" si="11"/>
        <v>0</v>
      </c>
      <c r="M27" s="66">
        <f t="shared" si="11"/>
        <v>2236932</v>
      </c>
      <c r="N27" s="66">
        <f t="shared" si="11"/>
        <v>0</v>
      </c>
      <c r="O27" s="66">
        <f t="shared" si="11"/>
        <v>2236932</v>
      </c>
      <c r="P27" s="66">
        <f t="shared" si="11"/>
        <v>0</v>
      </c>
      <c r="Q27" s="66">
        <f t="shared" si="11"/>
        <v>2236932</v>
      </c>
    </row>
    <row r="28" spans="1:19" s="22" customFormat="1" ht="21" customHeight="1">
      <c r="A28" s="52"/>
      <c r="B28" s="67"/>
      <c r="C28" s="71">
        <v>4170</v>
      </c>
      <c r="D28" s="34" t="s">
        <v>198</v>
      </c>
      <c r="E28" s="66"/>
      <c r="F28" s="66"/>
      <c r="G28" s="66"/>
      <c r="H28" s="66"/>
      <c r="I28" s="66"/>
      <c r="J28" s="66"/>
      <c r="K28" s="66">
        <v>0</v>
      </c>
      <c r="L28" s="66">
        <v>3000</v>
      </c>
      <c r="M28" s="66">
        <f>SUM(K28:L28)</f>
        <v>3000</v>
      </c>
      <c r="N28" s="66"/>
      <c r="O28" s="66">
        <f>SUM(M28:N28)</f>
        <v>3000</v>
      </c>
      <c r="P28" s="66"/>
      <c r="Q28" s="66">
        <f>SUM(O28:P28)</f>
        <v>3000</v>
      </c>
      <c r="R28" s="97"/>
      <c r="S28" s="97"/>
    </row>
    <row r="29" spans="1:17" s="22" customFormat="1" ht="21" customHeight="1">
      <c r="A29" s="52"/>
      <c r="B29" s="67"/>
      <c r="C29" s="71">
        <v>4210</v>
      </c>
      <c r="D29" s="34" t="s">
        <v>74</v>
      </c>
      <c r="E29" s="66">
        <v>30000</v>
      </c>
      <c r="F29" s="66"/>
      <c r="G29" s="66">
        <f>SUM(E29:F29)</f>
        <v>30000</v>
      </c>
      <c r="H29" s="66"/>
      <c r="I29" s="66">
        <f>SUM(G29:H29)</f>
        <v>30000</v>
      </c>
      <c r="J29" s="66">
        <v>52000</v>
      </c>
      <c r="K29" s="66">
        <f>SUM(I29:J29)</f>
        <v>82000</v>
      </c>
      <c r="L29" s="66"/>
      <c r="M29" s="66">
        <f>SUM(K29:L29)</f>
        <v>82000</v>
      </c>
      <c r="N29" s="66"/>
      <c r="O29" s="66">
        <f>SUM(M29:N29)</f>
        <v>82000</v>
      </c>
      <c r="P29" s="66"/>
      <c r="Q29" s="66">
        <f>SUM(O29:P29)</f>
        <v>82000</v>
      </c>
    </row>
    <row r="30" spans="1:17" s="22" customFormat="1" ht="21" customHeight="1">
      <c r="A30" s="52"/>
      <c r="B30" s="67"/>
      <c r="C30" s="71">
        <v>4260</v>
      </c>
      <c r="D30" s="34" t="s">
        <v>97</v>
      </c>
      <c r="E30" s="66">
        <v>106000</v>
      </c>
      <c r="F30" s="66"/>
      <c r="G30" s="66">
        <f aca="true" t="shared" si="12" ref="G30:G36">SUM(E30:F30)</f>
        <v>106000</v>
      </c>
      <c r="H30" s="66"/>
      <c r="I30" s="66">
        <f aca="true" t="shared" si="13" ref="I30:I36">SUM(G30:H30)</f>
        <v>106000</v>
      </c>
      <c r="J30" s="66">
        <v>-52000</v>
      </c>
      <c r="K30" s="66">
        <f aca="true" t="shared" si="14" ref="K30:K36">SUM(I30:J30)</f>
        <v>54000</v>
      </c>
      <c r="L30" s="66"/>
      <c r="M30" s="66">
        <f aca="true" t="shared" si="15" ref="M30:M36">SUM(K30:L30)</f>
        <v>54000</v>
      </c>
      <c r="N30" s="66"/>
      <c r="O30" s="66">
        <f aca="true" t="shared" si="16" ref="O30:O36">SUM(M30:N30)</f>
        <v>54000</v>
      </c>
      <c r="P30" s="66"/>
      <c r="Q30" s="66">
        <f aca="true" t="shared" si="17" ref="Q30:Q36">SUM(O30:P30)</f>
        <v>54000</v>
      </c>
    </row>
    <row r="31" spans="1:17" s="22" customFormat="1" ht="21" customHeight="1">
      <c r="A31" s="52"/>
      <c r="B31" s="67"/>
      <c r="C31" s="71">
        <v>4270</v>
      </c>
      <c r="D31" s="34" t="s">
        <v>80</v>
      </c>
      <c r="E31" s="66">
        <v>900000</v>
      </c>
      <c r="F31" s="66"/>
      <c r="G31" s="66">
        <f t="shared" si="12"/>
        <v>900000</v>
      </c>
      <c r="H31" s="66"/>
      <c r="I31" s="66">
        <f t="shared" si="13"/>
        <v>900000</v>
      </c>
      <c r="J31" s="66"/>
      <c r="K31" s="66">
        <f t="shared" si="14"/>
        <v>900000</v>
      </c>
      <c r="L31" s="66">
        <v>-3000</v>
      </c>
      <c r="M31" s="66">
        <f t="shared" si="15"/>
        <v>897000</v>
      </c>
      <c r="N31" s="66"/>
      <c r="O31" s="66">
        <f t="shared" si="16"/>
        <v>897000</v>
      </c>
      <c r="P31" s="66"/>
      <c r="Q31" s="66">
        <f t="shared" si="17"/>
        <v>897000</v>
      </c>
    </row>
    <row r="32" spans="1:17" s="22" customFormat="1" ht="21" customHeight="1">
      <c r="A32" s="52"/>
      <c r="B32" s="72"/>
      <c r="C32" s="52">
        <v>4300</v>
      </c>
      <c r="D32" s="34" t="s">
        <v>81</v>
      </c>
      <c r="E32" s="66">
        <f>136600+160000</f>
        <v>296600</v>
      </c>
      <c r="F32" s="66"/>
      <c r="G32" s="66">
        <f t="shared" si="12"/>
        <v>296600</v>
      </c>
      <c r="H32" s="66"/>
      <c r="I32" s="66">
        <f t="shared" si="13"/>
        <v>296600</v>
      </c>
      <c r="J32" s="66"/>
      <c r="K32" s="66">
        <f t="shared" si="14"/>
        <v>296600</v>
      </c>
      <c r="L32" s="66"/>
      <c r="M32" s="66">
        <f t="shared" si="15"/>
        <v>296600</v>
      </c>
      <c r="N32" s="66"/>
      <c r="O32" s="66">
        <f t="shared" si="16"/>
        <v>296600</v>
      </c>
      <c r="P32" s="66"/>
      <c r="Q32" s="66">
        <f t="shared" si="17"/>
        <v>296600</v>
      </c>
    </row>
    <row r="33" spans="1:17" s="22" customFormat="1" ht="24">
      <c r="A33" s="52"/>
      <c r="B33" s="72"/>
      <c r="C33" s="52">
        <v>4400</v>
      </c>
      <c r="D33" s="34" t="s">
        <v>238</v>
      </c>
      <c r="E33" s="66">
        <v>778500</v>
      </c>
      <c r="F33" s="66"/>
      <c r="G33" s="66">
        <f t="shared" si="12"/>
        <v>778500</v>
      </c>
      <c r="H33" s="66"/>
      <c r="I33" s="66">
        <f t="shared" si="13"/>
        <v>778500</v>
      </c>
      <c r="J33" s="66"/>
      <c r="K33" s="66">
        <f t="shared" si="14"/>
        <v>778500</v>
      </c>
      <c r="L33" s="66"/>
      <c r="M33" s="66">
        <f t="shared" si="15"/>
        <v>778500</v>
      </c>
      <c r="N33" s="66"/>
      <c r="O33" s="66">
        <f t="shared" si="16"/>
        <v>778500</v>
      </c>
      <c r="P33" s="66"/>
      <c r="Q33" s="66">
        <f t="shared" si="17"/>
        <v>778500</v>
      </c>
    </row>
    <row r="34" spans="1:17" s="22" customFormat="1" ht="21" customHeight="1">
      <c r="A34" s="52"/>
      <c r="B34" s="72"/>
      <c r="C34" s="52">
        <v>4480</v>
      </c>
      <c r="D34" s="34" t="s">
        <v>31</v>
      </c>
      <c r="E34" s="66">
        <v>132</v>
      </c>
      <c r="F34" s="66"/>
      <c r="G34" s="66">
        <f t="shared" si="12"/>
        <v>132</v>
      </c>
      <c r="H34" s="66"/>
      <c r="I34" s="66">
        <f t="shared" si="13"/>
        <v>132</v>
      </c>
      <c r="J34" s="66"/>
      <c r="K34" s="66">
        <f t="shared" si="14"/>
        <v>132</v>
      </c>
      <c r="L34" s="66"/>
      <c r="M34" s="66">
        <f t="shared" si="15"/>
        <v>132</v>
      </c>
      <c r="N34" s="66"/>
      <c r="O34" s="66">
        <f t="shared" si="16"/>
        <v>132</v>
      </c>
      <c r="P34" s="66"/>
      <c r="Q34" s="66">
        <f t="shared" si="17"/>
        <v>132</v>
      </c>
    </row>
    <row r="35" spans="1:17" s="22" customFormat="1" ht="21" customHeight="1">
      <c r="A35" s="52"/>
      <c r="B35" s="72"/>
      <c r="C35" s="71">
        <v>4510</v>
      </c>
      <c r="D35" s="34" t="s">
        <v>147</v>
      </c>
      <c r="E35" s="66">
        <v>700</v>
      </c>
      <c r="F35" s="66"/>
      <c r="G35" s="66">
        <f t="shared" si="12"/>
        <v>700</v>
      </c>
      <c r="H35" s="66"/>
      <c r="I35" s="66">
        <f t="shared" si="13"/>
        <v>700</v>
      </c>
      <c r="J35" s="66"/>
      <c r="K35" s="66">
        <f t="shared" si="14"/>
        <v>700</v>
      </c>
      <c r="L35" s="66"/>
      <c r="M35" s="66">
        <f t="shared" si="15"/>
        <v>700</v>
      </c>
      <c r="N35" s="66"/>
      <c r="O35" s="66">
        <f t="shared" si="16"/>
        <v>700</v>
      </c>
      <c r="P35" s="66"/>
      <c r="Q35" s="66">
        <f t="shared" si="17"/>
        <v>700</v>
      </c>
    </row>
    <row r="36" spans="1:17" s="22" customFormat="1" ht="24">
      <c r="A36" s="52"/>
      <c r="B36" s="72"/>
      <c r="C36" s="52">
        <v>6050</v>
      </c>
      <c r="D36" s="34" t="s">
        <v>75</v>
      </c>
      <c r="E36" s="66">
        <f>65000+60000</f>
        <v>125000</v>
      </c>
      <c r="F36" s="66"/>
      <c r="G36" s="66">
        <f t="shared" si="12"/>
        <v>125000</v>
      </c>
      <c r="H36" s="66"/>
      <c r="I36" s="66">
        <f t="shared" si="13"/>
        <v>125000</v>
      </c>
      <c r="J36" s="66"/>
      <c r="K36" s="66">
        <f t="shared" si="14"/>
        <v>125000</v>
      </c>
      <c r="L36" s="66"/>
      <c r="M36" s="66">
        <f t="shared" si="15"/>
        <v>125000</v>
      </c>
      <c r="N36" s="66"/>
      <c r="O36" s="66">
        <f t="shared" si="16"/>
        <v>125000</v>
      </c>
      <c r="P36" s="66"/>
      <c r="Q36" s="66">
        <f t="shared" si="17"/>
        <v>125000</v>
      </c>
    </row>
    <row r="37" spans="1:17" s="22" customFormat="1" ht="21" customHeight="1">
      <c r="A37" s="52"/>
      <c r="B37" s="72">
        <v>70021</v>
      </c>
      <c r="C37" s="52"/>
      <c r="D37" s="34" t="s">
        <v>184</v>
      </c>
      <c r="E37" s="66">
        <f>SUM(E38:E38)</f>
        <v>400000</v>
      </c>
      <c r="F37" s="66">
        <f>SUM(F38:F38)</f>
        <v>280000</v>
      </c>
      <c r="G37" s="66">
        <f>SUM(G38:G38)</f>
        <v>680000</v>
      </c>
      <c r="H37" s="66">
        <f>SUM(H38:H38)</f>
        <v>0</v>
      </c>
      <c r="I37" s="66">
        <f aca="true" t="shared" si="18" ref="I37:O37">SUM(I38:I39)</f>
        <v>680000</v>
      </c>
      <c r="J37" s="66">
        <f t="shared" si="18"/>
        <v>0</v>
      </c>
      <c r="K37" s="66">
        <f t="shared" si="18"/>
        <v>680000</v>
      </c>
      <c r="L37" s="66">
        <f t="shared" si="18"/>
        <v>0</v>
      </c>
      <c r="M37" s="66">
        <f t="shared" si="18"/>
        <v>680000</v>
      </c>
      <c r="N37" s="66">
        <f t="shared" si="18"/>
        <v>0</v>
      </c>
      <c r="O37" s="66">
        <f t="shared" si="18"/>
        <v>680000</v>
      </c>
      <c r="P37" s="66">
        <f>SUM(P38:P39)</f>
        <v>0</v>
      </c>
      <c r="Q37" s="66">
        <f>SUM(Q38:Q39)</f>
        <v>680000</v>
      </c>
    </row>
    <row r="38" spans="1:17" s="22" customFormat="1" ht="21" customHeight="1">
      <c r="A38" s="52"/>
      <c r="B38" s="72"/>
      <c r="C38" s="52">
        <v>4150</v>
      </c>
      <c r="D38" s="34" t="s">
        <v>259</v>
      </c>
      <c r="E38" s="66">
        <v>400000</v>
      </c>
      <c r="F38" s="66">
        <f>280000</f>
        <v>280000</v>
      </c>
      <c r="G38" s="66">
        <f>SUM(E38:F38)</f>
        <v>680000</v>
      </c>
      <c r="H38" s="66"/>
      <c r="I38" s="66">
        <f>SUM(G38:H38)</f>
        <v>680000</v>
      </c>
      <c r="J38" s="66">
        <v>-280000</v>
      </c>
      <c r="K38" s="66">
        <f>SUM(I38:J38)</f>
        <v>400000</v>
      </c>
      <c r="L38" s="66"/>
      <c r="M38" s="66">
        <f>SUM(K38:L38)</f>
        <v>400000</v>
      </c>
      <c r="N38" s="66"/>
      <c r="O38" s="66">
        <f>SUM(M38:N38)</f>
        <v>400000</v>
      </c>
      <c r="P38" s="66"/>
      <c r="Q38" s="66">
        <f>SUM(O38:P38)</f>
        <v>400000</v>
      </c>
    </row>
    <row r="39" spans="1:17" s="22" customFormat="1" ht="58.5" customHeight="1">
      <c r="A39" s="52"/>
      <c r="B39" s="72"/>
      <c r="C39" s="52">
        <v>6010</v>
      </c>
      <c r="D39" s="34" t="s">
        <v>265</v>
      </c>
      <c r="E39" s="66"/>
      <c r="F39" s="66"/>
      <c r="G39" s="66"/>
      <c r="H39" s="66"/>
      <c r="I39" s="66">
        <v>0</v>
      </c>
      <c r="J39" s="66">
        <v>280000</v>
      </c>
      <c r="K39" s="66">
        <f>SUM(I39:J39)</f>
        <v>280000</v>
      </c>
      <c r="L39" s="66"/>
      <c r="M39" s="66">
        <f>SUM(K39:L39)</f>
        <v>280000</v>
      </c>
      <c r="N39" s="66"/>
      <c r="O39" s="66">
        <f>SUM(M39:N39)</f>
        <v>280000</v>
      </c>
      <c r="P39" s="66"/>
      <c r="Q39" s="66">
        <f>SUM(O39:P39)</f>
        <v>280000</v>
      </c>
    </row>
    <row r="40" spans="1:17" s="22" customFormat="1" ht="21" customHeight="1">
      <c r="A40" s="52"/>
      <c r="B40" s="67">
        <v>70095</v>
      </c>
      <c r="C40" s="71"/>
      <c r="D40" s="34" t="s">
        <v>6</v>
      </c>
      <c r="E40" s="66">
        <f aca="true" t="shared" si="19" ref="E40:K40">SUM(E41:E43)</f>
        <v>800580</v>
      </c>
      <c r="F40" s="66">
        <f t="shared" si="19"/>
        <v>-200000</v>
      </c>
      <c r="G40" s="66">
        <f t="shared" si="19"/>
        <v>600580</v>
      </c>
      <c r="H40" s="66">
        <f t="shared" si="19"/>
        <v>0</v>
      </c>
      <c r="I40" s="66">
        <f t="shared" si="19"/>
        <v>600580</v>
      </c>
      <c r="J40" s="66">
        <f t="shared" si="19"/>
        <v>0</v>
      </c>
      <c r="K40" s="66">
        <f t="shared" si="19"/>
        <v>600580</v>
      </c>
      <c r="L40" s="66">
        <f aca="true" t="shared" si="20" ref="L40:Q40">SUM(L41:L43)</f>
        <v>0</v>
      </c>
      <c r="M40" s="66">
        <f t="shared" si="20"/>
        <v>600580</v>
      </c>
      <c r="N40" s="66">
        <f t="shared" si="20"/>
        <v>0</v>
      </c>
      <c r="O40" s="66">
        <f t="shared" si="20"/>
        <v>600580</v>
      </c>
      <c r="P40" s="66">
        <f t="shared" si="20"/>
        <v>0</v>
      </c>
      <c r="Q40" s="66">
        <f t="shared" si="20"/>
        <v>600580</v>
      </c>
    </row>
    <row r="41" spans="1:17" s="22" customFormat="1" ht="21" customHeight="1">
      <c r="A41" s="52"/>
      <c r="B41" s="67"/>
      <c r="C41" s="71">
        <v>4260</v>
      </c>
      <c r="D41" s="34" t="s">
        <v>97</v>
      </c>
      <c r="E41" s="66">
        <v>500</v>
      </c>
      <c r="F41" s="66"/>
      <c r="G41" s="66">
        <f>SUM(E41:F41)</f>
        <v>500</v>
      </c>
      <c r="H41" s="66"/>
      <c r="I41" s="66">
        <f>SUM(G41:H41)</f>
        <v>500</v>
      </c>
      <c r="J41" s="66"/>
      <c r="K41" s="66">
        <f>SUM(I41:J41)</f>
        <v>500</v>
      </c>
      <c r="L41" s="66"/>
      <c r="M41" s="66">
        <f>SUM(K41:L41)</f>
        <v>500</v>
      </c>
      <c r="N41" s="66"/>
      <c r="O41" s="66">
        <f>SUM(M41:N41)</f>
        <v>500</v>
      </c>
      <c r="P41" s="66"/>
      <c r="Q41" s="66">
        <f>SUM(O41:P41)</f>
        <v>500</v>
      </c>
    </row>
    <row r="42" spans="1:17" s="22" customFormat="1" ht="21" customHeight="1">
      <c r="A42" s="52"/>
      <c r="B42" s="67"/>
      <c r="C42" s="71">
        <v>4300</v>
      </c>
      <c r="D42" s="34" t="s">
        <v>81</v>
      </c>
      <c r="E42" s="66">
        <v>80</v>
      </c>
      <c r="F42" s="66"/>
      <c r="G42" s="66">
        <f>SUM(E42:F42)</f>
        <v>80</v>
      </c>
      <c r="H42" s="66"/>
      <c r="I42" s="66">
        <f>SUM(G42:H42)</f>
        <v>80</v>
      </c>
      <c r="J42" s="66"/>
      <c r="K42" s="66">
        <f>SUM(I42:J42)</f>
        <v>80</v>
      </c>
      <c r="L42" s="66"/>
      <c r="M42" s="66">
        <f>SUM(K42:L42)</f>
        <v>80</v>
      </c>
      <c r="N42" s="66"/>
      <c r="O42" s="66">
        <f>SUM(M42:N42)</f>
        <v>80</v>
      </c>
      <c r="P42" s="66"/>
      <c r="Q42" s="66">
        <f>SUM(O42:P42)</f>
        <v>80</v>
      </c>
    </row>
    <row r="43" spans="1:17" s="22" customFormat="1" ht="21" customHeight="1">
      <c r="A43" s="52"/>
      <c r="B43" s="67"/>
      <c r="C43" s="52">
        <v>6050</v>
      </c>
      <c r="D43" s="34" t="s">
        <v>75</v>
      </c>
      <c r="E43" s="66">
        <v>800000</v>
      </c>
      <c r="F43" s="66">
        <f>-400000+200000</f>
        <v>-200000</v>
      </c>
      <c r="G43" s="66">
        <f>SUM(E43:F43)</f>
        <v>600000</v>
      </c>
      <c r="H43" s="66"/>
      <c r="I43" s="66">
        <f>SUM(G43:H43)</f>
        <v>600000</v>
      </c>
      <c r="J43" s="66">
        <v>0</v>
      </c>
      <c r="K43" s="66">
        <f>SUM(I43:J43)</f>
        <v>600000</v>
      </c>
      <c r="L43" s="66">
        <v>0</v>
      </c>
      <c r="M43" s="66">
        <f>SUM(K43:L43)</f>
        <v>600000</v>
      </c>
      <c r="N43" s="66">
        <v>0</v>
      </c>
      <c r="O43" s="66">
        <f>SUM(M43:N43)</f>
        <v>600000</v>
      </c>
      <c r="P43" s="66">
        <v>0</v>
      </c>
      <c r="Q43" s="66">
        <f>SUM(O43:P43)</f>
        <v>600000</v>
      </c>
    </row>
    <row r="44" spans="1:17" s="5" customFormat="1" ht="21" customHeight="1">
      <c r="A44" s="29" t="s">
        <v>13</v>
      </c>
      <c r="B44" s="30"/>
      <c r="C44" s="31"/>
      <c r="D44" s="32" t="s">
        <v>82</v>
      </c>
      <c r="E44" s="33">
        <f aca="true" t="shared" si="21" ref="E44:K44">SUM(E45,E48)</f>
        <v>370500</v>
      </c>
      <c r="F44" s="33">
        <f t="shared" si="21"/>
        <v>0</v>
      </c>
      <c r="G44" s="33">
        <f t="shared" si="21"/>
        <v>370500</v>
      </c>
      <c r="H44" s="33">
        <f t="shared" si="21"/>
        <v>0</v>
      </c>
      <c r="I44" s="33">
        <f t="shared" si="21"/>
        <v>370500</v>
      </c>
      <c r="J44" s="33">
        <f t="shared" si="21"/>
        <v>0</v>
      </c>
      <c r="K44" s="33">
        <f t="shared" si="21"/>
        <v>370500</v>
      </c>
      <c r="L44" s="33">
        <f aca="true" t="shared" si="22" ref="L44:Q44">SUM(L45,L48)</f>
        <v>0</v>
      </c>
      <c r="M44" s="33">
        <f t="shared" si="22"/>
        <v>370500</v>
      </c>
      <c r="N44" s="33">
        <f t="shared" si="22"/>
        <v>0</v>
      </c>
      <c r="O44" s="33">
        <f t="shared" si="22"/>
        <v>370500</v>
      </c>
      <c r="P44" s="33">
        <f t="shared" si="22"/>
        <v>0</v>
      </c>
      <c r="Q44" s="33">
        <f t="shared" si="22"/>
        <v>370500</v>
      </c>
    </row>
    <row r="45" spans="1:17" s="22" customFormat="1" ht="21" customHeight="1">
      <c r="A45" s="52"/>
      <c r="B45" s="67" t="s">
        <v>83</v>
      </c>
      <c r="C45" s="71"/>
      <c r="D45" s="34" t="s">
        <v>84</v>
      </c>
      <c r="E45" s="66">
        <f>SUM(E47:E47)</f>
        <v>250000</v>
      </c>
      <c r="F45" s="66">
        <f>SUM(F47:F47)</f>
        <v>0</v>
      </c>
      <c r="G45" s="66">
        <f>SUM(G47:G47)</f>
        <v>250000</v>
      </c>
      <c r="H45" s="66">
        <f>SUM(H47:H47)</f>
        <v>0</v>
      </c>
      <c r="I45" s="66">
        <f aca="true" t="shared" si="23" ref="I45:O45">SUM(I46:I47)</f>
        <v>250000</v>
      </c>
      <c r="J45" s="66">
        <f t="shared" si="23"/>
        <v>0</v>
      </c>
      <c r="K45" s="66">
        <f t="shared" si="23"/>
        <v>250000</v>
      </c>
      <c r="L45" s="66">
        <f t="shared" si="23"/>
        <v>0</v>
      </c>
      <c r="M45" s="66">
        <f t="shared" si="23"/>
        <v>250000</v>
      </c>
      <c r="N45" s="66">
        <f t="shared" si="23"/>
        <v>0</v>
      </c>
      <c r="O45" s="66">
        <f t="shared" si="23"/>
        <v>250000</v>
      </c>
      <c r="P45" s="66">
        <f>SUM(P46:P47)</f>
        <v>0</v>
      </c>
      <c r="Q45" s="66">
        <f>SUM(Q46:Q47)</f>
        <v>250000</v>
      </c>
    </row>
    <row r="46" spans="1:19" s="22" customFormat="1" ht="21" customHeight="1">
      <c r="A46" s="52"/>
      <c r="B46" s="67"/>
      <c r="C46" s="71">
        <v>4170</v>
      </c>
      <c r="D46" s="34" t="s">
        <v>198</v>
      </c>
      <c r="E46" s="66"/>
      <c r="F46" s="66"/>
      <c r="G46" s="66"/>
      <c r="H46" s="66"/>
      <c r="I46" s="66">
        <v>0</v>
      </c>
      <c r="J46" s="66">
        <v>50000</v>
      </c>
      <c r="K46" s="66">
        <f>SUM(I46:J46)</f>
        <v>50000</v>
      </c>
      <c r="L46" s="66"/>
      <c r="M46" s="66">
        <f>SUM(K46:L46)</f>
        <v>50000</v>
      </c>
      <c r="N46" s="66"/>
      <c r="O46" s="66">
        <f>SUM(M46:N46)</f>
        <v>50000</v>
      </c>
      <c r="P46" s="66"/>
      <c r="Q46" s="66">
        <f>SUM(O46:P46)</f>
        <v>50000</v>
      </c>
      <c r="R46" s="97"/>
      <c r="S46" s="97"/>
    </row>
    <row r="47" spans="1:17" s="22" customFormat="1" ht="21" customHeight="1">
      <c r="A47" s="52"/>
      <c r="B47" s="67"/>
      <c r="C47" s="52">
        <v>4300</v>
      </c>
      <c r="D47" s="34" t="s">
        <v>81</v>
      </c>
      <c r="E47" s="66">
        <v>250000</v>
      </c>
      <c r="F47" s="66"/>
      <c r="G47" s="66">
        <f>SUM(E47:F47)</f>
        <v>250000</v>
      </c>
      <c r="H47" s="66"/>
      <c r="I47" s="66">
        <f>SUM(G47:H47)</f>
        <v>250000</v>
      </c>
      <c r="J47" s="66">
        <v>-50000</v>
      </c>
      <c r="K47" s="66">
        <f>SUM(I47:J47)</f>
        <v>200000</v>
      </c>
      <c r="L47" s="66"/>
      <c r="M47" s="66">
        <f>SUM(K47:L47)</f>
        <v>200000</v>
      </c>
      <c r="N47" s="66"/>
      <c r="O47" s="66">
        <f>SUM(M47:N47)</f>
        <v>200000</v>
      </c>
      <c r="P47" s="66"/>
      <c r="Q47" s="66">
        <f>SUM(O47:P47)</f>
        <v>200000</v>
      </c>
    </row>
    <row r="48" spans="1:17" s="22" customFormat="1" ht="21" customHeight="1">
      <c r="A48" s="52"/>
      <c r="B48" s="67">
        <v>71035</v>
      </c>
      <c r="C48" s="52"/>
      <c r="D48" s="34" t="s">
        <v>14</v>
      </c>
      <c r="E48" s="66">
        <f aca="true" t="shared" si="24" ref="E48:K48">SUM(E49:E51)</f>
        <v>120500</v>
      </c>
      <c r="F48" s="66">
        <f t="shared" si="24"/>
        <v>0</v>
      </c>
      <c r="G48" s="66">
        <f t="shared" si="24"/>
        <v>120500</v>
      </c>
      <c r="H48" s="66">
        <f t="shared" si="24"/>
        <v>0</v>
      </c>
      <c r="I48" s="66">
        <f t="shared" si="24"/>
        <v>120500</v>
      </c>
      <c r="J48" s="66">
        <f t="shared" si="24"/>
        <v>0</v>
      </c>
      <c r="K48" s="66">
        <f t="shared" si="24"/>
        <v>120500</v>
      </c>
      <c r="L48" s="66">
        <f aca="true" t="shared" si="25" ref="L48:Q48">SUM(L49:L51)</f>
        <v>0</v>
      </c>
      <c r="M48" s="66">
        <f t="shared" si="25"/>
        <v>120500</v>
      </c>
      <c r="N48" s="66">
        <f t="shared" si="25"/>
        <v>0</v>
      </c>
      <c r="O48" s="66">
        <f t="shared" si="25"/>
        <v>120500</v>
      </c>
      <c r="P48" s="66">
        <f t="shared" si="25"/>
        <v>0</v>
      </c>
      <c r="Q48" s="66">
        <f t="shared" si="25"/>
        <v>120500</v>
      </c>
    </row>
    <row r="49" spans="1:17" s="22" customFormat="1" ht="21" customHeight="1">
      <c r="A49" s="52"/>
      <c r="B49" s="67"/>
      <c r="C49" s="52">
        <v>4260</v>
      </c>
      <c r="D49" s="34" t="s">
        <v>97</v>
      </c>
      <c r="E49" s="66">
        <f>500+2000</f>
        <v>2500</v>
      </c>
      <c r="F49" s="66"/>
      <c r="G49" s="66">
        <f>SUM(E49:F49)</f>
        <v>2500</v>
      </c>
      <c r="H49" s="66"/>
      <c r="I49" s="66">
        <f>SUM(G49:H49)</f>
        <v>2500</v>
      </c>
      <c r="J49" s="66"/>
      <c r="K49" s="66">
        <f>SUM(I49:J49)</f>
        <v>2500</v>
      </c>
      <c r="L49" s="66"/>
      <c r="M49" s="66">
        <f>SUM(K49:L49)</f>
        <v>2500</v>
      </c>
      <c r="N49" s="66"/>
      <c r="O49" s="66">
        <f>SUM(M49:N49)</f>
        <v>2500</v>
      </c>
      <c r="P49" s="66"/>
      <c r="Q49" s="66">
        <f>SUM(O49:P49)</f>
        <v>2500</v>
      </c>
    </row>
    <row r="50" spans="1:17" s="22" customFormat="1" ht="21" customHeight="1">
      <c r="A50" s="52"/>
      <c r="B50" s="67"/>
      <c r="C50" s="52">
        <v>4270</v>
      </c>
      <c r="D50" s="34" t="s">
        <v>80</v>
      </c>
      <c r="E50" s="66">
        <v>100000</v>
      </c>
      <c r="F50" s="66"/>
      <c r="G50" s="66">
        <f>SUM(E50:F50)</f>
        <v>100000</v>
      </c>
      <c r="H50" s="66"/>
      <c r="I50" s="66">
        <f>SUM(G50:H50)</f>
        <v>100000</v>
      </c>
      <c r="J50" s="66"/>
      <c r="K50" s="66">
        <f>SUM(I50:J50)</f>
        <v>100000</v>
      </c>
      <c r="L50" s="66"/>
      <c r="M50" s="66">
        <f>SUM(K50:L50)</f>
        <v>100000</v>
      </c>
      <c r="N50" s="66"/>
      <c r="O50" s="66">
        <f>SUM(M50:N50)</f>
        <v>100000</v>
      </c>
      <c r="P50" s="66"/>
      <c r="Q50" s="66">
        <f>SUM(O50:P50)</f>
        <v>100000</v>
      </c>
    </row>
    <row r="51" spans="1:17" s="22" customFormat="1" ht="21" customHeight="1">
      <c r="A51" s="52"/>
      <c r="B51" s="67"/>
      <c r="C51" s="52">
        <v>4300</v>
      </c>
      <c r="D51" s="34" t="s">
        <v>81</v>
      </c>
      <c r="E51" s="66">
        <v>18000</v>
      </c>
      <c r="F51" s="66"/>
      <c r="G51" s="66">
        <f>SUM(E51:F51)</f>
        <v>18000</v>
      </c>
      <c r="H51" s="66"/>
      <c r="I51" s="66">
        <f>SUM(G51:H51)</f>
        <v>18000</v>
      </c>
      <c r="J51" s="66"/>
      <c r="K51" s="66">
        <f>SUM(I51:J51)</f>
        <v>18000</v>
      </c>
      <c r="L51" s="66"/>
      <c r="M51" s="66">
        <f>SUM(K51:L51)</f>
        <v>18000</v>
      </c>
      <c r="N51" s="66"/>
      <c r="O51" s="66">
        <f>SUM(M51:N51)</f>
        <v>18000</v>
      </c>
      <c r="P51" s="66"/>
      <c r="Q51" s="66">
        <f>SUM(O51:P51)</f>
        <v>18000</v>
      </c>
    </row>
    <row r="52" spans="1:17" s="5" customFormat="1" ht="21" customHeight="1">
      <c r="A52" s="29" t="s">
        <v>15</v>
      </c>
      <c r="B52" s="30"/>
      <c r="C52" s="31"/>
      <c r="D52" s="32" t="s">
        <v>85</v>
      </c>
      <c r="E52" s="33">
        <f aca="true" t="shared" si="26" ref="E52:K52">SUM(E53,E71,E82,E107,E120,)</f>
        <v>6340577</v>
      </c>
      <c r="F52" s="33">
        <f t="shared" si="26"/>
        <v>-681500</v>
      </c>
      <c r="G52" s="33">
        <f t="shared" si="26"/>
        <v>5659077</v>
      </c>
      <c r="H52" s="33">
        <f t="shared" si="26"/>
        <v>0</v>
      </c>
      <c r="I52" s="33">
        <f t="shared" si="26"/>
        <v>5659077</v>
      </c>
      <c r="J52" s="33">
        <f t="shared" si="26"/>
        <v>0</v>
      </c>
      <c r="K52" s="33">
        <f t="shared" si="26"/>
        <v>5659077</v>
      </c>
      <c r="L52" s="33">
        <f aca="true" t="shared" si="27" ref="L52:Q52">SUM(L53,L71,L82,L107,L120,)</f>
        <v>14000</v>
      </c>
      <c r="M52" s="33">
        <f t="shared" si="27"/>
        <v>5673077</v>
      </c>
      <c r="N52" s="33">
        <f t="shared" si="27"/>
        <v>0</v>
      </c>
      <c r="O52" s="33">
        <f t="shared" si="27"/>
        <v>5673077</v>
      </c>
      <c r="P52" s="33">
        <f t="shared" si="27"/>
        <v>0</v>
      </c>
      <c r="Q52" s="33">
        <f t="shared" si="27"/>
        <v>5673077</v>
      </c>
    </row>
    <row r="53" spans="1:17" s="22" customFormat="1" ht="21" customHeight="1">
      <c r="A53" s="52"/>
      <c r="B53" s="67">
        <v>75011</v>
      </c>
      <c r="C53" s="71"/>
      <c r="D53" s="34" t="s">
        <v>17</v>
      </c>
      <c r="E53" s="66">
        <f aca="true" t="shared" si="28" ref="E53:K53">SUM(E54:E70)</f>
        <v>382320</v>
      </c>
      <c r="F53" s="66">
        <f t="shared" si="28"/>
        <v>0</v>
      </c>
      <c r="G53" s="66">
        <f t="shared" si="28"/>
        <v>382320</v>
      </c>
      <c r="H53" s="66">
        <f t="shared" si="28"/>
        <v>0</v>
      </c>
      <c r="I53" s="66">
        <f t="shared" si="28"/>
        <v>382320</v>
      </c>
      <c r="J53" s="66">
        <f t="shared" si="28"/>
        <v>0</v>
      </c>
      <c r="K53" s="66">
        <f t="shared" si="28"/>
        <v>382320</v>
      </c>
      <c r="L53" s="66">
        <f aca="true" t="shared" si="29" ref="L53:Q53">SUM(L54:L70)</f>
        <v>0</v>
      </c>
      <c r="M53" s="66">
        <f t="shared" si="29"/>
        <v>382320</v>
      </c>
      <c r="N53" s="66">
        <f t="shared" si="29"/>
        <v>0</v>
      </c>
      <c r="O53" s="66">
        <f t="shared" si="29"/>
        <v>382320</v>
      </c>
      <c r="P53" s="66">
        <f t="shared" si="29"/>
        <v>0</v>
      </c>
      <c r="Q53" s="66">
        <f t="shared" si="29"/>
        <v>382320</v>
      </c>
    </row>
    <row r="54" spans="1:17" s="22" customFormat="1" ht="21" customHeight="1">
      <c r="A54" s="52"/>
      <c r="B54" s="67"/>
      <c r="C54" s="71">
        <v>3020</v>
      </c>
      <c r="D54" s="34" t="s">
        <v>196</v>
      </c>
      <c r="E54" s="66">
        <v>1760</v>
      </c>
      <c r="F54" s="66"/>
      <c r="G54" s="66">
        <f>SUM(E54:F54)</f>
        <v>1760</v>
      </c>
      <c r="H54" s="66"/>
      <c r="I54" s="66">
        <f>SUM(G54:H54)</f>
        <v>1760</v>
      </c>
      <c r="J54" s="66"/>
      <c r="K54" s="66">
        <f>SUM(I54:J54)</f>
        <v>1760</v>
      </c>
      <c r="L54" s="66"/>
      <c r="M54" s="66">
        <f>SUM(K54:L54)</f>
        <v>1760</v>
      </c>
      <c r="N54" s="66"/>
      <c r="O54" s="66">
        <f>SUM(M54:N54)</f>
        <v>1760</v>
      </c>
      <c r="P54" s="66"/>
      <c r="Q54" s="66">
        <f>SUM(O54:P54)</f>
        <v>1760</v>
      </c>
    </row>
    <row r="55" spans="1:19" s="22" customFormat="1" ht="21" customHeight="1">
      <c r="A55" s="52"/>
      <c r="B55" s="72"/>
      <c r="C55" s="52">
        <v>4010</v>
      </c>
      <c r="D55" s="34" t="s">
        <v>86</v>
      </c>
      <c r="E55" s="66">
        <f>112525+155895</f>
        <v>268420</v>
      </c>
      <c r="F55" s="66"/>
      <c r="G55" s="66">
        <f aca="true" t="shared" si="30" ref="G55:G70">SUM(E55:F55)</f>
        <v>268420</v>
      </c>
      <c r="H55" s="66"/>
      <c r="I55" s="66">
        <f aca="true" t="shared" si="31" ref="I55:I70">SUM(G55:H55)</f>
        <v>268420</v>
      </c>
      <c r="J55" s="66"/>
      <c r="K55" s="66">
        <f aca="true" t="shared" si="32" ref="K55:K70">SUM(I55:J55)</f>
        <v>268420</v>
      </c>
      <c r="L55" s="66"/>
      <c r="M55" s="66">
        <f aca="true" t="shared" si="33" ref="M55:M66">SUM(K55:L55)</f>
        <v>268420</v>
      </c>
      <c r="N55" s="66"/>
      <c r="O55" s="66">
        <f aca="true" t="shared" si="34" ref="O55:O66">SUM(M55:N55)</f>
        <v>268420</v>
      </c>
      <c r="P55" s="66"/>
      <c r="Q55" s="66">
        <f aca="true" t="shared" si="35" ref="Q55:Q66">SUM(O55:P55)</f>
        <v>268420</v>
      </c>
      <c r="R55" s="97"/>
      <c r="S55" s="97"/>
    </row>
    <row r="56" spans="1:19" s="22" customFormat="1" ht="21" customHeight="1">
      <c r="A56" s="52"/>
      <c r="B56" s="72"/>
      <c r="C56" s="52">
        <v>4040</v>
      </c>
      <c r="D56" s="34" t="s">
        <v>87</v>
      </c>
      <c r="E56" s="66">
        <v>19000</v>
      </c>
      <c r="F56" s="66"/>
      <c r="G56" s="66">
        <f t="shared" si="30"/>
        <v>19000</v>
      </c>
      <c r="H56" s="66"/>
      <c r="I56" s="66">
        <f t="shared" si="31"/>
        <v>19000</v>
      </c>
      <c r="J56" s="66"/>
      <c r="K56" s="66">
        <f t="shared" si="32"/>
        <v>19000</v>
      </c>
      <c r="L56" s="66"/>
      <c r="M56" s="66">
        <f t="shared" si="33"/>
        <v>19000</v>
      </c>
      <c r="N56" s="66"/>
      <c r="O56" s="66">
        <f t="shared" si="34"/>
        <v>19000</v>
      </c>
      <c r="P56" s="66"/>
      <c r="Q56" s="66">
        <f t="shared" si="35"/>
        <v>19000</v>
      </c>
      <c r="R56" s="97"/>
      <c r="S56" s="97"/>
    </row>
    <row r="57" spans="1:19" s="22" customFormat="1" ht="21" customHeight="1">
      <c r="A57" s="52"/>
      <c r="B57" s="72"/>
      <c r="C57" s="52">
        <v>4110</v>
      </c>
      <c r="D57" s="34" t="s">
        <v>88</v>
      </c>
      <c r="E57" s="66">
        <f>13626+29582</f>
        <v>43208</v>
      </c>
      <c r="F57" s="66"/>
      <c r="G57" s="66">
        <f t="shared" si="30"/>
        <v>43208</v>
      </c>
      <c r="H57" s="66"/>
      <c r="I57" s="66">
        <f t="shared" si="31"/>
        <v>43208</v>
      </c>
      <c r="J57" s="66"/>
      <c r="K57" s="66">
        <f t="shared" si="32"/>
        <v>43208</v>
      </c>
      <c r="L57" s="66"/>
      <c r="M57" s="66">
        <f t="shared" si="33"/>
        <v>43208</v>
      </c>
      <c r="N57" s="66"/>
      <c r="O57" s="66">
        <f t="shared" si="34"/>
        <v>43208</v>
      </c>
      <c r="P57" s="66"/>
      <c r="Q57" s="66">
        <f t="shared" si="35"/>
        <v>43208</v>
      </c>
      <c r="R57" s="97"/>
      <c r="S57" s="97"/>
    </row>
    <row r="58" spans="1:19" s="22" customFormat="1" ht="21" customHeight="1">
      <c r="A58" s="52"/>
      <c r="B58" s="72"/>
      <c r="C58" s="52">
        <v>4120</v>
      </c>
      <c r="D58" s="34" t="s">
        <v>89</v>
      </c>
      <c r="E58" s="66">
        <f>2186+4743</f>
        <v>6929</v>
      </c>
      <c r="F58" s="66"/>
      <c r="G58" s="66">
        <f t="shared" si="30"/>
        <v>6929</v>
      </c>
      <c r="H58" s="66"/>
      <c r="I58" s="66">
        <f t="shared" si="31"/>
        <v>6929</v>
      </c>
      <c r="J58" s="66"/>
      <c r="K58" s="66">
        <f t="shared" si="32"/>
        <v>6929</v>
      </c>
      <c r="L58" s="66"/>
      <c r="M58" s="66">
        <f t="shared" si="33"/>
        <v>6929</v>
      </c>
      <c r="N58" s="66"/>
      <c r="O58" s="66">
        <f t="shared" si="34"/>
        <v>6929</v>
      </c>
      <c r="P58" s="66"/>
      <c r="Q58" s="66">
        <f t="shared" si="35"/>
        <v>6929</v>
      </c>
      <c r="R58" s="97"/>
      <c r="S58" s="97"/>
    </row>
    <row r="59" spans="1:17" s="22" customFormat="1" ht="21" customHeight="1">
      <c r="A59" s="52"/>
      <c r="B59" s="72"/>
      <c r="C59" s="52">
        <v>4210</v>
      </c>
      <c r="D59" s="34" t="s">
        <v>94</v>
      </c>
      <c r="E59" s="66">
        <v>13980</v>
      </c>
      <c r="F59" s="66"/>
      <c r="G59" s="66">
        <f t="shared" si="30"/>
        <v>13980</v>
      </c>
      <c r="H59" s="66"/>
      <c r="I59" s="66">
        <f t="shared" si="31"/>
        <v>13980</v>
      </c>
      <c r="J59" s="66">
        <v>-500</v>
      </c>
      <c r="K59" s="66">
        <f t="shared" si="32"/>
        <v>13480</v>
      </c>
      <c r="L59" s="66"/>
      <c r="M59" s="66">
        <f t="shared" si="33"/>
        <v>13480</v>
      </c>
      <c r="N59" s="66"/>
      <c r="O59" s="66">
        <f t="shared" si="34"/>
        <v>13480</v>
      </c>
      <c r="P59" s="66"/>
      <c r="Q59" s="66">
        <f t="shared" si="35"/>
        <v>13480</v>
      </c>
    </row>
    <row r="60" spans="1:17" s="22" customFormat="1" ht="21" customHeight="1">
      <c r="A60" s="52"/>
      <c r="B60" s="72"/>
      <c r="C60" s="52">
        <v>4270</v>
      </c>
      <c r="D60" s="34" t="s">
        <v>80</v>
      </c>
      <c r="E60" s="66">
        <v>2000</v>
      </c>
      <c r="F60" s="66"/>
      <c r="G60" s="66">
        <f t="shared" si="30"/>
        <v>2000</v>
      </c>
      <c r="H60" s="66"/>
      <c r="I60" s="66">
        <f t="shared" si="31"/>
        <v>2000</v>
      </c>
      <c r="J60" s="66"/>
      <c r="K60" s="66">
        <f t="shared" si="32"/>
        <v>2000</v>
      </c>
      <c r="L60" s="66"/>
      <c r="M60" s="66">
        <f t="shared" si="33"/>
        <v>2000</v>
      </c>
      <c r="N60" s="66"/>
      <c r="O60" s="66">
        <f t="shared" si="34"/>
        <v>2000</v>
      </c>
      <c r="P60" s="66"/>
      <c r="Q60" s="66">
        <f t="shared" si="35"/>
        <v>2000</v>
      </c>
    </row>
    <row r="61" spans="1:17" s="22" customFormat="1" ht="21" customHeight="1">
      <c r="A61" s="52"/>
      <c r="B61" s="72"/>
      <c r="C61" s="52">
        <v>4280</v>
      </c>
      <c r="D61" s="34" t="s">
        <v>223</v>
      </c>
      <c r="E61" s="66">
        <v>960</v>
      </c>
      <c r="F61" s="66"/>
      <c r="G61" s="66">
        <f t="shared" si="30"/>
        <v>960</v>
      </c>
      <c r="H61" s="66"/>
      <c r="I61" s="66">
        <f t="shared" si="31"/>
        <v>960</v>
      </c>
      <c r="J61" s="66"/>
      <c r="K61" s="66">
        <f t="shared" si="32"/>
        <v>960</v>
      </c>
      <c r="L61" s="66"/>
      <c r="M61" s="66">
        <f t="shared" si="33"/>
        <v>960</v>
      </c>
      <c r="N61" s="66"/>
      <c r="O61" s="66">
        <f t="shared" si="34"/>
        <v>960</v>
      </c>
      <c r="P61" s="66"/>
      <c r="Q61" s="66">
        <f t="shared" si="35"/>
        <v>960</v>
      </c>
    </row>
    <row r="62" spans="1:17" s="22" customFormat="1" ht="21" customHeight="1">
      <c r="A62" s="52"/>
      <c r="B62" s="72"/>
      <c r="C62" s="52">
        <v>4300</v>
      </c>
      <c r="D62" s="34" t="s">
        <v>81</v>
      </c>
      <c r="E62" s="66">
        <v>5000</v>
      </c>
      <c r="F62" s="66"/>
      <c r="G62" s="66">
        <f t="shared" si="30"/>
        <v>5000</v>
      </c>
      <c r="H62" s="66"/>
      <c r="I62" s="66">
        <f t="shared" si="31"/>
        <v>5000</v>
      </c>
      <c r="J62" s="66"/>
      <c r="K62" s="66">
        <f t="shared" si="32"/>
        <v>5000</v>
      </c>
      <c r="L62" s="66"/>
      <c r="M62" s="66">
        <f t="shared" si="33"/>
        <v>5000</v>
      </c>
      <c r="N62" s="66"/>
      <c r="O62" s="66">
        <f t="shared" si="34"/>
        <v>5000</v>
      </c>
      <c r="P62" s="66"/>
      <c r="Q62" s="66">
        <f t="shared" si="35"/>
        <v>5000</v>
      </c>
    </row>
    <row r="63" spans="1:17" s="22" customFormat="1" ht="24">
      <c r="A63" s="52"/>
      <c r="B63" s="72"/>
      <c r="C63" s="52">
        <v>4370</v>
      </c>
      <c r="D63" s="34" t="s">
        <v>231</v>
      </c>
      <c r="E63" s="66">
        <v>2000</v>
      </c>
      <c r="F63" s="66"/>
      <c r="G63" s="66">
        <f t="shared" si="30"/>
        <v>2000</v>
      </c>
      <c r="H63" s="66"/>
      <c r="I63" s="66">
        <f t="shared" si="31"/>
        <v>2000</v>
      </c>
      <c r="J63" s="66"/>
      <c r="K63" s="66">
        <f t="shared" si="32"/>
        <v>2000</v>
      </c>
      <c r="L63" s="66"/>
      <c r="M63" s="66">
        <f t="shared" si="33"/>
        <v>2000</v>
      </c>
      <c r="N63" s="66"/>
      <c r="O63" s="66">
        <f t="shared" si="34"/>
        <v>2000</v>
      </c>
      <c r="P63" s="66"/>
      <c r="Q63" s="66">
        <f t="shared" si="35"/>
        <v>2000</v>
      </c>
    </row>
    <row r="64" spans="1:17" s="22" customFormat="1" ht="21" customHeight="1">
      <c r="A64" s="52"/>
      <c r="B64" s="72"/>
      <c r="C64" s="52">
        <v>4410</v>
      </c>
      <c r="D64" s="34" t="s">
        <v>92</v>
      </c>
      <c r="E64" s="66">
        <v>1000</v>
      </c>
      <c r="F64" s="66"/>
      <c r="G64" s="66">
        <f t="shared" si="30"/>
        <v>1000</v>
      </c>
      <c r="H64" s="66"/>
      <c r="I64" s="66">
        <f t="shared" si="31"/>
        <v>1000</v>
      </c>
      <c r="J64" s="66"/>
      <c r="K64" s="66">
        <f t="shared" si="32"/>
        <v>1000</v>
      </c>
      <c r="L64" s="66"/>
      <c r="M64" s="66">
        <f t="shared" si="33"/>
        <v>1000</v>
      </c>
      <c r="N64" s="66"/>
      <c r="O64" s="66">
        <f t="shared" si="34"/>
        <v>1000</v>
      </c>
      <c r="P64" s="66"/>
      <c r="Q64" s="66">
        <f t="shared" si="35"/>
        <v>1000</v>
      </c>
    </row>
    <row r="65" spans="1:17" s="22" customFormat="1" ht="21" customHeight="1">
      <c r="A65" s="52"/>
      <c r="B65" s="72"/>
      <c r="C65" s="52">
        <v>4430</v>
      </c>
      <c r="D65" s="34" t="s">
        <v>96</v>
      </c>
      <c r="E65" s="66">
        <v>3500</v>
      </c>
      <c r="F65" s="66"/>
      <c r="G65" s="66">
        <f t="shared" si="30"/>
        <v>3500</v>
      </c>
      <c r="H65" s="66"/>
      <c r="I65" s="66">
        <f t="shared" si="31"/>
        <v>3500</v>
      </c>
      <c r="J65" s="66"/>
      <c r="K65" s="66">
        <f t="shared" si="32"/>
        <v>3500</v>
      </c>
      <c r="L65" s="66"/>
      <c r="M65" s="66">
        <f t="shared" si="33"/>
        <v>3500</v>
      </c>
      <c r="N65" s="66"/>
      <c r="O65" s="66">
        <f t="shared" si="34"/>
        <v>3500</v>
      </c>
      <c r="P65" s="66"/>
      <c r="Q65" s="66">
        <f t="shared" si="35"/>
        <v>3500</v>
      </c>
    </row>
    <row r="66" spans="1:17" s="22" customFormat="1" ht="24">
      <c r="A66" s="52"/>
      <c r="B66" s="72"/>
      <c r="C66" s="55">
        <v>4440</v>
      </c>
      <c r="D66" s="34" t="s">
        <v>90</v>
      </c>
      <c r="E66" s="66">
        <v>9263</v>
      </c>
      <c r="F66" s="66"/>
      <c r="G66" s="66">
        <f t="shared" si="30"/>
        <v>9263</v>
      </c>
      <c r="H66" s="66"/>
      <c r="I66" s="66">
        <f t="shared" si="31"/>
        <v>9263</v>
      </c>
      <c r="J66" s="66"/>
      <c r="K66" s="66">
        <f t="shared" si="32"/>
        <v>9263</v>
      </c>
      <c r="L66" s="66"/>
      <c r="M66" s="66">
        <f t="shared" si="33"/>
        <v>9263</v>
      </c>
      <c r="N66" s="66"/>
      <c r="O66" s="66">
        <f t="shared" si="34"/>
        <v>9263</v>
      </c>
      <c r="P66" s="66"/>
      <c r="Q66" s="66">
        <f t="shared" si="35"/>
        <v>9263</v>
      </c>
    </row>
    <row r="67" spans="1:17" s="22" customFormat="1" ht="21" customHeight="1">
      <c r="A67" s="52"/>
      <c r="B67" s="72"/>
      <c r="C67" s="55">
        <v>4580</v>
      </c>
      <c r="D67" s="34" t="s">
        <v>11</v>
      </c>
      <c r="E67" s="66"/>
      <c r="F67" s="66"/>
      <c r="G67" s="66"/>
      <c r="H67" s="66"/>
      <c r="I67" s="66">
        <v>0</v>
      </c>
      <c r="J67" s="66">
        <v>500</v>
      </c>
      <c r="K67" s="66">
        <f>SUM(I67:J67)</f>
        <v>500</v>
      </c>
      <c r="L67" s="66"/>
      <c r="M67" s="66">
        <f>SUM(K67:L67)</f>
        <v>500</v>
      </c>
      <c r="N67" s="66"/>
      <c r="O67" s="66">
        <f>SUM(M67:N67)</f>
        <v>500</v>
      </c>
      <c r="P67" s="66"/>
      <c r="Q67" s="66">
        <f>SUM(O67:P67)</f>
        <v>500</v>
      </c>
    </row>
    <row r="68" spans="1:17" s="22" customFormat="1" ht="24">
      <c r="A68" s="52"/>
      <c r="B68" s="72"/>
      <c r="C68" s="55">
        <v>4700</v>
      </c>
      <c r="D68" s="34" t="s">
        <v>246</v>
      </c>
      <c r="E68" s="66">
        <v>3300</v>
      </c>
      <c r="F68" s="66"/>
      <c r="G68" s="66">
        <f t="shared" si="30"/>
        <v>3300</v>
      </c>
      <c r="H68" s="66"/>
      <c r="I68" s="66">
        <f t="shared" si="31"/>
        <v>3300</v>
      </c>
      <c r="J68" s="66"/>
      <c r="K68" s="66">
        <f t="shared" si="32"/>
        <v>3300</v>
      </c>
      <c r="L68" s="66"/>
      <c r="M68" s="66">
        <f>SUM(K68:L68)</f>
        <v>3300</v>
      </c>
      <c r="N68" s="66"/>
      <c r="O68" s="66">
        <f>SUM(M68:N68)</f>
        <v>3300</v>
      </c>
      <c r="P68" s="66"/>
      <c r="Q68" s="66">
        <f>SUM(O68:P68)</f>
        <v>3300</v>
      </c>
    </row>
    <row r="69" spans="1:17" s="22" customFormat="1" ht="24">
      <c r="A69" s="52"/>
      <c r="B69" s="72"/>
      <c r="C69" s="55">
        <v>4740</v>
      </c>
      <c r="D69" s="34" t="s">
        <v>232</v>
      </c>
      <c r="E69" s="66">
        <v>1000</v>
      </c>
      <c r="F69" s="66"/>
      <c r="G69" s="66">
        <f t="shared" si="30"/>
        <v>1000</v>
      </c>
      <c r="H69" s="66"/>
      <c r="I69" s="66">
        <f t="shared" si="31"/>
        <v>1000</v>
      </c>
      <c r="J69" s="66"/>
      <c r="K69" s="66">
        <f t="shared" si="32"/>
        <v>1000</v>
      </c>
      <c r="L69" s="66"/>
      <c r="M69" s="66">
        <f>SUM(K69:L69)</f>
        <v>1000</v>
      </c>
      <c r="N69" s="66"/>
      <c r="O69" s="66">
        <f>SUM(M69:N69)</f>
        <v>1000</v>
      </c>
      <c r="P69" s="66"/>
      <c r="Q69" s="66">
        <f>SUM(O69:P69)</f>
        <v>1000</v>
      </c>
    </row>
    <row r="70" spans="1:17" s="22" customFormat="1" ht="21" customHeight="1">
      <c r="A70" s="52"/>
      <c r="B70" s="72"/>
      <c r="C70" s="55">
        <v>4750</v>
      </c>
      <c r="D70" s="34" t="s">
        <v>233</v>
      </c>
      <c r="E70" s="66">
        <v>1000</v>
      </c>
      <c r="F70" s="66"/>
      <c r="G70" s="66">
        <f t="shared" si="30"/>
        <v>1000</v>
      </c>
      <c r="H70" s="66"/>
      <c r="I70" s="66">
        <f t="shared" si="31"/>
        <v>1000</v>
      </c>
      <c r="J70" s="66"/>
      <c r="K70" s="66">
        <f t="shared" si="32"/>
        <v>1000</v>
      </c>
      <c r="L70" s="66"/>
      <c r="M70" s="66">
        <f>SUM(K70:L70)</f>
        <v>1000</v>
      </c>
      <c r="N70" s="66"/>
      <c r="O70" s="66">
        <f>SUM(M70:N70)</f>
        <v>1000</v>
      </c>
      <c r="P70" s="66"/>
      <c r="Q70" s="66">
        <f>SUM(O70:P70)</f>
        <v>1000</v>
      </c>
    </row>
    <row r="71" spans="1:17" s="22" customFormat="1" ht="21" customHeight="1">
      <c r="A71" s="71"/>
      <c r="B71" s="67" t="s">
        <v>93</v>
      </c>
      <c r="C71" s="71"/>
      <c r="D71" s="34" t="s">
        <v>151</v>
      </c>
      <c r="E71" s="66">
        <f aca="true" t="shared" si="36" ref="E71:K71">SUM(E72:E81)</f>
        <v>312700</v>
      </c>
      <c r="F71" s="66">
        <f t="shared" si="36"/>
        <v>0</v>
      </c>
      <c r="G71" s="66">
        <f t="shared" si="36"/>
        <v>312700</v>
      </c>
      <c r="H71" s="66">
        <f t="shared" si="36"/>
        <v>0</v>
      </c>
      <c r="I71" s="66">
        <f t="shared" si="36"/>
        <v>312700</v>
      </c>
      <c r="J71" s="66">
        <f t="shared" si="36"/>
        <v>0</v>
      </c>
      <c r="K71" s="66">
        <f t="shared" si="36"/>
        <v>312700</v>
      </c>
      <c r="L71" s="66">
        <f aca="true" t="shared" si="37" ref="L71:Q71">SUM(L72:L81)</f>
        <v>14000</v>
      </c>
      <c r="M71" s="66">
        <f t="shared" si="37"/>
        <v>326700</v>
      </c>
      <c r="N71" s="66">
        <f t="shared" si="37"/>
        <v>-6000</v>
      </c>
      <c r="O71" s="66">
        <f t="shared" si="37"/>
        <v>320700</v>
      </c>
      <c r="P71" s="66">
        <f t="shared" si="37"/>
        <v>0</v>
      </c>
      <c r="Q71" s="66">
        <f t="shared" si="37"/>
        <v>320700</v>
      </c>
    </row>
    <row r="72" spans="1:17" s="22" customFormat="1" ht="21" customHeight="1">
      <c r="A72" s="71"/>
      <c r="B72" s="67"/>
      <c r="C72" s="52">
        <v>3030</v>
      </c>
      <c r="D72" s="34" t="s">
        <v>91</v>
      </c>
      <c r="E72" s="66">
        <v>261600</v>
      </c>
      <c r="F72" s="66"/>
      <c r="G72" s="66">
        <f>SUM(E72:F72)</f>
        <v>261600</v>
      </c>
      <c r="H72" s="66"/>
      <c r="I72" s="66">
        <f>SUM(G72:H72)</f>
        <v>261600</v>
      </c>
      <c r="J72" s="66"/>
      <c r="K72" s="66">
        <f>SUM(I72:J72)</f>
        <v>261600</v>
      </c>
      <c r="L72" s="66"/>
      <c r="M72" s="66">
        <f>SUM(K72:L72)</f>
        <v>261600</v>
      </c>
      <c r="N72" s="66">
        <v>-6000</v>
      </c>
      <c r="O72" s="66">
        <f>SUM(M72:N72)</f>
        <v>255600</v>
      </c>
      <c r="P72" s="66"/>
      <c r="Q72" s="66">
        <f>SUM(O72:P72)</f>
        <v>255600</v>
      </c>
    </row>
    <row r="73" spans="1:19" s="22" customFormat="1" ht="21" customHeight="1">
      <c r="A73" s="71"/>
      <c r="B73" s="67"/>
      <c r="C73" s="52">
        <v>4170</v>
      </c>
      <c r="D73" s="34" t="s">
        <v>198</v>
      </c>
      <c r="E73" s="66">
        <v>2000</v>
      </c>
      <c r="F73" s="66"/>
      <c r="G73" s="66">
        <f aca="true" t="shared" si="38" ref="G73:G81">SUM(E73:F73)</f>
        <v>2000</v>
      </c>
      <c r="H73" s="66"/>
      <c r="I73" s="66">
        <f aca="true" t="shared" si="39" ref="I73:I81">SUM(G73:H73)</f>
        <v>2000</v>
      </c>
      <c r="J73" s="66"/>
      <c r="K73" s="66">
        <f aca="true" t="shared" si="40" ref="K73:K81">SUM(I73:J73)</f>
        <v>2000</v>
      </c>
      <c r="L73" s="66"/>
      <c r="M73" s="66">
        <f aca="true" t="shared" si="41" ref="M73:M81">SUM(K73:L73)</f>
        <v>2000</v>
      </c>
      <c r="N73" s="66"/>
      <c r="O73" s="66">
        <f aca="true" t="shared" si="42" ref="O73:O81">SUM(M73:N73)</f>
        <v>2000</v>
      </c>
      <c r="P73" s="66"/>
      <c r="Q73" s="66">
        <f aca="true" t="shared" si="43" ref="Q73:Q81">SUM(O73:P73)</f>
        <v>2000</v>
      </c>
      <c r="R73" s="97"/>
      <c r="S73" s="97"/>
    </row>
    <row r="74" spans="1:17" s="22" customFormat="1" ht="21" customHeight="1">
      <c r="A74" s="71"/>
      <c r="B74" s="67"/>
      <c r="C74" s="52">
        <v>4210</v>
      </c>
      <c r="D74" s="34" t="s">
        <v>94</v>
      </c>
      <c r="E74" s="66">
        <v>17500</v>
      </c>
      <c r="F74" s="66"/>
      <c r="G74" s="66">
        <f t="shared" si="38"/>
        <v>17500</v>
      </c>
      <c r="H74" s="66"/>
      <c r="I74" s="66">
        <f t="shared" si="39"/>
        <v>17500</v>
      </c>
      <c r="J74" s="66"/>
      <c r="K74" s="66">
        <f t="shared" si="40"/>
        <v>17500</v>
      </c>
      <c r="L74" s="66">
        <v>14000</v>
      </c>
      <c r="M74" s="66">
        <f t="shared" si="41"/>
        <v>31500</v>
      </c>
      <c r="N74" s="66"/>
      <c r="O74" s="66">
        <f t="shared" si="42"/>
        <v>31500</v>
      </c>
      <c r="P74" s="66"/>
      <c r="Q74" s="66">
        <f t="shared" si="43"/>
        <v>31500</v>
      </c>
    </row>
    <row r="75" spans="1:17" s="22" customFormat="1" ht="21" customHeight="1">
      <c r="A75" s="71"/>
      <c r="B75" s="67"/>
      <c r="C75" s="52">
        <v>4300</v>
      </c>
      <c r="D75" s="34" t="s">
        <v>81</v>
      </c>
      <c r="E75" s="66">
        <v>22000</v>
      </c>
      <c r="F75" s="66"/>
      <c r="G75" s="66">
        <f t="shared" si="38"/>
        <v>22000</v>
      </c>
      <c r="H75" s="66"/>
      <c r="I75" s="66">
        <f t="shared" si="39"/>
        <v>22000</v>
      </c>
      <c r="J75" s="66"/>
      <c r="K75" s="66">
        <f t="shared" si="40"/>
        <v>22000</v>
      </c>
      <c r="L75" s="66"/>
      <c r="M75" s="66">
        <f t="shared" si="41"/>
        <v>22000</v>
      </c>
      <c r="N75" s="66"/>
      <c r="O75" s="66">
        <f t="shared" si="42"/>
        <v>22000</v>
      </c>
      <c r="P75" s="66"/>
      <c r="Q75" s="66">
        <f t="shared" si="43"/>
        <v>22000</v>
      </c>
    </row>
    <row r="76" spans="1:17" s="22" customFormat="1" ht="24">
      <c r="A76" s="71"/>
      <c r="B76" s="67"/>
      <c r="C76" s="52">
        <v>4370</v>
      </c>
      <c r="D76" s="34" t="s">
        <v>231</v>
      </c>
      <c r="E76" s="66">
        <v>100</v>
      </c>
      <c r="F76" s="66"/>
      <c r="G76" s="66">
        <f t="shared" si="38"/>
        <v>100</v>
      </c>
      <c r="H76" s="66"/>
      <c r="I76" s="66">
        <f t="shared" si="39"/>
        <v>100</v>
      </c>
      <c r="J76" s="66"/>
      <c r="K76" s="66">
        <f t="shared" si="40"/>
        <v>100</v>
      </c>
      <c r="L76" s="66"/>
      <c r="M76" s="66">
        <f t="shared" si="41"/>
        <v>100</v>
      </c>
      <c r="N76" s="66"/>
      <c r="O76" s="66">
        <f t="shared" si="42"/>
        <v>100</v>
      </c>
      <c r="P76" s="66"/>
      <c r="Q76" s="66">
        <f t="shared" si="43"/>
        <v>100</v>
      </c>
    </row>
    <row r="77" spans="1:17" s="22" customFormat="1" ht="21" customHeight="1">
      <c r="A77" s="71"/>
      <c r="B77" s="67"/>
      <c r="C77" s="52">
        <v>4410</v>
      </c>
      <c r="D77" s="34" t="s">
        <v>92</v>
      </c>
      <c r="E77" s="66">
        <v>4000</v>
      </c>
      <c r="F77" s="66"/>
      <c r="G77" s="66">
        <f t="shared" si="38"/>
        <v>4000</v>
      </c>
      <c r="H77" s="66"/>
      <c r="I77" s="66">
        <f t="shared" si="39"/>
        <v>4000</v>
      </c>
      <c r="J77" s="66"/>
      <c r="K77" s="66">
        <f t="shared" si="40"/>
        <v>4000</v>
      </c>
      <c r="L77" s="66"/>
      <c r="M77" s="66">
        <f t="shared" si="41"/>
        <v>4000</v>
      </c>
      <c r="N77" s="66"/>
      <c r="O77" s="66">
        <f t="shared" si="42"/>
        <v>4000</v>
      </c>
      <c r="P77" s="66"/>
      <c r="Q77" s="66">
        <f t="shared" si="43"/>
        <v>4000</v>
      </c>
    </row>
    <row r="78" spans="1:17" s="22" customFormat="1" ht="21" customHeight="1">
      <c r="A78" s="71"/>
      <c r="B78" s="67"/>
      <c r="C78" s="52">
        <v>4420</v>
      </c>
      <c r="D78" s="34" t="s">
        <v>95</v>
      </c>
      <c r="E78" s="66">
        <v>2000</v>
      </c>
      <c r="F78" s="66"/>
      <c r="G78" s="66">
        <f t="shared" si="38"/>
        <v>2000</v>
      </c>
      <c r="H78" s="66"/>
      <c r="I78" s="66">
        <f t="shared" si="39"/>
        <v>2000</v>
      </c>
      <c r="J78" s="66"/>
      <c r="K78" s="66">
        <f t="shared" si="40"/>
        <v>2000</v>
      </c>
      <c r="L78" s="66"/>
      <c r="M78" s="66">
        <f t="shared" si="41"/>
        <v>2000</v>
      </c>
      <c r="N78" s="66"/>
      <c r="O78" s="66">
        <f t="shared" si="42"/>
        <v>2000</v>
      </c>
      <c r="P78" s="66"/>
      <c r="Q78" s="66">
        <f t="shared" si="43"/>
        <v>2000</v>
      </c>
    </row>
    <row r="79" spans="1:17" s="22" customFormat="1" ht="21" customHeight="1">
      <c r="A79" s="71"/>
      <c r="B79" s="67"/>
      <c r="C79" s="55">
        <v>4430</v>
      </c>
      <c r="D79" s="34" t="s">
        <v>96</v>
      </c>
      <c r="E79" s="66">
        <v>500</v>
      </c>
      <c r="F79" s="66"/>
      <c r="G79" s="66">
        <f t="shared" si="38"/>
        <v>500</v>
      </c>
      <c r="H79" s="66"/>
      <c r="I79" s="66">
        <f t="shared" si="39"/>
        <v>500</v>
      </c>
      <c r="J79" s="66"/>
      <c r="K79" s="66">
        <f t="shared" si="40"/>
        <v>500</v>
      </c>
      <c r="L79" s="66"/>
      <c r="M79" s="66">
        <f t="shared" si="41"/>
        <v>500</v>
      </c>
      <c r="N79" s="66"/>
      <c r="O79" s="66">
        <f t="shared" si="42"/>
        <v>500</v>
      </c>
      <c r="P79" s="66"/>
      <c r="Q79" s="66">
        <f t="shared" si="43"/>
        <v>500</v>
      </c>
    </row>
    <row r="80" spans="1:17" s="22" customFormat="1" ht="26.25" customHeight="1">
      <c r="A80" s="71"/>
      <c r="B80" s="67"/>
      <c r="C80" s="55">
        <v>4740</v>
      </c>
      <c r="D80" s="34" t="s">
        <v>269</v>
      </c>
      <c r="E80" s="66">
        <v>2000</v>
      </c>
      <c r="F80" s="66"/>
      <c r="G80" s="66">
        <f t="shared" si="38"/>
        <v>2000</v>
      </c>
      <c r="H80" s="66"/>
      <c r="I80" s="66">
        <f t="shared" si="39"/>
        <v>2000</v>
      </c>
      <c r="J80" s="66"/>
      <c r="K80" s="66">
        <f t="shared" si="40"/>
        <v>2000</v>
      </c>
      <c r="L80" s="66"/>
      <c r="M80" s="66">
        <f t="shared" si="41"/>
        <v>2000</v>
      </c>
      <c r="N80" s="66"/>
      <c r="O80" s="66">
        <f t="shared" si="42"/>
        <v>2000</v>
      </c>
      <c r="P80" s="66"/>
      <c r="Q80" s="66">
        <f t="shared" si="43"/>
        <v>2000</v>
      </c>
    </row>
    <row r="81" spans="1:17" s="22" customFormat="1" ht="21" customHeight="1">
      <c r="A81" s="71"/>
      <c r="B81" s="67"/>
      <c r="C81" s="55">
        <v>4750</v>
      </c>
      <c r="D81" s="34" t="s">
        <v>233</v>
      </c>
      <c r="E81" s="66">
        <v>1000</v>
      </c>
      <c r="F81" s="66"/>
      <c r="G81" s="66">
        <f t="shared" si="38"/>
        <v>1000</v>
      </c>
      <c r="H81" s="66"/>
      <c r="I81" s="66">
        <f t="shared" si="39"/>
        <v>1000</v>
      </c>
      <c r="J81" s="66"/>
      <c r="K81" s="66">
        <f t="shared" si="40"/>
        <v>1000</v>
      </c>
      <c r="L81" s="66"/>
      <c r="M81" s="66">
        <f t="shared" si="41"/>
        <v>1000</v>
      </c>
      <c r="N81" s="66"/>
      <c r="O81" s="66">
        <f t="shared" si="42"/>
        <v>1000</v>
      </c>
      <c r="P81" s="66"/>
      <c r="Q81" s="66">
        <f t="shared" si="43"/>
        <v>1000</v>
      </c>
    </row>
    <row r="82" spans="1:17" s="22" customFormat="1" ht="21" customHeight="1">
      <c r="A82" s="71"/>
      <c r="B82" s="67" t="s">
        <v>18</v>
      </c>
      <c r="C82" s="71"/>
      <c r="D82" s="34" t="s">
        <v>19</v>
      </c>
      <c r="E82" s="66">
        <f aca="true" t="shared" si="44" ref="E82:K82">SUM(E83:E106)</f>
        <v>5019517</v>
      </c>
      <c r="F82" s="66">
        <f t="shared" si="44"/>
        <v>-380000</v>
      </c>
      <c r="G82" s="66">
        <f t="shared" si="44"/>
        <v>4639517</v>
      </c>
      <c r="H82" s="66">
        <f t="shared" si="44"/>
        <v>0</v>
      </c>
      <c r="I82" s="66">
        <f t="shared" si="44"/>
        <v>4639517</v>
      </c>
      <c r="J82" s="66">
        <f t="shared" si="44"/>
        <v>0</v>
      </c>
      <c r="K82" s="66">
        <f t="shared" si="44"/>
        <v>4639517</v>
      </c>
      <c r="L82" s="66">
        <f aca="true" t="shared" si="45" ref="L82:Q82">SUM(L83:L106)</f>
        <v>0</v>
      </c>
      <c r="M82" s="66">
        <f t="shared" si="45"/>
        <v>4639517</v>
      </c>
      <c r="N82" s="66">
        <f t="shared" si="45"/>
        <v>-1000</v>
      </c>
      <c r="O82" s="66">
        <f t="shared" si="45"/>
        <v>4638517</v>
      </c>
      <c r="P82" s="66">
        <f t="shared" si="45"/>
        <v>0</v>
      </c>
      <c r="Q82" s="66">
        <f t="shared" si="45"/>
        <v>4638517</v>
      </c>
    </row>
    <row r="83" spans="1:17" s="22" customFormat="1" ht="21" customHeight="1">
      <c r="A83" s="71"/>
      <c r="B83" s="67"/>
      <c r="C83" s="52">
        <v>3020</v>
      </c>
      <c r="D83" s="34" t="s">
        <v>196</v>
      </c>
      <c r="E83" s="66">
        <v>24500</v>
      </c>
      <c r="F83" s="66"/>
      <c r="G83" s="66">
        <f>SUM(E83:F83)</f>
        <v>24500</v>
      </c>
      <c r="H83" s="66"/>
      <c r="I83" s="66">
        <f>SUM(G83:H83)</f>
        <v>24500</v>
      </c>
      <c r="J83" s="66"/>
      <c r="K83" s="66">
        <f>SUM(I83:J83)</f>
        <v>24500</v>
      </c>
      <c r="L83" s="66"/>
      <c r="M83" s="66">
        <f>SUM(K83:L83)</f>
        <v>24500</v>
      </c>
      <c r="N83" s="66"/>
      <c r="O83" s="66">
        <f>SUM(M83:N83)</f>
        <v>24500</v>
      </c>
      <c r="P83" s="66"/>
      <c r="Q83" s="66">
        <f>SUM(O83:P83)</f>
        <v>24500</v>
      </c>
    </row>
    <row r="84" spans="1:19" s="22" customFormat="1" ht="21" customHeight="1">
      <c r="A84" s="71"/>
      <c r="B84" s="67"/>
      <c r="C84" s="52">
        <v>4010</v>
      </c>
      <c r="D84" s="34" t="s">
        <v>86</v>
      </c>
      <c r="E84" s="66">
        <f>3084359-100000</f>
        <v>2984359</v>
      </c>
      <c r="F84" s="124">
        <v>-165000</v>
      </c>
      <c r="G84" s="66">
        <f aca="true" t="shared" si="46" ref="G84:G106">SUM(E84:F84)</f>
        <v>2819359</v>
      </c>
      <c r="H84" s="124"/>
      <c r="I84" s="66">
        <f aca="true" t="shared" si="47" ref="I84:I106">SUM(G84:H84)</f>
        <v>2819359</v>
      </c>
      <c r="J84" s="124"/>
      <c r="K84" s="66">
        <f aca="true" t="shared" si="48" ref="K84:K106">SUM(I84:J84)</f>
        <v>2819359</v>
      </c>
      <c r="L84" s="124"/>
      <c r="M84" s="66">
        <f aca="true" t="shared" si="49" ref="M84:M106">SUM(K84:L84)</f>
        <v>2819359</v>
      </c>
      <c r="N84" s="124"/>
      <c r="O84" s="66">
        <f aca="true" t="shared" si="50" ref="O84:O106">SUM(M84:N84)</f>
        <v>2819359</v>
      </c>
      <c r="P84" s="124"/>
      <c r="Q84" s="66">
        <f aca="true" t="shared" si="51" ref="Q84:Q106">SUM(O84:P84)</f>
        <v>2819359</v>
      </c>
      <c r="R84" s="97"/>
      <c r="S84" s="97"/>
    </row>
    <row r="85" spans="1:19" s="22" customFormat="1" ht="21" customHeight="1">
      <c r="A85" s="71"/>
      <c r="B85" s="67"/>
      <c r="C85" s="52">
        <v>4040</v>
      </c>
      <c r="D85" s="34" t="s">
        <v>87</v>
      </c>
      <c r="E85" s="66">
        <v>182000</v>
      </c>
      <c r="F85" s="66"/>
      <c r="G85" s="66">
        <f t="shared" si="46"/>
        <v>182000</v>
      </c>
      <c r="H85" s="66"/>
      <c r="I85" s="66">
        <f t="shared" si="47"/>
        <v>182000</v>
      </c>
      <c r="J85" s="66"/>
      <c r="K85" s="66">
        <f t="shared" si="48"/>
        <v>182000</v>
      </c>
      <c r="L85" s="66"/>
      <c r="M85" s="66">
        <f t="shared" si="49"/>
        <v>182000</v>
      </c>
      <c r="N85" s="66"/>
      <c r="O85" s="66">
        <f t="shared" si="50"/>
        <v>182000</v>
      </c>
      <c r="P85" s="66"/>
      <c r="Q85" s="66">
        <f t="shared" si="51"/>
        <v>182000</v>
      </c>
      <c r="R85" s="97"/>
      <c r="S85" s="97"/>
    </row>
    <row r="86" spans="1:19" s="22" customFormat="1" ht="21" customHeight="1">
      <c r="A86" s="71"/>
      <c r="B86" s="67"/>
      <c r="C86" s="52">
        <v>4110</v>
      </c>
      <c r="D86" s="34" t="s">
        <v>88</v>
      </c>
      <c r="E86" s="66">
        <f>511390-15000</f>
        <v>496390</v>
      </c>
      <c r="F86" s="66">
        <v>-30000</v>
      </c>
      <c r="G86" s="66">
        <f t="shared" si="46"/>
        <v>466390</v>
      </c>
      <c r="H86" s="66"/>
      <c r="I86" s="66">
        <f t="shared" si="47"/>
        <v>466390</v>
      </c>
      <c r="J86" s="66"/>
      <c r="K86" s="66">
        <f t="shared" si="48"/>
        <v>466390</v>
      </c>
      <c r="L86" s="66"/>
      <c r="M86" s="66">
        <f t="shared" si="49"/>
        <v>466390</v>
      </c>
      <c r="N86" s="66"/>
      <c r="O86" s="66">
        <f t="shared" si="50"/>
        <v>466390</v>
      </c>
      <c r="P86" s="66"/>
      <c r="Q86" s="66">
        <f t="shared" si="51"/>
        <v>466390</v>
      </c>
      <c r="R86" s="97"/>
      <c r="S86" s="97"/>
    </row>
    <row r="87" spans="1:19" s="22" customFormat="1" ht="21" customHeight="1">
      <c r="A87" s="71"/>
      <c r="B87" s="67"/>
      <c r="C87" s="52">
        <v>4120</v>
      </c>
      <c r="D87" s="34" t="s">
        <v>89</v>
      </c>
      <c r="E87" s="66">
        <v>91712</v>
      </c>
      <c r="F87" s="66">
        <v>-5000</v>
      </c>
      <c r="G87" s="66">
        <f t="shared" si="46"/>
        <v>86712</v>
      </c>
      <c r="H87" s="66"/>
      <c r="I87" s="66">
        <f t="shared" si="47"/>
        <v>86712</v>
      </c>
      <c r="J87" s="66"/>
      <c r="K87" s="66">
        <f t="shared" si="48"/>
        <v>86712</v>
      </c>
      <c r="L87" s="66"/>
      <c r="M87" s="66">
        <f t="shared" si="49"/>
        <v>86712</v>
      </c>
      <c r="N87" s="66"/>
      <c r="O87" s="66">
        <f t="shared" si="50"/>
        <v>86712</v>
      </c>
      <c r="P87" s="66"/>
      <c r="Q87" s="66">
        <f t="shared" si="51"/>
        <v>86712</v>
      </c>
      <c r="R87" s="97"/>
      <c r="S87" s="97"/>
    </row>
    <row r="88" spans="1:19" s="22" customFormat="1" ht="21" customHeight="1">
      <c r="A88" s="71"/>
      <c r="B88" s="67"/>
      <c r="C88" s="52">
        <v>4170</v>
      </c>
      <c r="D88" s="34" t="s">
        <v>198</v>
      </c>
      <c r="E88" s="66">
        <v>23728</v>
      </c>
      <c r="F88" s="66"/>
      <c r="G88" s="66">
        <f t="shared" si="46"/>
        <v>23728</v>
      </c>
      <c r="H88" s="66"/>
      <c r="I88" s="66">
        <f t="shared" si="47"/>
        <v>23728</v>
      </c>
      <c r="J88" s="66">
        <v>8000</v>
      </c>
      <c r="K88" s="66">
        <f t="shared" si="48"/>
        <v>31728</v>
      </c>
      <c r="L88" s="66">
        <v>10000</v>
      </c>
      <c r="M88" s="66">
        <f t="shared" si="49"/>
        <v>41728</v>
      </c>
      <c r="N88" s="66"/>
      <c r="O88" s="66">
        <f t="shared" si="50"/>
        <v>41728</v>
      </c>
      <c r="P88" s="66"/>
      <c r="Q88" s="66">
        <f t="shared" si="51"/>
        <v>41728</v>
      </c>
      <c r="R88" s="97"/>
      <c r="S88" s="97"/>
    </row>
    <row r="89" spans="1:17" s="22" customFormat="1" ht="21" customHeight="1">
      <c r="A89" s="71"/>
      <c r="B89" s="67"/>
      <c r="C89" s="52">
        <v>4210</v>
      </c>
      <c r="D89" s="34" t="s">
        <v>94</v>
      </c>
      <c r="E89" s="66">
        <v>216450</v>
      </c>
      <c r="F89" s="124">
        <f>-60000</f>
        <v>-60000</v>
      </c>
      <c r="G89" s="66">
        <f t="shared" si="46"/>
        <v>156450</v>
      </c>
      <c r="H89" s="124"/>
      <c r="I89" s="66">
        <f t="shared" si="47"/>
        <v>156450</v>
      </c>
      <c r="J89" s="124"/>
      <c r="K89" s="66">
        <f t="shared" si="48"/>
        <v>156450</v>
      </c>
      <c r="L89" s="124"/>
      <c r="M89" s="66">
        <f t="shared" si="49"/>
        <v>156450</v>
      </c>
      <c r="N89" s="66">
        <v>3000</v>
      </c>
      <c r="O89" s="66">
        <f t="shared" si="50"/>
        <v>159450</v>
      </c>
      <c r="P89" s="66"/>
      <c r="Q89" s="66">
        <f t="shared" si="51"/>
        <v>159450</v>
      </c>
    </row>
    <row r="90" spans="1:17" s="22" customFormat="1" ht="21" customHeight="1">
      <c r="A90" s="71"/>
      <c r="B90" s="67"/>
      <c r="C90" s="52">
        <v>4260</v>
      </c>
      <c r="D90" s="34" t="s">
        <v>97</v>
      </c>
      <c r="E90" s="66">
        <v>89200</v>
      </c>
      <c r="F90" s="66"/>
      <c r="G90" s="66">
        <f t="shared" si="46"/>
        <v>89200</v>
      </c>
      <c r="H90" s="66"/>
      <c r="I90" s="66">
        <f t="shared" si="47"/>
        <v>89200</v>
      </c>
      <c r="J90" s="66"/>
      <c r="K90" s="66">
        <f t="shared" si="48"/>
        <v>89200</v>
      </c>
      <c r="L90" s="66"/>
      <c r="M90" s="66">
        <f t="shared" si="49"/>
        <v>89200</v>
      </c>
      <c r="N90" s="66"/>
      <c r="O90" s="66">
        <f t="shared" si="50"/>
        <v>89200</v>
      </c>
      <c r="P90" s="66"/>
      <c r="Q90" s="66">
        <f t="shared" si="51"/>
        <v>89200</v>
      </c>
    </row>
    <row r="91" spans="1:17" s="22" customFormat="1" ht="21" customHeight="1">
      <c r="A91" s="71"/>
      <c r="B91" s="67"/>
      <c r="C91" s="52">
        <v>4270</v>
      </c>
      <c r="D91" s="34" t="s">
        <v>80</v>
      </c>
      <c r="E91" s="66">
        <f>10000+100000+20000</f>
        <v>130000</v>
      </c>
      <c r="F91" s="66">
        <v>-80000</v>
      </c>
      <c r="G91" s="66">
        <f t="shared" si="46"/>
        <v>50000</v>
      </c>
      <c r="H91" s="66"/>
      <c r="I91" s="66">
        <f t="shared" si="47"/>
        <v>50000</v>
      </c>
      <c r="J91" s="66">
        <v>0</v>
      </c>
      <c r="K91" s="66">
        <f t="shared" si="48"/>
        <v>50000</v>
      </c>
      <c r="L91" s="66"/>
      <c r="M91" s="66">
        <f t="shared" si="49"/>
        <v>50000</v>
      </c>
      <c r="N91" s="66"/>
      <c r="O91" s="66">
        <f t="shared" si="50"/>
        <v>50000</v>
      </c>
      <c r="P91" s="66"/>
      <c r="Q91" s="66">
        <f t="shared" si="51"/>
        <v>50000</v>
      </c>
    </row>
    <row r="92" spans="1:17" s="22" customFormat="1" ht="21" customHeight="1">
      <c r="A92" s="71"/>
      <c r="B92" s="67"/>
      <c r="C92" s="52">
        <v>4280</v>
      </c>
      <c r="D92" s="34" t="s">
        <v>223</v>
      </c>
      <c r="E92" s="66">
        <v>10000</v>
      </c>
      <c r="F92" s="66"/>
      <c r="G92" s="66">
        <f t="shared" si="46"/>
        <v>10000</v>
      </c>
      <c r="H92" s="66"/>
      <c r="I92" s="66">
        <f t="shared" si="47"/>
        <v>10000</v>
      </c>
      <c r="J92" s="66"/>
      <c r="K92" s="66">
        <f t="shared" si="48"/>
        <v>10000</v>
      </c>
      <c r="L92" s="66"/>
      <c r="M92" s="66">
        <f t="shared" si="49"/>
        <v>10000</v>
      </c>
      <c r="N92" s="66"/>
      <c r="O92" s="66">
        <f t="shared" si="50"/>
        <v>10000</v>
      </c>
      <c r="P92" s="66"/>
      <c r="Q92" s="66">
        <f t="shared" si="51"/>
        <v>10000</v>
      </c>
    </row>
    <row r="93" spans="1:17" s="22" customFormat="1" ht="21" customHeight="1">
      <c r="A93" s="71"/>
      <c r="B93" s="67"/>
      <c r="C93" s="52">
        <v>4300</v>
      </c>
      <c r="D93" s="34" t="s">
        <v>81</v>
      </c>
      <c r="E93" s="66">
        <v>210700</v>
      </c>
      <c r="F93" s="66"/>
      <c r="G93" s="66">
        <f t="shared" si="46"/>
        <v>210700</v>
      </c>
      <c r="H93" s="66"/>
      <c r="I93" s="66">
        <f t="shared" si="47"/>
        <v>210700</v>
      </c>
      <c r="J93" s="66">
        <v>-9000</v>
      </c>
      <c r="K93" s="66">
        <f t="shared" si="48"/>
        <v>201700</v>
      </c>
      <c r="L93" s="66"/>
      <c r="M93" s="66">
        <f t="shared" si="49"/>
        <v>201700</v>
      </c>
      <c r="N93" s="66"/>
      <c r="O93" s="66">
        <f t="shared" si="50"/>
        <v>201700</v>
      </c>
      <c r="P93" s="66"/>
      <c r="Q93" s="66">
        <f t="shared" si="51"/>
        <v>201700</v>
      </c>
    </row>
    <row r="94" spans="1:17" s="22" customFormat="1" ht="21" customHeight="1">
      <c r="A94" s="71"/>
      <c r="B94" s="67"/>
      <c r="C94" s="52">
        <v>4350</v>
      </c>
      <c r="D94" s="34" t="s">
        <v>212</v>
      </c>
      <c r="E94" s="66">
        <v>15000</v>
      </c>
      <c r="F94" s="66"/>
      <c r="G94" s="66">
        <f t="shared" si="46"/>
        <v>15000</v>
      </c>
      <c r="H94" s="66"/>
      <c r="I94" s="66">
        <f t="shared" si="47"/>
        <v>15000</v>
      </c>
      <c r="J94" s="66"/>
      <c r="K94" s="66">
        <f t="shared" si="48"/>
        <v>15000</v>
      </c>
      <c r="L94" s="66"/>
      <c r="M94" s="66">
        <f t="shared" si="49"/>
        <v>15000</v>
      </c>
      <c r="N94" s="66"/>
      <c r="O94" s="66">
        <f t="shared" si="50"/>
        <v>15000</v>
      </c>
      <c r="P94" s="66"/>
      <c r="Q94" s="66">
        <f t="shared" si="51"/>
        <v>15000</v>
      </c>
    </row>
    <row r="95" spans="1:17" s="22" customFormat="1" ht="24">
      <c r="A95" s="71"/>
      <c r="B95" s="67"/>
      <c r="C95" s="52">
        <v>4360</v>
      </c>
      <c r="D95" s="34" t="s">
        <v>234</v>
      </c>
      <c r="E95" s="66">
        <v>23500</v>
      </c>
      <c r="F95" s="66"/>
      <c r="G95" s="66">
        <f t="shared" si="46"/>
        <v>23500</v>
      </c>
      <c r="H95" s="66"/>
      <c r="I95" s="66">
        <f t="shared" si="47"/>
        <v>23500</v>
      </c>
      <c r="J95" s="66"/>
      <c r="K95" s="66">
        <f t="shared" si="48"/>
        <v>23500</v>
      </c>
      <c r="L95" s="66"/>
      <c r="M95" s="66">
        <f t="shared" si="49"/>
        <v>23500</v>
      </c>
      <c r="N95" s="66"/>
      <c r="O95" s="66">
        <f t="shared" si="50"/>
        <v>23500</v>
      </c>
      <c r="P95" s="66"/>
      <c r="Q95" s="66">
        <f t="shared" si="51"/>
        <v>23500</v>
      </c>
    </row>
    <row r="96" spans="1:17" s="22" customFormat="1" ht="24">
      <c r="A96" s="71"/>
      <c r="B96" s="67"/>
      <c r="C96" s="52">
        <v>4370</v>
      </c>
      <c r="D96" s="34" t="s">
        <v>231</v>
      </c>
      <c r="E96" s="66">
        <v>51500</v>
      </c>
      <c r="F96" s="66"/>
      <c r="G96" s="66">
        <f t="shared" si="46"/>
        <v>51500</v>
      </c>
      <c r="H96" s="66"/>
      <c r="I96" s="66">
        <f t="shared" si="47"/>
        <v>51500</v>
      </c>
      <c r="J96" s="66"/>
      <c r="K96" s="66">
        <f t="shared" si="48"/>
        <v>51500</v>
      </c>
      <c r="L96" s="66"/>
      <c r="M96" s="66">
        <f t="shared" si="49"/>
        <v>51500</v>
      </c>
      <c r="N96" s="66"/>
      <c r="O96" s="66">
        <f t="shared" si="50"/>
        <v>51500</v>
      </c>
      <c r="P96" s="66"/>
      <c r="Q96" s="66">
        <f t="shared" si="51"/>
        <v>51500</v>
      </c>
    </row>
    <row r="97" spans="1:17" s="22" customFormat="1" ht="21" customHeight="1">
      <c r="A97" s="71"/>
      <c r="B97" s="67"/>
      <c r="C97" s="52">
        <v>4410</v>
      </c>
      <c r="D97" s="34" t="s">
        <v>92</v>
      </c>
      <c r="E97" s="66">
        <v>53200</v>
      </c>
      <c r="F97" s="66"/>
      <c r="G97" s="66">
        <f t="shared" si="46"/>
        <v>53200</v>
      </c>
      <c r="H97" s="66"/>
      <c r="I97" s="66">
        <f t="shared" si="47"/>
        <v>53200</v>
      </c>
      <c r="J97" s="66"/>
      <c r="K97" s="66">
        <f t="shared" si="48"/>
        <v>53200</v>
      </c>
      <c r="L97" s="66"/>
      <c r="M97" s="66">
        <f t="shared" si="49"/>
        <v>53200</v>
      </c>
      <c r="N97" s="66"/>
      <c r="O97" s="66">
        <f t="shared" si="50"/>
        <v>53200</v>
      </c>
      <c r="P97" s="66"/>
      <c r="Q97" s="66">
        <f t="shared" si="51"/>
        <v>53200</v>
      </c>
    </row>
    <row r="98" spans="1:17" s="22" customFormat="1" ht="21" customHeight="1">
      <c r="A98" s="71"/>
      <c r="B98" s="67"/>
      <c r="C98" s="71">
        <v>4420</v>
      </c>
      <c r="D98" s="34" t="s">
        <v>95</v>
      </c>
      <c r="E98" s="66">
        <v>5000</v>
      </c>
      <c r="F98" s="66"/>
      <c r="G98" s="66">
        <f t="shared" si="46"/>
        <v>5000</v>
      </c>
      <c r="H98" s="66"/>
      <c r="I98" s="66">
        <f t="shared" si="47"/>
        <v>5000</v>
      </c>
      <c r="J98" s="66"/>
      <c r="K98" s="66">
        <f t="shared" si="48"/>
        <v>5000</v>
      </c>
      <c r="L98" s="66"/>
      <c r="M98" s="66">
        <f t="shared" si="49"/>
        <v>5000</v>
      </c>
      <c r="N98" s="66"/>
      <c r="O98" s="66">
        <f t="shared" si="50"/>
        <v>5000</v>
      </c>
      <c r="P98" s="66"/>
      <c r="Q98" s="66">
        <f t="shared" si="51"/>
        <v>5000</v>
      </c>
    </row>
    <row r="99" spans="1:17" s="22" customFormat="1" ht="21" customHeight="1">
      <c r="A99" s="71"/>
      <c r="B99" s="67"/>
      <c r="C99" s="55">
        <v>4430</v>
      </c>
      <c r="D99" s="34" t="s">
        <v>96</v>
      </c>
      <c r="E99" s="66">
        <v>63502</v>
      </c>
      <c r="F99" s="66"/>
      <c r="G99" s="66">
        <f t="shared" si="46"/>
        <v>63502</v>
      </c>
      <c r="H99" s="66"/>
      <c r="I99" s="66">
        <f t="shared" si="47"/>
        <v>63502</v>
      </c>
      <c r="J99" s="66"/>
      <c r="K99" s="66">
        <f t="shared" si="48"/>
        <v>63502</v>
      </c>
      <c r="L99" s="66">
        <v>-10000</v>
      </c>
      <c r="M99" s="66">
        <f t="shared" si="49"/>
        <v>53502</v>
      </c>
      <c r="N99" s="66">
        <v>-4000</v>
      </c>
      <c r="O99" s="66">
        <f t="shared" si="50"/>
        <v>49502</v>
      </c>
      <c r="P99" s="66"/>
      <c r="Q99" s="66">
        <f t="shared" si="51"/>
        <v>49502</v>
      </c>
    </row>
    <row r="100" spans="1:17" s="22" customFormat="1" ht="21" customHeight="1">
      <c r="A100" s="71"/>
      <c r="B100" s="67"/>
      <c r="C100" s="55">
        <v>4440</v>
      </c>
      <c r="D100" s="34" t="s">
        <v>90</v>
      </c>
      <c r="E100" s="66">
        <f>125776-5000</f>
        <v>120776</v>
      </c>
      <c r="F100" s="66"/>
      <c r="G100" s="66">
        <f t="shared" si="46"/>
        <v>120776</v>
      </c>
      <c r="H100" s="66"/>
      <c r="I100" s="66">
        <f t="shared" si="47"/>
        <v>120776</v>
      </c>
      <c r="J100" s="66"/>
      <c r="K100" s="66">
        <f t="shared" si="48"/>
        <v>120776</v>
      </c>
      <c r="L100" s="66"/>
      <c r="M100" s="66">
        <f t="shared" si="49"/>
        <v>120776</v>
      </c>
      <c r="N100" s="66"/>
      <c r="O100" s="66">
        <f t="shared" si="50"/>
        <v>120776</v>
      </c>
      <c r="P100" s="66"/>
      <c r="Q100" s="66">
        <f t="shared" si="51"/>
        <v>120776</v>
      </c>
    </row>
    <row r="101" spans="1:17" s="22" customFormat="1" ht="21" customHeight="1">
      <c r="A101" s="71"/>
      <c r="B101" s="67"/>
      <c r="C101" s="55">
        <v>4510</v>
      </c>
      <c r="D101" s="34" t="s">
        <v>147</v>
      </c>
      <c r="E101" s="66">
        <v>4000</v>
      </c>
      <c r="F101" s="66"/>
      <c r="G101" s="66">
        <f t="shared" si="46"/>
        <v>4000</v>
      </c>
      <c r="H101" s="66"/>
      <c r="I101" s="66">
        <f t="shared" si="47"/>
        <v>4000</v>
      </c>
      <c r="J101" s="66"/>
      <c r="K101" s="66">
        <f t="shared" si="48"/>
        <v>4000</v>
      </c>
      <c r="L101" s="66"/>
      <c r="M101" s="66">
        <f t="shared" si="49"/>
        <v>4000</v>
      </c>
      <c r="N101" s="66"/>
      <c r="O101" s="66">
        <f t="shared" si="50"/>
        <v>4000</v>
      </c>
      <c r="P101" s="66"/>
      <c r="Q101" s="66">
        <f t="shared" si="51"/>
        <v>4000</v>
      </c>
    </row>
    <row r="102" spans="1:17" s="22" customFormat="1" ht="21" customHeight="1">
      <c r="A102" s="71"/>
      <c r="B102" s="67"/>
      <c r="C102" s="55">
        <v>4580</v>
      </c>
      <c r="D102" s="34" t="s">
        <v>11</v>
      </c>
      <c r="E102" s="66"/>
      <c r="F102" s="66"/>
      <c r="G102" s="66"/>
      <c r="H102" s="66"/>
      <c r="I102" s="66">
        <v>0</v>
      </c>
      <c r="J102" s="66">
        <v>1000</v>
      </c>
      <c r="K102" s="66">
        <f t="shared" si="48"/>
        <v>1000</v>
      </c>
      <c r="L102" s="66"/>
      <c r="M102" s="66">
        <f t="shared" si="49"/>
        <v>1000</v>
      </c>
      <c r="N102" s="66"/>
      <c r="O102" s="66">
        <f t="shared" si="50"/>
        <v>1000</v>
      </c>
      <c r="P102" s="66"/>
      <c r="Q102" s="66">
        <f t="shared" si="51"/>
        <v>1000</v>
      </c>
    </row>
    <row r="103" spans="1:17" s="22" customFormat="1" ht="24">
      <c r="A103" s="71"/>
      <c r="B103" s="67"/>
      <c r="C103" s="55">
        <v>4700</v>
      </c>
      <c r="D103" s="34" t="s">
        <v>246</v>
      </c>
      <c r="E103" s="66">
        <v>31000</v>
      </c>
      <c r="F103" s="66"/>
      <c r="G103" s="66">
        <f t="shared" si="46"/>
        <v>31000</v>
      </c>
      <c r="H103" s="66"/>
      <c r="I103" s="66">
        <f t="shared" si="47"/>
        <v>31000</v>
      </c>
      <c r="J103" s="66"/>
      <c r="K103" s="66">
        <f t="shared" si="48"/>
        <v>31000</v>
      </c>
      <c r="L103" s="66"/>
      <c r="M103" s="66">
        <f t="shared" si="49"/>
        <v>31000</v>
      </c>
      <c r="N103" s="66"/>
      <c r="O103" s="66">
        <f t="shared" si="50"/>
        <v>31000</v>
      </c>
      <c r="P103" s="66"/>
      <c r="Q103" s="66">
        <f t="shared" si="51"/>
        <v>31000</v>
      </c>
    </row>
    <row r="104" spans="1:17" s="22" customFormat="1" ht="26.25" customHeight="1">
      <c r="A104" s="71"/>
      <c r="B104" s="67"/>
      <c r="C104" s="55">
        <v>4740</v>
      </c>
      <c r="D104" s="34" t="s">
        <v>232</v>
      </c>
      <c r="E104" s="66">
        <v>20000</v>
      </c>
      <c r="F104" s="66"/>
      <c r="G104" s="66">
        <f t="shared" si="46"/>
        <v>20000</v>
      </c>
      <c r="H104" s="66"/>
      <c r="I104" s="66">
        <f t="shared" si="47"/>
        <v>20000</v>
      </c>
      <c r="J104" s="66"/>
      <c r="K104" s="66">
        <f t="shared" si="48"/>
        <v>20000</v>
      </c>
      <c r="L104" s="66"/>
      <c r="M104" s="66">
        <f t="shared" si="49"/>
        <v>20000</v>
      </c>
      <c r="N104" s="66"/>
      <c r="O104" s="66">
        <f t="shared" si="50"/>
        <v>20000</v>
      </c>
      <c r="P104" s="66"/>
      <c r="Q104" s="66">
        <f t="shared" si="51"/>
        <v>20000</v>
      </c>
    </row>
    <row r="105" spans="1:17" s="22" customFormat="1" ht="24">
      <c r="A105" s="71"/>
      <c r="B105" s="67"/>
      <c r="C105" s="55">
        <v>4750</v>
      </c>
      <c r="D105" s="34" t="s">
        <v>233</v>
      </c>
      <c r="E105" s="66">
        <v>38000</v>
      </c>
      <c r="F105" s="66"/>
      <c r="G105" s="66">
        <f t="shared" si="46"/>
        <v>38000</v>
      </c>
      <c r="H105" s="66"/>
      <c r="I105" s="66">
        <f t="shared" si="47"/>
        <v>38000</v>
      </c>
      <c r="J105" s="66"/>
      <c r="K105" s="66">
        <f t="shared" si="48"/>
        <v>38000</v>
      </c>
      <c r="L105" s="66"/>
      <c r="M105" s="66">
        <f t="shared" si="49"/>
        <v>38000</v>
      </c>
      <c r="N105" s="66"/>
      <c r="O105" s="66">
        <f t="shared" si="50"/>
        <v>38000</v>
      </c>
      <c r="P105" s="66"/>
      <c r="Q105" s="66">
        <f t="shared" si="51"/>
        <v>38000</v>
      </c>
    </row>
    <row r="106" spans="1:17" s="22" customFormat="1" ht="24">
      <c r="A106" s="71"/>
      <c r="B106" s="67"/>
      <c r="C106" s="55">
        <v>6060</v>
      </c>
      <c r="D106" s="34" t="s">
        <v>98</v>
      </c>
      <c r="E106" s="66">
        <v>135000</v>
      </c>
      <c r="F106" s="66">
        <v>-40000</v>
      </c>
      <c r="G106" s="66">
        <f t="shared" si="46"/>
        <v>95000</v>
      </c>
      <c r="H106" s="66"/>
      <c r="I106" s="66">
        <f t="shared" si="47"/>
        <v>95000</v>
      </c>
      <c r="J106" s="66"/>
      <c r="K106" s="66">
        <f t="shared" si="48"/>
        <v>95000</v>
      </c>
      <c r="L106" s="66"/>
      <c r="M106" s="66">
        <f t="shared" si="49"/>
        <v>95000</v>
      </c>
      <c r="N106" s="66"/>
      <c r="O106" s="66">
        <f t="shared" si="50"/>
        <v>95000</v>
      </c>
      <c r="P106" s="66"/>
      <c r="Q106" s="66">
        <f t="shared" si="51"/>
        <v>95000</v>
      </c>
    </row>
    <row r="107" spans="1:17" s="22" customFormat="1" ht="24">
      <c r="A107" s="71"/>
      <c r="B107" s="67">
        <v>75075</v>
      </c>
      <c r="C107" s="71"/>
      <c r="D107" s="34" t="s">
        <v>209</v>
      </c>
      <c r="E107" s="66">
        <f aca="true" t="shared" si="52" ref="E107:K107">SUM(E108:E119)</f>
        <v>501460</v>
      </c>
      <c r="F107" s="66">
        <f t="shared" si="52"/>
        <v>-301500</v>
      </c>
      <c r="G107" s="66">
        <f t="shared" si="52"/>
        <v>199960</v>
      </c>
      <c r="H107" s="66">
        <f t="shared" si="52"/>
        <v>0</v>
      </c>
      <c r="I107" s="66">
        <f t="shared" si="52"/>
        <v>199960</v>
      </c>
      <c r="J107" s="66">
        <f t="shared" si="52"/>
        <v>0</v>
      </c>
      <c r="K107" s="66">
        <f t="shared" si="52"/>
        <v>199960</v>
      </c>
      <c r="L107" s="66">
        <f aca="true" t="shared" si="53" ref="L107:Q107">SUM(L108:L119)</f>
        <v>0</v>
      </c>
      <c r="M107" s="66">
        <f t="shared" si="53"/>
        <v>199960</v>
      </c>
      <c r="N107" s="66">
        <f t="shared" si="53"/>
        <v>7000</v>
      </c>
      <c r="O107" s="66">
        <f t="shared" si="53"/>
        <v>206960</v>
      </c>
      <c r="P107" s="66">
        <f t="shared" si="53"/>
        <v>0</v>
      </c>
      <c r="Q107" s="66">
        <f t="shared" si="53"/>
        <v>206960</v>
      </c>
    </row>
    <row r="108" spans="1:17" s="22" customFormat="1" ht="24">
      <c r="A108" s="71"/>
      <c r="B108" s="67"/>
      <c r="C108" s="71">
        <v>3020</v>
      </c>
      <c r="D108" s="34" t="s">
        <v>196</v>
      </c>
      <c r="E108" s="66">
        <v>12000</v>
      </c>
      <c r="F108" s="66">
        <v>-4000</v>
      </c>
      <c r="G108" s="66">
        <f aca="true" t="shared" si="54" ref="G108:G119">SUM(E108:F108)</f>
        <v>8000</v>
      </c>
      <c r="H108" s="66"/>
      <c r="I108" s="66">
        <f aca="true" t="shared" si="55" ref="I108:I119">SUM(G108:H108)</f>
        <v>8000</v>
      </c>
      <c r="J108" s="66"/>
      <c r="K108" s="66">
        <f aca="true" t="shared" si="56" ref="K108:K119">SUM(I108:J108)</f>
        <v>8000</v>
      </c>
      <c r="L108" s="66"/>
      <c r="M108" s="66">
        <f aca="true" t="shared" si="57" ref="M108:M119">SUM(K108:L108)</f>
        <v>8000</v>
      </c>
      <c r="N108" s="66"/>
      <c r="O108" s="66">
        <f aca="true" t="shared" si="58" ref="O108:O119">SUM(M108:N108)</f>
        <v>8000</v>
      </c>
      <c r="P108" s="66"/>
      <c r="Q108" s="66">
        <f aca="true" t="shared" si="59" ref="Q108:Q119">SUM(O108:P108)</f>
        <v>8000</v>
      </c>
    </row>
    <row r="109" spans="1:19" s="22" customFormat="1" ht="21" customHeight="1">
      <c r="A109" s="71"/>
      <c r="B109" s="67"/>
      <c r="C109" s="71">
        <v>4110</v>
      </c>
      <c r="D109" s="34" t="s">
        <v>88</v>
      </c>
      <c r="E109" s="66">
        <v>1000</v>
      </c>
      <c r="F109" s="66"/>
      <c r="G109" s="66">
        <f t="shared" si="54"/>
        <v>1000</v>
      </c>
      <c r="H109" s="66"/>
      <c r="I109" s="66">
        <f t="shared" si="55"/>
        <v>1000</v>
      </c>
      <c r="J109" s="66"/>
      <c r="K109" s="66">
        <f t="shared" si="56"/>
        <v>1000</v>
      </c>
      <c r="L109" s="66"/>
      <c r="M109" s="66">
        <f t="shared" si="57"/>
        <v>1000</v>
      </c>
      <c r="N109" s="66"/>
      <c r="O109" s="66">
        <f t="shared" si="58"/>
        <v>1000</v>
      </c>
      <c r="P109" s="66"/>
      <c r="Q109" s="66">
        <f t="shared" si="59"/>
        <v>1000</v>
      </c>
      <c r="R109" s="97"/>
      <c r="S109" s="97"/>
    </row>
    <row r="110" spans="1:19" s="22" customFormat="1" ht="21" customHeight="1">
      <c r="A110" s="71"/>
      <c r="B110" s="67"/>
      <c r="C110" s="71">
        <v>4120</v>
      </c>
      <c r="D110" s="34" t="s">
        <v>89</v>
      </c>
      <c r="E110" s="66">
        <v>100</v>
      </c>
      <c r="F110" s="66"/>
      <c r="G110" s="66">
        <f t="shared" si="54"/>
        <v>100</v>
      </c>
      <c r="H110" s="66"/>
      <c r="I110" s="66">
        <f t="shared" si="55"/>
        <v>100</v>
      </c>
      <c r="J110" s="66"/>
      <c r="K110" s="66">
        <f t="shared" si="56"/>
        <v>100</v>
      </c>
      <c r="L110" s="66"/>
      <c r="M110" s="66">
        <f t="shared" si="57"/>
        <v>100</v>
      </c>
      <c r="N110" s="66"/>
      <c r="O110" s="66">
        <f t="shared" si="58"/>
        <v>100</v>
      </c>
      <c r="P110" s="66"/>
      <c r="Q110" s="66">
        <f t="shared" si="59"/>
        <v>100</v>
      </c>
      <c r="R110" s="97"/>
      <c r="S110" s="97"/>
    </row>
    <row r="111" spans="1:19" s="22" customFormat="1" ht="21" customHeight="1">
      <c r="A111" s="71"/>
      <c r="B111" s="67"/>
      <c r="C111" s="71">
        <v>4170</v>
      </c>
      <c r="D111" s="34" t="s">
        <v>198</v>
      </c>
      <c r="E111" s="66">
        <v>6000</v>
      </c>
      <c r="F111" s="66"/>
      <c r="G111" s="66">
        <f t="shared" si="54"/>
        <v>6000</v>
      </c>
      <c r="H111" s="66"/>
      <c r="I111" s="66">
        <f t="shared" si="55"/>
        <v>6000</v>
      </c>
      <c r="J111" s="66"/>
      <c r="K111" s="66">
        <f t="shared" si="56"/>
        <v>6000</v>
      </c>
      <c r="L111" s="66"/>
      <c r="M111" s="66">
        <f t="shared" si="57"/>
        <v>6000</v>
      </c>
      <c r="N111" s="66"/>
      <c r="O111" s="66">
        <f t="shared" si="58"/>
        <v>6000</v>
      </c>
      <c r="P111" s="66"/>
      <c r="Q111" s="66">
        <f t="shared" si="59"/>
        <v>6000</v>
      </c>
      <c r="R111" s="97"/>
      <c r="S111" s="97"/>
    </row>
    <row r="112" spans="1:17" s="22" customFormat="1" ht="21" customHeight="1">
      <c r="A112" s="71"/>
      <c r="B112" s="67"/>
      <c r="C112" s="71">
        <v>4210</v>
      </c>
      <c r="D112" s="34" t="s">
        <v>94</v>
      </c>
      <c r="E112" s="66">
        <v>190000</v>
      </c>
      <c r="F112" s="66">
        <v>-115000</v>
      </c>
      <c r="G112" s="66">
        <f t="shared" si="54"/>
        <v>75000</v>
      </c>
      <c r="H112" s="66"/>
      <c r="I112" s="66">
        <f t="shared" si="55"/>
        <v>75000</v>
      </c>
      <c r="J112" s="66"/>
      <c r="K112" s="66">
        <f t="shared" si="56"/>
        <v>75000</v>
      </c>
      <c r="L112" s="66"/>
      <c r="M112" s="66">
        <f t="shared" si="57"/>
        <v>75000</v>
      </c>
      <c r="N112" s="66"/>
      <c r="O112" s="66">
        <f t="shared" si="58"/>
        <v>75000</v>
      </c>
      <c r="P112" s="66"/>
      <c r="Q112" s="66">
        <f t="shared" si="59"/>
        <v>75000</v>
      </c>
    </row>
    <row r="113" spans="1:17" s="22" customFormat="1" ht="21" customHeight="1">
      <c r="A113" s="71"/>
      <c r="B113" s="67"/>
      <c r="C113" s="52">
        <v>4300</v>
      </c>
      <c r="D113" s="34" t="s">
        <v>81</v>
      </c>
      <c r="E113" s="66">
        <f>268360+3000</f>
        <v>271360</v>
      </c>
      <c r="F113" s="124">
        <v>-175000</v>
      </c>
      <c r="G113" s="66">
        <f t="shared" si="54"/>
        <v>96360</v>
      </c>
      <c r="H113" s="124"/>
      <c r="I113" s="66">
        <f t="shared" si="55"/>
        <v>96360</v>
      </c>
      <c r="J113" s="124"/>
      <c r="K113" s="66">
        <f t="shared" si="56"/>
        <v>96360</v>
      </c>
      <c r="L113" s="124"/>
      <c r="M113" s="66">
        <f t="shared" si="57"/>
        <v>96360</v>
      </c>
      <c r="N113" s="66">
        <v>7000</v>
      </c>
      <c r="O113" s="66">
        <f t="shared" si="58"/>
        <v>103360</v>
      </c>
      <c r="P113" s="66"/>
      <c r="Q113" s="66">
        <f t="shared" si="59"/>
        <v>103360</v>
      </c>
    </row>
    <row r="114" spans="1:17" s="22" customFormat="1" ht="21" customHeight="1">
      <c r="A114" s="71"/>
      <c r="B114" s="67"/>
      <c r="C114" s="52">
        <v>4350</v>
      </c>
      <c r="D114" s="34" t="s">
        <v>211</v>
      </c>
      <c r="E114" s="66">
        <v>5000</v>
      </c>
      <c r="F114" s="66">
        <v>-4000</v>
      </c>
      <c r="G114" s="66">
        <f t="shared" si="54"/>
        <v>1000</v>
      </c>
      <c r="H114" s="66"/>
      <c r="I114" s="66">
        <f t="shared" si="55"/>
        <v>1000</v>
      </c>
      <c r="J114" s="66"/>
      <c r="K114" s="66">
        <f t="shared" si="56"/>
        <v>1000</v>
      </c>
      <c r="L114" s="66"/>
      <c r="M114" s="66">
        <f t="shared" si="57"/>
        <v>1000</v>
      </c>
      <c r="N114" s="66"/>
      <c r="O114" s="66">
        <f t="shared" si="58"/>
        <v>1000</v>
      </c>
      <c r="P114" s="66"/>
      <c r="Q114" s="66">
        <f t="shared" si="59"/>
        <v>1000</v>
      </c>
    </row>
    <row r="115" spans="1:17" s="22" customFormat="1" ht="21" customHeight="1">
      <c r="A115" s="71"/>
      <c r="B115" s="67"/>
      <c r="C115" s="52">
        <v>4410</v>
      </c>
      <c r="D115" s="34" t="s">
        <v>92</v>
      </c>
      <c r="E115" s="66">
        <v>3000</v>
      </c>
      <c r="F115" s="66"/>
      <c r="G115" s="66">
        <f t="shared" si="54"/>
        <v>3000</v>
      </c>
      <c r="H115" s="66"/>
      <c r="I115" s="66">
        <f t="shared" si="55"/>
        <v>3000</v>
      </c>
      <c r="J115" s="66"/>
      <c r="K115" s="66">
        <f t="shared" si="56"/>
        <v>3000</v>
      </c>
      <c r="L115" s="66"/>
      <c r="M115" s="66">
        <f t="shared" si="57"/>
        <v>3000</v>
      </c>
      <c r="N115" s="66"/>
      <c r="O115" s="66">
        <f t="shared" si="58"/>
        <v>3000</v>
      </c>
      <c r="P115" s="66"/>
      <c r="Q115" s="66">
        <f t="shared" si="59"/>
        <v>3000</v>
      </c>
    </row>
    <row r="116" spans="1:17" s="22" customFormat="1" ht="21" customHeight="1">
      <c r="A116" s="71"/>
      <c r="B116" s="67"/>
      <c r="C116" s="71">
        <v>4420</v>
      </c>
      <c r="D116" s="34" t="s">
        <v>95</v>
      </c>
      <c r="E116" s="66">
        <v>3000</v>
      </c>
      <c r="F116" s="66"/>
      <c r="G116" s="66">
        <f t="shared" si="54"/>
        <v>3000</v>
      </c>
      <c r="H116" s="66"/>
      <c r="I116" s="66">
        <f t="shared" si="55"/>
        <v>3000</v>
      </c>
      <c r="J116" s="66"/>
      <c r="K116" s="66">
        <f t="shared" si="56"/>
        <v>3000</v>
      </c>
      <c r="L116" s="66"/>
      <c r="M116" s="66">
        <f t="shared" si="57"/>
        <v>3000</v>
      </c>
      <c r="N116" s="66"/>
      <c r="O116" s="66">
        <f t="shared" si="58"/>
        <v>3000</v>
      </c>
      <c r="P116" s="66"/>
      <c r="Q116" s="66">
        <f t="shared" si="59"/>
        <v>3000</v>
      </c>
    </row>
    <row r="117" spans="1:17" s="22" customFormat="1" ht="21" customHeight="1">
      <c r="A117" s="71"/>
      <c r="B117" s="67"/>
      <c r="C117" s="52">
        <v>4430</v>
      </c>
      <c r="D117" s="34" t="s">
        <v>96</v>
      </c>
      <c r="E117" s="66">
        <v>3000</v>
      </c>
      <c r="F117" s="66">
        <v>-1000</v>
      </c>
      <c r="G117" s="66">
        <f t="shared" si="54"/>
        <v>2000</v>
      </c>
      <c r="H117" s="66"/>
      <c r="I117" s="66">
        <f t="shared" si="55"/>
        <v>2000</v>
      </c>
      <c r="J117" s="66"/>
      <c r="K117" s="66">
        <f t="shared" si="56"/>
        <v>2000</v>
      </c>
      <c r="L117" s="66"/>
      <c r="M117" s="66">
        <f t="shared" si="57"/>
        <v>2000</v>
      </c>
      <c r="N117" s="66"/>
      <c r="O117" s="66">
        <f t="shared" si="58"/>
        <v>2000</v>
      </c>
      <c r="P117" s="66"/>
      <c r="Q117" s="66">
        <f t="shared" si="59"/>
        <v>2000</v>
      </c>
    </row>
    <row r="118" spans="1:17" s="22" customFormat="1" ht="24">
      <c r="A118" s="71"/>
      <c r="B118" s="67"/>
      <c r="C118" s="52">
        <v>4740</v>
      </c>
      <c r="D118" s="34" t="s">
        <v>232</v>
      </c>
      <c r="E118" s="66">
        <v>1000</v>
      </c>
      <c r="F118" s="66"/>
      <c r="G118" s="66">
        <f t="shared" si="54"/>
        <v>1000</v>
      </c>
      <c r="H118" s="66"/>
      <c r="I118" s="66">
        <f t="shared" si="55"/>
        <v>1000</v>
      </c>
      <c r="J118" s="66"/>
      <c r="K118" s="66">
        <f t="shared" si="56"/>
        <v>1000</v>
      </c>
      <c r="L118" s="66"/>
      <c r="M118" s="66">
        <f t="shared" si="57"/>
        <v>1000</v>
      </c>
      <c r="N118" s="66"/>
      <c r="O118" s="66">
        <f t="shared" si="58"/>
        <v>1000</v>
      </c>
      <c r="P118" s="66"/>
      <c r="Q118" s="66">
        <f t="shared" si="59"/>
        <v>1000</v>
      </c>
    </row>
    <row r="119" spans="1:17" s="22" customFormat="1" ht="36">
      <c r="A119" s="71"/>
      <c r="B119" s="67"/>
      <c r="C119" s="52">
        <v>4750</v>
      </c>
      <c r="D119" s="34" t="s">
        <v>250</v>
      </c>
      <c r="E119" s="66">
        <v>6000</v>
      </c>
      <c r="F119" s="66">
        <v>-2500</v>
      </c>
      <c r="G119" s="66">
        <f t="shared" si="54"/>
        <v>3500</v>
      </c>
      <c r="H119" s="66"/>
      <c r="I119" s="66">
        <f t="shared" si="55"/>
        <v>3500</v>
      </c>
      <c r="J119" s="66"/>
      <c r="K119" s="66">
        <f t="shared" si="56"/>
        <v>3500</v>
      </c>
      <c r="L119" s="66"/>
      <c r="M119" s="66">
        <f t="shared" si="57"/>
        <v>3500</v>
      </c>
      <c r="N119" s="66"/>
      <c r="O119" s="66">
        <f t="shared" si="58"/>
        <v>3500</v>
      </c>
      <c r="P119" s="66"/>
      <c r="Q119" s="66">
        <f t="shared" si="59"/>
        <v>3500</v>
      </c>
    </row>
    <row r="120" spans="1:17" s="22" customFormat="1" ht="21" customHeight="1">
      <c r="A120" s="71"/>
      <c r="B120" s="67">
        <v>75095</v>
      </c>
      <c r="C120" s="52"/>
      <c r="D120" s="34" t="s">
        <v>6</v>
      </c>
      <c r="E120" s="66">
        <f aca="true" t="shared" si="60" ref="E120:K120">SUM(E121:E126)</f>
        <v>124580</v>
      </c>
      <c r="F120" s="66">
        <f t="shared" si="60"/>
        <v>0</v>
      </c>
      <c r="G120" s="66">
        <f t="shared" si="60"/>
        <v>124580</v>
      </c>
      <c r="H120" s="66">
        <f t="shared" si="60"/>
        <v>0</v>
      </c>
      <c r="I120" s="66">
        <f t="shared" si="60"/>
        <v>124580</v>
      </c>
      <c r="J120" s="66">
        <f t="shared" si="60"/>
        <v>0</v>
      </c>
      <c r="K120" s="66">
        <f t="shared" si="60"/>
        <v>124580</v>
      </c>
      <c r="L120" s="66">
        <f aca="true" t="shared" si="61" ref="L120:Q120">SUM(L121:L126)</f>
        <v>0</v>
      </c>
      <c r="M120" s="66">
        <f t="shared" si="61"/>
        <v>124580</v>
      </c>
      <c r="N120" s="66">
        <f t="shared" si="61"/>
        <v>0</v>
      </c>
      <c r="O120" s="66">
        <f t="shared" si="61"/>
        <v>124580</v>
      </c>
      <c r="P120" s="66">
        <f t="shared" si="61"/>
        <v>0</v>
      </c>
      <c r="Q120" s="66">
        <f t="shared" si="61"/>
        <v>124580</v>
      </c>
    </row>
    <row r="121" spans="1:17" s="22" customFormat="1" ht="21" customHeight="1">
      <c r="A121" s="71"/>
      <c r="B121" s="67"/>
      <c r="C121" s="52">
        <v>3030</v>
      </c>
      <c r="D121" s="34" t="s">
        <v>91</v>
      </c>
      <c r="E121" s="66">
        <v>60000</v>
      </c>
      <c r="F121" s="66"/>
      <c r="G121" s="66">
        <f aca="true" t="shared" si="62" ref="G121:G195">SUM(E121:F121)</f>
        <v>60000</v>
      </c>
      <c r="H121" s="66"/>
      <c r="I121" s="66">
        <f aca="true" t="shared" si="63" ref="I121:I126">SUM(G121:H121)</f>
        <v>60000</v>
      </c>
      <c r="J121" s="66"/>
      <c r="K121" s="66">
        <f aca="true" t="shared" si="64" ref="K121:K126">SUM(I121:J121)</f>
        <v>60000</v>
      </c>
      <c r="L121" s="66"/>
      <c r="M121" s="66">
        <f aca="true" t="shared" si="65" ref="M121:M126">SUM(K121:L121)</f>
        <v>60000</v>
      </c>
      <c r="N121" s="66"/>
      <c r="O121" s="66">
        <f aca="true" t="shared" si="66" ref="O121:O126">SUM(M121:N121)</f>
        <v>60000</v>
      </c>
      <c r="P121" s="66"/>
      <c r="Q121" s="66">
        <f aca="true" t="shared" si="67" ref="Q121:Q126">SUM(O121:P121)</f>
        <v>60000</v>
      </c>
    </row>
    <row r="122" spans="1:17" s="22" customFormat="1" ht="21" customHeight="1">
      <c r="A122" s="71"/>
      <c r="B122" s="67"/>
      <c r="C122" s="52">
        <v>4210</v>
      </c>
      <c r="D122" s="34" t="s">
        <v>94</v>
      </c>
      <c r="E122" s="66">
        <f>22980+1000</f>
        <v>23980</v>
      </c>
      <c r="F122" s="66"/>
      <c r="G122" s="66">
        <f t="shared" si="62"/>
        <v>23980</v>
      </c>
      <c r="H122" s="66"/>
      <c r="I122" s="66">
        <f t="shared" si="63"/>
        <v>23980</v>
      </c>
      <c r="J122" s="66"/>
      <c r="K122" s="66">
        <f t="shared" si="64"/>
        <v>23980</v>
      </c>
      <c r="L122" s="66"/>
      <c r="M122" s="66">
        <f t="shared" si="65"/>
        <v>23980</v>
      </c>
      <c r="N122" s="66"/>
      <c r="O122" s="66">
        <f t="shared" si="66"/>
        <v>23980</v>
      </c>
      <c r="P122" s="66"/>
      <c r="Q122" s="66">
        <f t="shared" si="67"/>
        <v>23980</v>
      </c>
    </row>
    <row r="123" spans="1:17" s="22" customFormat="1" ht="21" customHeight="1">
      <c r="A123" s="71"/>
      <c r="B123" s="67"/>
      <c r="C123" s="52">
        <v>4300</v>
      </c>
      <c r="D123" s="34" t="s">
        <v>81</v>
      </c>
      <c r="E123" s="66">
        <v>5500</v>
      </c>
      <c r="F123" s="66"/>
      <c r="G123" s="66">
        <f t="shared" si="62"/>
        <v>5500</v>
      </c>
      <c r="H123" s="66"/>
      <c r="I123" s="66">
        <f t="shared" si="63"/>
        <v>5500</v>
      </c>
      <c r="J123" s="66"/>
      <c r="K123" s="66">
        <f t="shared" si="64"/>
        <v>5500</v>
      </c>
      <c r="L123" s="66"/>
      <c r="M123" s="66">
        <f t="shared" si="65"/>
        <v>5500</v>
      </c>
      <c r="N123" s="66"/>
      <c r="O123" s="66">
        <f t="shared" si="66"/>
        <v>5500</v>
      </c>
      <c r="P123" s="66"/>
      <c r="Q123" s="66">
        <f t="shared" si="67"/>
        <v>5500</v>
      </c>
    </row>
    <row r="124" spans="1:17" s="22" customFormat="1" ht="21" customHeight="1">
      <c r="A124" s="71"/>
      <c r="B124" s="67"/>
      <c r="C124" s="52">
        <v>4410</v>
      </c>
      <c r="D124" s="34" t="s">
        <v>92</v>
      </c>
      <c r="E124" s="66">
        <v>5000</v>
      </c>
      <c r="F124" s="66"/>
      <c r="G124" s="66">
        <f t="shared" si="62"/>
        <v>5000</v>
      </c>
      <c r="H124" s="66"/>
      <c r="I124" s="66">
        <f t="shared" si="63"/>
        <v>5000</v>
      </c>
      <c r="J124" s="66"/>
      <c r="K124" s="66">
        <f t="shared" si="64"/>
        <v>5000</v>
      </c>
      <c r="L124" s="66"/>
      <c r="M124" s="66">
        <f t="shared" si="65"/>
        <v>5000</v>
      </c>
      <c r="N124" s="66"/>
      <c r="O124" s="66">
        <f t="shared" si="66"/>
        <v>5000</v>
      </c>
      <c r="P124" s="66"/>
      <c r="Q124" s="66">
        <f t="shared" si="67"/>
        <v>5000</v>
      </c>
    </row>
    <row r="125" spans="1:17" s="22" customFormat="1" ht="21" customHeight="1">
      <c r="A125" s="71"/>
      <c r="B125" s="67"/>
      <c r="C125" s="52">
        <v>4430</v>
      </c>
      <c r="D125" s="34" t="s">
        <v>96</v>
      </c>
      <c r="E125" s="66">
        <v>30000</v>
      </c>
      <c r="F125" s="66"/>
      <c r="G125" s="66">
        <f t="shared" si="62"/>
        <v>30000</v>
      </c>
      <c r="H125" s="66"/>
      <c r="I125" s="66">
        <f t="shared" si="63"/>
        <v>30000</v>
      </c>
      <c r="J125" s="66"/>
      <c r="K125" s="66">
        <f t="shared" si="64"/>
        <v>30000</v>
      </c>
      <c r="L125" s="66"/>
      <c r="M125" s="66">
        <f t="shared" si="65"/>
        <v>30000</v>
      </c>
      <c r="N125" s="66"/>
      <c r="O125" s="66">
        <f t="shared" si="66"/>
        <v>30000</v>
      </c>
      <c r="P125" s="66"/>
      <c r="Q125" s="66">
        <f t="shared" si="67"/>
        <v>30000</v>
      </c>
    </row>
    <row r="126" spans="1:17" s="22" customFormat="1" ht="27.75" customHeight="1">
      <c r="A126" s="71"/>
      <c r="B126" s="67"/>
      <c r="C126" s="52">
        <v>4740</v>
      </c>
      <c r="D126" s="34" t="s">
        <v>232</v>
      </c>
      <c r="E126" s="66">
        <v>100</v>
      </c>
      <c r="F126" s="66"/>
      <c r="G126" s="66">
        <f t="shared" si="62"/>
        <v>100</v>
      </c>
      <c r="H126" s="66"/>
      <c r="I126" s="66">
        <f t="shared" si="63"/>
        <v>100</v>
      </c>
      <c r="J126" s="66"/>
      <c r="K126" s="66">
        <f t="shared" si="64"/>
        <v>100</v>
      </c>
      <c r="L126" s="66"/>
      <c r="M126" s="66">
        <f t="shared" si="65"/>
        <v>100</v>
      </c>
      <c r="N126" s="66"/>
      <c r="O126" s="66">
        <f t="shared" si="66"/>
        <v>100</v>
      </c>
      <c r="P126" s="66"/>
      <c r="Q126" s="66">
        <f t="shared" si="67"/>
        <v>100</v>
      </c>
    </row>
    <row r="127" spans="1:17" s="5" customFormat="1" ht="39.75" customHeight="1">
      <c r="A127" s="29">
        <v>751</v>
      </c>
      <c r="B127" s="30"/>
      <c r="C127" s="31"/>
      <c r="D127" s="32" t="s">
        <v>100</v>
      </c>
      <c r="E127" s="33">
        <f aca="true" t="shared" si="68" ref="E127:J127">SUM(E128)</f>
        <v>3910</v>
      </c>
      <c r="F127" s="33">
        <f t="shared" si="68"/>
        <v>0</v>
      </c>
      <c r="G127" s="33">
        <f t="shared" si="68"/>
        <v>3910</v>
      </c>
      <c r="H127" s="33">
        <f t="shared" si="68"/>
        <v>0</v>
      </c>
      <c r="I127" s="33">
        <f t="shared" si="68"/>
        <v>3910</v>
      </c>
      <c r="J127" s="33">
        <f t="shared" si="68"/>
        <v>0</v>
      </c>
      <c r="K127" s="33">
        <f aca="true" t="shared" si="69" ref="K127:Q127">SUM(K128,K133)</f>
        <v>3910</v>
      </c>
      <c r="L127" s="33">
        <f t="shared" si="69"/>
        <v>19932</v>
      </c>
      <c r="M127" s="33">
        <f t="shared" si="69"/>
        <v>23842</v>
      </c>
      <c r="N127" s="33">
        <f t="shared" si="69"/>
        <v>0</v>
      </c>
      <c r="O127" s="33">
        <f t="shared" si="69"/>
        <v>23842</v>
      </c>
      <c r="P127" s="33">
        <f t="shared" si="69"/>
        <v>1000</v>
      </c>
      <c r="Q127" s="33">
        <f t="shared" si="69"/>
        <v>24842</v>
      </c>
    </row>
    <row r="128" spans="1:17" s="22" customFormat="1" ht="26.25" customHeight="1">
      <c r="A128" s="71"/>
      <c r="B128" s="67">
        <v>75101</v>
      </c>
      <c r="C128" s="71"/>
      <c r="D128" s="34" t="s">
        <v>21</v>
      </c>
      <c r="E128" s="66">
        <f aca="true" t="shared" si="70" ref="E128:K128">SUM(E129:E132)</f>
        <v>3910</v>
      </c>
      <c r="F128" s="66">
        <f t="shared" si="70"/>
        <v>0</v>
      </c>
      <c r="G128" s="66">
        <f t="shared" si="70"/>
        <v>3910</v>
      </c>
      <c r="H128" s="66">
        <f t="shared" si="70"/>
        <v>0</v>
      </c>
      <c r="I128" s="66">
        <f t="shared" si="70"/>
        <v>3910</v>
      </c>
      <c r="J128" s="66">
        <f t="shared" si="70"/>
        <v>0</v>
      </c>
      <c r="K128" s="66">
        <f t="shared" si="70"/>
        <v>3910</v>
      </c>
      <c r="L128" s="66">
        <f aca="true" t="shared" si="71" ref="L128:Q128">SUM(L129:L132)</f>
        <v>0</v>
      </c>
      <c r="M128" s="66">
        <f t="shared" si="71"/>
        <v>3910</v>
      </c>
      <c r="N128" s="66">
        <f t="shared" si="71"/>
        <v>0</v>
      </c>
      <c r="O128" s="66">
        <f t="shared" si="71"/>
        <v>3910</v>
      </c>
      <c r="P128" s="66">
        <f t="shared" si="71"/>
        <v>0</v>
      </c>
      <c r="Q128" s="66">
        <f t="shared" si="71"/>
        <v>3910</v>
      </c>
    </row>
    <row r="129" spans="1:17" s="22" customFormat="1" ht="21" customHeight="1">
      <c r="A129" s="71"/>
      <c r="B129" s="67"/>
      <c r="C129" s="52">
        <v>4210</v>
      </c>
      <c r="D129" s="34" t="s">
        <v>94</v>
      </c>
      <c r="E129" s="66">
        <v>1410</v>
      </c>
      <c r="F129" s="66"/>
      <c r="G129" s="66">
        <f t="shared" si="62"/>
        <v>1410</v>
      </c>
      <c r="H129" s="66"/>
      <c r="I129" s="66">
        <f>SUM(G129:H129)</f>
        <v>1410</v>
      </c>
      <c r="J129" s="66"/>
      <c r="K129" s="66">
        <f>SUM(I129:J129)</f>
        <v>1410</v>
      </c>
      <c r="L129" s="66"/>
      <c r="M129" s="66">
        <f>SUM(K129:L129)</f>
        <v>1410</v>
      </c>
      <c r="N129" s="66"/>
      <c r="O129" s="66">
        <f>SUM(M129:N129)</f>
        <v>1410</v>
      </c>
      <c r="P129" s="66"/>
      <c r="Q129" s="66">
        <f>SUM(O129:P129)</f>
        <v>1410</v>
      </c>
    </row>
    <row r="130" spans="1:17" s="22" customFormat="1" ht="27" customHeight="1">
      <c r="A130" s="71"/>
      <c r="B130" s="67"/>
      <c r="C130" s="52">
        <v>4700</v>
      </c>
      <c r="D130" s="34" t="s">
        <v>246</v>
      </c>
      <c r="E130" s="66">
        <v>500</v>
      </c>
      <c r="F130" s="66"/>
      <c r="G130" s="66">
        <f t="shared" si="62"/>
        <v>500</v>
      </c>
      <c r="H130" s="66"/>
      <c r="I130" s="66">
        <f>SUM(G130:H130)</f>
        <v>500</v>
      </c>
      <c r="J130" s="66"/>
      <c r="K130" s="66">
        <f>SUM(I130:J130)</f>
        <v>500</v>
      </c>
      <c r="L130" s="66"/>
      <c r="M130" s="66">
        <f>SUM(K130:L130)</f>
        <v>500</v>
      </c>
      <c r="N130" s="66"/>
      <c r="O130" s="66">
        <f>SUM(M130:N130)</f>
        <v>500</v>
      </c>
      <c r="P130" s="66"/>
      <c r="Q130" s="66">
        <f>SUM(O130:P130)</f>
        <v>500</v>
      </c>
    </row>
    <row r="131" spans="1:17" s="22" customFormat="1" ht="28.5" customHeight="1">
      <c r="A131" s="71"/>
      <c r="B131" s="67"/>
      <c r="C131" s="52">
        <v>4740</v>
      </c>
      <c r="D131" s="34" t="s">
        <v>232</v>
      </c>
      <c r="E131" s="66">
        <v>1000</v>
      </c>
      <c r="F131" s="66"/>
      <c r="G131" s="66">
        <f t="shared" si="62"/>
        <v>1000</v>
      </c>
      <c r="H131" s="66"/>
      <c r="I131" s="66">
        <f>SUM(G131:H131)</f>
        <v>1000</v>
      </c>
      <c r="J131" s="66"/>
      <c r="K131" s="66">
        <f>SUM(I131:J131)</f>
        <v>1000</v>
      </c>
      <c r="L131" s="66"/>
      <c r="M131" s="66">
        <f>SUM(K131:L131)</f>
        <v>1000</v>
      </c>
      <c r="N131" s="66"/>
      <c r="O131" s="66">
        <f>SUM(M131:N131)</f>
        <v>1000</v>
      </c>
      <c r="P131" s="66"/>
      <c r="Q131" s="66">
        <f>SUM(O131:P131)</f>
        <v>1000</v>
      </c>
    </row>
    <row r="132" spans="1:17" s="22" customFormat="1" ht="24">
      <c r="A132" s="71"/>
      <c r="B132" s="67"/>
      <c r="C132" s="52">
        <v>4750</v>
      </c>
      <c r="D132" s="34" t="s">
        <v>233</v>
      </c>
      <c r="E132" s="66">
        <v>1000</v>
      </c>
      <c r="F132" s="66"/>
      <c r="G132" s="66">
        <f t="shared" si="62"/>
        <v>1000</v>
      </c>
      <c r="H132" s="66"/>
      <c r="I132" s="66">
        <f>SUM(G132:H132)</f>
        <v>1000</v>
      </c>
      <c r="J132" s="66"/>
      <c r="K132" s="66">
        <f>SUM(I132:J132)</f>
        <v>1000</v>
      </c>
      <c r="L132" s="66"/>
      <c r="M132" s="66">
        <f>SUM(K132:L132)</f>
        <v>1000</v>
      </c>
      <c r="N132" s="66"/>
      <c r="O132" s="66">
        <f>SUM(M132:N132)</f>
        <v>1000</v>
      </c>
      <c r="P132" s="66"/>
      <c r="Q132" s="66">
        <f>SUM(O132:P132)</f>
        <v>1000</v>
      </c>
    </row>
    <row r="133" spans="1:17" s="22" customFormat="1" ht="21" customHeight="1">
      <c r="A133" s="71"/>
      <c r="B133" s="67">
        <v>75113</v>
      </c>
      <c r="C133" s="52"/>
      <c r="D133" s="34" t="s">
        <v>318</v>
      </c>
      <c r="E133" s="66"/>
      <c r="F133" s="66"/>
      <c r="G133" s="66"/>
      <c r="H133" s="66"/>
      <c r="I133" s="66"/>
      <c r="J133" s="66"/>
      <c r="K133" s="66">
        <f aca="true" t="shared" si="72" ref="K133:Q133">SUM(K134:K141)</f>
        <v>0</v>
      </c>
      <c r="L133" s="66">
        <f t="shared" si="72"/>
        <v>19932</v>
      </c>
      <c r="M133" s="66">
        <f t="shared" si="72"/>
        <v>19932</v>
      </c>
      <c r="N133" s="66">
        <f t="shared" si="72"/>
        <v>0</v>
      </c>
      <c r="O133" s="66">
        <f t="shared" si="72"/>
        <v>19932</v>
      </c>
      <c r="P133" s="66">
        <f t="shared" si="72"/>
        <v>1000</v>
      </c>
      <c r="Q133" s="66">
        <f t="shared" si="72"/>
        <v>20932</v>
      </c>
    </row>
    <row r="134" spans="1:19" s="22" customFormat="1" ht="21" customHeight="1">
      <c r="A134" s="71"/>
      <c r="B134" s="67"/>
      <c r="C134" s="52">
        <v>4110</v>
      </c>
      <c r="D134" s="34" t="s">
        <v>88</v>
      </c>
      <c r="E134" s="66"/>
      <c r="F134" s="66"/>
      <c r="G134" s="66"/>
      <c r="H134" s="66"/>
      <c r="I134" s="66"/>
      <c r="J134" s="66"/>
      <c r="K134" s="66">
        <v>0</v>
      </c>
      <c r="L134" s="66">
        <v>72</v>
      </c>
      <c r="M134" s="66">
        <f aca="true" t="shared" si="73" ref="M134:M141">SUM(K134:L134)</f>
        <v>72</v>
      </c>
      <c r="N134" s="66"/>
      <c r="O134" s="66">
        <f aca="true" t="shared" si="74" ref="O134:O141">SUM(M134:N134)</f>
        <v>72</v>
      </c>
      <c r="P134" s="66"/>
      <c r="Q134" s="66">
        <f aca="true" t="shared" si="75" ref="Q134:Q141">SUM(O134:P134)</f>
        <v>72</v>
      </c>
      <c r="R134" s="97"/>
      <c r="S134" s="97"/>
    </row>
    <row r="135" spans="1:19" s="22" customFormat="1" ht="21" customHeight="1">
      <c r="A135" s="71"/>
      <c r="B135" s="67"/>
      <c r="C135" s="52">
        <v>4120</v>
      </c>
      <c r="D135" s="34" t="s">
        <v>224</v>
      </c>
      <c r="E135" s="66"/>
      <c r="F135" s="66"/>
      <c r="G135" s="66"/>
      <c r="H135" s="66"/>
      <c r="I135" s="66"/>
      <c r="J135" s="66"/>
      <c r="K135" s="66">
        <v>0</v>
      </c>
      <c r="L135" s="66">
        <v>428</v>
      </c>
      <c r="M135" s="66">
        <f t="shared" si="73"/>
        <v>428</v>
      </c>
      <c r="N135" s="66"/>
      <c r="O135" s="66">
        <f t="shared" si="74"/>
        <v>428</v>
      </c>
      <c r="P135" s="66"/>
      <c r="Q135" s="66">
        <f t="shared" si="75"/>
        <v>428</v>
      </c>
      <c r="R135" s="97"/>
      <c r="S135" s="97"/>
    </row>
    <row r="136" spans="1:19" s="22" customFormat="1" ht="21" customHeight="1">
      <c r="A136" s="71"/>
      <c r="B136" s="67"/>
      <c r="C136" s="52">
        <v>4170</v>
      </c>
      <c r="D136" s="34" t="s">
        <v>198</v>
      </c>
      <c r="E136" s="66"/>
      <c r="F136" s="66"/>
      <c r="G136" s="66"/>
      <c r="H136" s="66"/>
      <c r="I136" s="66"/>
      <c r="J136" s="66"/>
      <c r="K136" s="66">
        <v>0</v>
      </c>
      <c r="L136" s="66">
        <v>6580</v>
      </c>
      <c r="M136" s="66">
        <f t="shared" si="73"/>
        <v>6580</v>
      </c>
      <c r="N136" s="66"/>
      <c r="O136" s="66">
        <f t="shared" si="74"/>
        <v>6580</v>
      </c>
      <c r="P136" s="66"/>
      <c r="Q136" s="66">
        <f t="shared" si="75"/>
        <v>6580</v>
      </c>
      <c r="R136" s="97"/>
      <c r="S136" s="97"/>
    </row>
    <row r="137" spans="1:17" s="22" customFormat="1" ht="24" customHeight="1">
      <c r="A137" s="71"/>
      <c r="B137" s="67"/>
      <c r="C137" s="52">
        <v>4210</v>
      </c>
      <c r="D137" s="34" t="s">
        <v>94</v>
      </c>
      <c r="E137" s="66"/>
      <c r="F137" s="66"/>
      <c r="G137" s="66"/>
      <c r="H137" s="66"/>
      <c r="I137" s="66"/>
      <c r="J137" s="66"/>
      <c r="K137" s="66">
        <v>0</v>
      </c>
      <c r="L137" s="66">
        <v>7844</v>
      </c>
      <c r="M137" s="66">
        <f t="shared" si="73"/>
        <v>7844</v>
      </c>
      <c r="N137" s="66"/>
      <c r="O137" s="66">
        <f t="shared" si="74"/>
        <v>7844</v>
      </c>
      <c r="P137" s="66">
        <v>1000</v>
      </c>
      <c r="Q137" s="66">
        <f t="shared" si="75"/>
        <v>8844</v>
      </c>
    </row>
    <row r="138" spans="1:17" s="22" customFormat="1" ht="24" customHeight="1">
      <c r="A138" s="71"/>
      <c r="B138" s="67"/>
      <c r="C138" s="52">
        <v>4300</v>
      </c>
      <c r="D138" s="34" t="s">
        <v>81</v>
      </c>
      <c r="E138" s="66"/>
      <c r="F138" s="66"/>
      <c r="G138" s="66"/>
      <c r="H138" s="66"/>
      <c r="I138" s="66"/>
      <c r="J138" s="66"/>
      <c r="K138" s="66">
        <v>0</v>
      </c>
      <c r="L138" s="66">
        <v>2037</v>
      </c>
      <c r="M138" s="66">
        <f t="shared" si="73"/>
        <v>2037</v>
      </c>
      <c r="N138" s="66"/>
      <c r="O138" s="66">
        <f t="shared" si="74"/>
        <v>2037</v>
      </c>
      <c r="P138" s="66"/>
      <c r="Q138" s="66">
        <f t="shared" si="75"/>
        <v>2037</v>
      </c>
    </row>
    <row r="139" spans="1:17" s="22" customFormat="1" ht="24" customHeight="1">
      <c r="A139" s="71"/>
      <c r="B139" s="67"/>
      <c r="C139" s="52">
        <v>4410</v>
      </c>
      <c r="D139" s="34" t="s">
        <v>92</v>
      </c>
      <c r="E139" s="66"/>
      <c r="F139" s="66"/>
      <c r="G139" s="66"/>
      <c r="H139" s="66"/>
      <c r="I139" s="66"/>
      <c r="J139" s="66"/>
      <c r="K139" s="66">
        <v>0</v>
      </c>
      <c r="L139" s="66">
        <v>2500</v>
      </c>
      <c r="M139" s="66">
        <f t="shared" si="73"/>
        <v>2500</v>
      </c>
      <c r="N139" s="66"/>
      <c r="O139" s="66">
        <f t="shared" si="74"/>
        <v>2500</v>
      </c>
      <c r="P139" s="66"/>
      <c r="Q139" s="66">
        <f t="shared" si="75"/>
        <v>2500</v>
      </c>
    </row>
    <row r="140" spans="1:17" s="22" customFormat="1" ht="29.25" customHeight="1">
      <c r="A140" s="71"/>
      <c r="B140" s="67"/>
      <c r="C140" s="52">
        <v>4740</v>
      </c>
      <c r="D140" s="34" t="s">
        <v>232</v>
      </c>
      <c r="E140" s="66"/>
      <c r="F140" s="66"/>
      <c r="G140" s="66"/>
      <c r="H140" s="66"/>
      <c r="I140" s="66"/>
      <c r="J140" s="66"/>
      <c r="K140" s="66">
        <v>0</v>
      </c>
      <c r="L140" s="66">
        <v>238</v>
      </c>
      <c r="M140" s="66">
        <f t="shared" si="73"/>
        <v>238</v>
      </c>
      <c r="N140" s="66"/>
      <c r="O140" s="66">
        <f t="shared" si="74"/>
        <v>238</v>
      </c>
      <c r="P140" s="66"/>
      <c r="Q140" s="66">
        <f t="shared" si="75"/>
        <v>238</v>
      </c>
    </row>
    <row r="141" spans="1:17" s="22" customFormat="1" ht="25.5" customHeight="1">
      <c r="A141" s="71"/>
      <c r="B141" s="67"/>
      <c r="C141" s="52">
        <v>4750</v>
      </c>
      <c r="D141" s="34" t="s">
        <v>233</v>
      </c>
      <c r="E141" s="66"/>
      <c r="F141" s="66"/>
      <c r="G141" s="66"/>
      <c r="H141" s="66"/>
      <c r="I141" s="66"/>
      <c r="J141" s="66"/>
      <c r="K141" s="66">
        <v>0</v>
      </c>
      <c r="L141" s="66">
        <v>233</v>
      </c>
      <c r="M141" s="66">
        <f t="shared" si="73"/>
        <v>233</v>
      </c>
      <c r="N141" s="66"/>
      <c r="O141" s="66">
        <f t="shared" si="74"/>
        <v>233</v>
      </c>
      <c r="P141" s="66"/>
      <c r="Q141" s="66">
        <f t="shared" si="75"/>
        <v>233</v>
      </c>
    </row>
    <row r="142" spans="1:17" s="5" customFormat="1" ht="24.75" customHeight="1">
      <c r="A142" s="29" t="s">
        <v>22</v>
      </c>
      <c r="B142" s="30"/>
      <c r="C142" s="31"/>
      <c r="D142" s="32" t="s">
        <v>23</v>
      </c>
      <c r="E142" s="33">
        <f aca="true" t="shared" si="76" ref="E142:K142">SUM(E143,E158,E176,)</f>
        <v>448253</v>
      </c>
      <c r="F142" s="33">
        <f t="shared" si="76"/>
        <v>150000</v>
      </c>
      <c r="G142" s="33">
        <f t="shared" si="76"/>
        <v>598253</v>
      </c>
      <c r="H142" s="33">
        <f t="shared" si="76"/>
        <v>0</v>
      </c>
      <c r="I142" s="33">
        <f t="shared" si="76"/>
        <v>598253</v>
      </c>
      <c r="J142" s="33">
        <f t="shared" si="76"/>
        <v>0</v>
      </c>
      <c r="K142" s="33">
        <f t="shared" si="76"/>
        <v>598253</v>
      </c>
      <c r="L142" s="33">
        <f aca="true" t="shared" si="77" ref="L142:Q142">SUM(L143,L158,L176,)</f>
        <v>0</v>
      </c>
      <c r="M142" s="33">
        <f t="shared" si="77"/>
        <v>598253</v>
      </c>
      <c r="N142" s="33">
        <f t="shared" si="77"/>
        <v>0</v>
      </c>
      <c r="O142" s="33">
        <f t="shared" si="77"/>
        <v>598253</v>
      </c>
      <c r="P142" s="33">
        <f t="shared" si="77"/>
        <v>0</v>
      </c>
      <c r="Q142" s="33">
        <f t="shared" si="77"/>
        <v>598253</v>
      </c>
    </row>
    <row r="143" spans="1:17" s="22" customFormat="1" ht="21.75" customHeight="1">
      <c r="A143" s="71"/>
      <c r="B143" s="67" t="s">
        <v>101</v>
      </c>
      <c r="C143" s="71"/>
      <c r="D143" s="34" t="s">
        <v>102</v>
      </c>
      <c r="E143" s="66">
        <f>SUM(E144:E156)</f>
        <v>184000</v>
      </c>
      <c r="F143" s="66">
        <f>SUM(F144:F156)</f>
        <v>0</v>
      </c>
      <c r="G143" s="66">
        <f>SUM(G144:G156)</f>
        <v>184000</v>
      </c>
      <c r="H143" s="66">
        <f>SUM(H144:H156)</f>
        <v>0</v>
      </c>
      <c r="I143" s="66">
        <f aca="true" t="shared" si="78" ref="I143:O143">SUM(I144:I157)</f>
        <v>184000</v>
      </c>
      <c r="J143" s="66">
        <f t="shared" si="78"/>
        <v>0</v>
      </c>
      <c r="K143" s="66">
        <f t="shared" si="78"/>
        <v>184000</v>
      </c>
      <c r="L143" s="66">
        <f t="shared" si="78"/>
        <v>0</v>
      </c>
      <c r="M143" s="66">
        <f t="shared" si="78"/>
        <v>184000</v>
      </c>
      <c r="N143" s="66">
        <f t="shared" si="78"/>
        <v>0</v>
      </c>
      <c r="O143" s="66">
        <f t="shared" si="78"/>
        <v>184000</v>
      </c>
      <c r="P143" s="66">
        <f>SUM(P144:P157)</f>
        <v>0</v>
      </c>
      <c r="Q143" s="66">
        <f>SUM(Q144:Q157)</f>
        <v>184000</v>
      </c>
    </row>
    <row r="144" spans="1:17" s="22" customFormat="1" ht="36">
      <c r="A144" s="71"/>
      <c r="B144" s="67"/>
      <c r="C144" s="71">
        <v>2820</v>
      </c>
      <c r="D144" s="34" t="s">
        <v>253</v>
      </c>
      <c r="E144" s="66">
        <v>10000</v>
      </c>
      <c r="F144" s="66"/>
      <c r="G144" s="66">
        <f t="shared" si="62"/>
        <v>10000</v>
      </c>
      <c r="H144" s="66"/>
      <c r="I144" s="66">
        <f aca="true" t="shared" si="79" ref="I144:I156">SUM(G144:H144)</f>
        <v>10000</v>
      </c>
      <c r="J144" s="66"/>
      <c r="K144" s="66">
        <f aca="true" t="shared" si="80" ref="K144:K157">SUM(I144:J144)</f>
        <v>10000</v>
      </c>
      <c r="L144" s="66"/>
      <c r="M144" s="66">
        <f aca="true" t="shared" si="81" ref="M144:M157">SUM(K144:L144)</f>
        <v>10000</v>
      </c>
      <c r="N144" s="66"/>
      <c r="O144" s="66">
        <f aca="true" t="shared" si="82" ref="O144:O157">SUM(M144:N144)</f>
        <v>10000</v>
      </c>
      <c r="P144" s="66"/>
      <c r="Q144" s="66">
        <f aca="true" t="shared" si="83" ref="Q144:Q157">SUM(O144:P144)</f>
        <v>10000</v>
      </c>
    </row>
    <row r="145" spans="1:17" s="22" customFormat="1" ht="24" customHeight="1">
      <c r="A145" s="71"/>
      <c r="B145" s="67"/>
      <c r="C145" s="71">
        <v>3020</v>
      </c>
      <c r="D145" s="34" t="s">
        <v>196</v>
      </c>
      <c r="E145" s="66">
        <v>19350</v>
      </c>
      <c r="F145" s="66"/>
      <c r="G145" s="66">
        <f t="shared" si="62"/>
        <v>19350</v>
      </c>
      <c r="H145" s="66"/>
      <c r="I145" s="66">
        <f t="shared" si="79"/>
        <v>19350</v>
      </c>
      <c r="J145" s="66"/>
      <c r="K145" s="66">
        <f t="shared" si="80"/>
        <v>19350</v>
      </c>
      <c r="L145" s="66"/>
      <c r="M145" s="66">
        <f t="shared" si="81"/>
        <v>19350</v>
      </c>
      <c r="N145" s="66"/>
      <c r="O145" s="66">
        <f t="shared" si="82"/>
        <v>19350</v>
      </c>
      <c r="P145" s="66"/>
      <c r="Q145" s="66">
        <f t="shared" si="83"/>
        <v>19350</v>
      </c>
    </row>
    <row r="146" spans="1:17" s="22" customFormat="1" ht="21" customHeight="1">
      <c r="A146" s="71"/>
      <c r="B146" s="67"/>
      <c r="C146" s="71">
        <v>3030</v>
      </c>
      <c r="D146" s="34" t="s">
        <v>91</v>
      </c>
      <c r="E146" s="66">
        <v>15000</v>
      </c>
      <c r="F146" s="66"/>
      <c r="G146" s="66">
        <f t="shared" si="62"/>
        <v>15000</v>
      </c>
      <c r="H146" s="66"/>
      <c r="I146" s="66">
        <f t="shared" si="79"/>
        <v>15000</v>
      </c>
      <c r="J146" s="66"/>
      <c r="K146" s="66">
        <f t="shared" si="80"/>
        <v>15000</v>
      </c>
      <c r="L146" s="66"/>
      <c r="M146" s="66">
        <f t="shared" si="81"/>
        <v>15000</v>
      </c>
      <c r="N146" s="66"/>
      <c r="O146" s="66">
        <f t="shared" si="82"/>
        <v>15000</v>
      </c>
      <c r="P146" s="66"/>
      <c r="Q146" s="66">
        <f t="shared" si="83"/>
        <v>15000</v>
      </c>
    </row>
    <row r="147" spans="1:19" s="22" customFormat="1" ht="21" customHeight="1">
      <c r="A147" s="71"/>
      <c r="B147" s="67"/>
      <c r="C147" s="71">
        <v>4110</v>
      </c>
      <c r="D147" s="34" t="s">
        <v>88</v>
      </c>
      <c r="E147" s="66">
        <v>4550</v>
      </c>
      <c r="F147" s="66"/>
      <c r="G147" s="66">
        <f t="shared" si="62"/>
        <v>4550</v>
      </c>
      <c r="H147" s="66"/>
      <c r="I147" s="66">
        <f t="shared" si="79"/>
        <v>4550</v>
      </c>
      <c r="J147" s="66"/>
      <c r="K147" s="66">
        <f t="shared" si="80"/>
        <v>4550</v>
      </c>
      <c r="L147" s="66"/>
      <c r="M147" s="66">
        <f t="shared" si="81"/>
        <v>4550</v>
      </c>
      <c r="N147" s="66"/>
      <c r="O147" s="66">
        <f t="shared" si="82"/>
        <v>4550</v>
      </c>
      <c r="P147" s="66"/>
      <c r="Q147" s="66">
        <f t="shared" si="83"/>
        <v>4550</v>
      </c>
      <c r="R147" s="97"/>
      <c r="S147" s="97"/>
    </row>
    <row r="148" spans="1:19" s="22" customFormat="1" ht="21" customHeight="1">
      <c r="A148" s="71"/>
      <c r="B148" s="67"/>
      <c r="C148" s="71">
        <v>4120</v>
      </c>
      <c r="D148" s="34" t="s">
        <v>224</v>
      </c>
      <c r="E148" s="66">
        <v>700</v>
      </c>
      <c r="F148" s="66"/>
      <c r="G148" s="66">
        <f t="shared" si="62"/>
        <v>700</v>
      </c>
      <c r="H148" s="66"/>
      <c r="I148" s="66">
        <f t="shared" si="79"/>
        <v>700</v>
      </c>
      <c r="J148" s="66"/>
      <c r="K148" s="66">
        <f t="shared" si="80"/>
        <v>700</v>
      </c>
      <c r="L148" s="66"/>
      <c r="M148" s="66">
        <f t="shared" si="81"/>
        <v>700</v>
      </c>
      <c r="N148" s="66"/>
      <c r="O148" s="66">
        <f t="shared" si="82"/>
        <v>700</v>
      </c>
      <c r="P148" s="66"/>
      <c r="Q148" s="66">
        <f t="shared" si="83"/>
        <v>700</v>
      </c>
      <c r="R148" s="97"/>
      <c r="S148" s="97"/>
    </row>
    <row r="149" spans="1:19" s="22" customFormat="1" ht="21" customHeight="1">
      <c r="A149" s="71"/>
      <c r="B149" s="67"/>
      <c r="C149" s="52">
        <v>4170</v>
      </c>
      <c r="D149" s="34" t="s">
        <v>198</v>
      </c>
      <c r="E149" s="66">
        <v>28500</v>
      </c>
      <c r="F149" s="66"/>
      <c r="G149" s="66">
        <f t="shared" si="62"/>
        <v>28500</v>
      </c>
      <c r="H149" s="66"/>
      <c r="I149" s="66">
        <f t="shared" si="79"/>
        <v>28500</v>
      </c>
      <c r="J149" s="66"/>
      <c r="K149" s="66">
        <f t="shared" si="80"/>
        <v>28500</v>
      </c>
      <c r="L149" s="66"/>
      <c r="M149" s="66">
        <f t="shared" si="81"/>
        <v>28500</v>
      </c>
      <c r="N149" s="66"/>
      <c r="O149" s="66">
        <f t="shared" si="82"/>
        <v>28500</v>
      </c>
      <c r="P149" s="66"/>
      <c r="Q149" s="66">
        <f t="shared" si="83"/>
        <v>28500</v>
      </c>
      <c r="R149" s="97"/>
      <c r="S149" s="97"/>
    </row>
    <row r="150" spans="1:17" s="22" customFormat="1" ht="21" customHeight="1">
      <c r="A150" s="71"/>
      <c r="B150" s="67"/>
      <c r="C150" s="52">
        <v>4210</v>
      </c>
      <c r="D150" s="34" t="s">
        <v>94</v>
      </c>
      <c r="E150" s="66">
        <f>9000+43500</f>
        <v>52500</v>
      </c>
      <c r="F150" s="66"/>
      <c r="G150" s="66">
        <f t="shared" si="62"/>
        <v>52500</v>
      </c>
      <c r="H150" s="66"/>
      <c r="I150" s="66">
        <f t="shared" si="79"/>
        <v>52500</v>
      </c>
      <c r="J150" s="66">
        <v>-170</v>
      </c>
      <c r="K150" s="66">
        <f t="shared" si="80"/>
        <v>52330</v>
      </c>
      <c r="L150" s="66"/>
      <c r="M150" s="66">
        <f t="shared" si="81"/>
        <v>52330</v>
      </c>
      <c r="N150" s="66"/>
      <c r="O150" s="66">
        <f t="shared" si="82"/>
        <v>52330</v>
      </c>
      <c r="P150" s="66"/>
      <c r="Q150" s="66">
        <f t="shared" si="83"/>
        <v>52330</v>
      </c>
    </row>
    <row r="151" spans="1:17" s="22" customFormat="1" ht="21" customHeight="1">
      <c r="A151" s="71"/>
      <c r="B151" s="67"/>
      <c r="C151" s="52">
        <v>4260</v>
      </c>
      <c r="D151" s="34" t="s">
        <v>97</v>
      </c>
      <c r="E151" s="66">
        <v>15000</v>
      </c>
      <c r="F151" s="66"/>
      <c r="G151" s="66">
        <f t="shared" si="62"/>
        <v>15000</v>
      </c>
      <c r="H151" s="66"/>
      <c r="I151" s="66">
        <f t="shared" si="79"/>
        <v>15000</v>
      </c>
      <c r="J151" s="66"/>
      <c r="K151" s="66">
        <f t="shared" si="80"/>
        <v>15000</v>
      </c>
      <c r="L151" s="66"/>
      <c r="M151" s="66">
        <f t="shared" si="81"/>
        <v>15000</v>
      </c>
      <c r="N151" s="66"/>
      <c r="O151" s="66">
        <f t="shared" si="82"/>
        <v>15000</v>
      </c>
      <c r="P151" s="66"/>
      <c r="Q151" s="66">
        <f t="shared" si="83"/>
        <v>15000</v>
      </c>
    </row>
    <row r="152" spans="1:17" s="22" customFormat="1" ht="21" customHeight="1">
      <c r="A152" s="71"/>
      <c r="B152" s="67"/>
      <c r="C152" s="52">
        <v>4270</v>
      </c>
      <c r="D152" s="34" t="s">
        <v>80</v>
      </c>
      <c r="E152" s="66">
        <v>13000</v>
      </c>
      <c r="F152" s="66"/>
      <c r="G152" s="66">
        <f t="shared" si="62"/>
        <v>13000</v>
      </c>
      <c r="H152" s="66"/>
      <c r="I152" s="66">
        <f t="shared" si="79"/>
        <v>13000</v>
      </c>
      <c r="J152" s="66"/>
      <c r="K152" s="66">
        <f t="shared" si="80"/>
        <v>13000</v>
      </c>
      <c r="L152" s="66"/>
      <c r="M152" s="66">
        <f t="shared" si="81"/>
        <v>13000</v>
      </c>
      <c r="N152" s="66"/>
      <c r="O152" s="66">
        <f t="shared" si="82"/>
        <v>13000</v>
      </c>
      <c r="P152" s="66"/>
      <c r="Q152" s="66">
        <f t="shared" si="83"/>
        <v>13000</v>
      </c>
    </row>
    <row r="153" spans="1:17" s="22" customFormat="1" ht="21" customHeight="1">
      <c r="A153" s="71"/>
      <c r="B153" s="67"/>
      <c r="C153" s="52">
        <v>4280</v>
      </c>
      <c r="D153" s="34" t="s">
        <v>223</v>
      </c>
      <c r="E153" s="66">
        <v>6000</v>
      </c>
      <c r="F153" s="66"/>
      <c r="G153" s="66">
        <f t="shared" si="62"/>
        <v>6000</v>
      </c>
      <c r="H153" s="66"/>
      <c r="I153" s="66">
        <f t="shared" si="79"/>
        <v>6000</v>
      </c>
      <c r="J153" s="66"/>
      <c r="K153" s="66">
        <f t="shared" si="80"/>
        <v>6000</v>
      </c>
      <c r="L153" s="66"/>
      <c r="M153" s="66">
        <f t="shared" si="81"/>
        <v>6000</v>
      </c>
      <c r="N153" s="66"/>
      <c r="O153" s="66">
        <f t="shared" si="82"/>
        <v>6000</v>
      </c>
      <c r="P153" s="66"/>
      <c r="Q153" s="66">
        <f t="shared" si="83"/>
        <v>6000</v>
      </c>
    </row>
    <row r="154" spans="1:17" s="22" customFormat="1" ht="21" customHeight="1">
      <c r="A154" s="71"/>
      <c r="B154" s="67"/>
      <c r="C154" s="52">
        <v>4300</v>
      </c>
      <c r="D154" s="34" t="s">
        <v>81</v>
      </c>
      <c r="E154" s="66">
        <v>5400</v>
      </c>
      <c r="F154" s="66"/>
      <c r="G154" s="66">
        <f t="shared" si="62"/>
        <v>5400</v>
      </c>
      <c r="H154" s="66"/>
      <c r="I154" s="66">
        <f t="shared" si="79"/>
        <v>5400</v>
      </c>
      <c r="J154" s="66"/>
      <c r="K154" s="66">
        <f t="shared" si="80"/>
        <v>5400</v>
      </c>
      <c r="L154" s="66"/>
      <c r="M154" s="66">
        <f t="shared" si="81"/>
        <v>5400</v>
      </c>
      <c r="N154" s="66"/>
      <c r="O154" s="66">
        <f t="shared" si="82"/>
        <v>5400</v>
      </c>
      <c r="P154" s="66"/>
      <c r="Q154" s="66">
        <f t="shared" si="83"/>
        <v>5400</v>
      </c>
    </row>
    <row r="155" spans="1:17" s="22" customFormat="1" ht="21" customHeight="1">
      <c r="A155" s="71"/>
      <c r="B155" s="67"/>
      <c r="C155" s="52">
        <v>4410</v>
      </c>
      <c r="D155" s="34" t="s">
        <v>92</v>
      </c>
      <c r="E155" s="66">
        <v>4000</v>
      </c>
      <c r="F155" s="66"/>
      <c r="G155" s="66">
        <f t="shared" si="62"/>
        <v>4000</v>
      </c>
      <c r="H155" s="66"/>
      <c r="I155" s="66">
        <f t="shared" si="79"/>
        <v>4000</v>
      </c>
      <c r="J155" s="66"/>
      <c r="K155" s="66">
        <f t="shared" si="80"/>
        <v>4000</v>
      </c>
      <c r="L155" s="66"/>
      <c r="M155" s="66">
        <f t="shared" si="81"/>
        <v>4000</v>
      </c>
      <c r="N155" s="66"/>
      <c r="O155" s="66">
        <f t="shared" si="82"/>
        <v>4000</v>
      </c>
      <c r="P155" s="66"/>
      <c r="Q155" s="66">
        <f t="shared" si="83"/>
        <v>4000</v>
      </c>
    </row>
    <row r="156" spans="1:17" s="22" customFormat="1" ht="21" customHeight="1">
      <c r="A156" s="71"/>
      <c r="B156" s="67"/>
      <c r="C156" s="52">
        <v>4430</v>
      </c>
      <c r="D156" s="34" t="s">
        <v>96</v>
      </c>
      <c r="E156" s="66">
        <v>10000</v>
      </c>
      <c r="F156" s="66"/>
      <c r="G156" s="66">
        <f t="shared" si="62"/>
        <v>10000</v>
      </c>
      <c r="H156" s="66"/>
      <c r="I156" s="66">
        <f t="shared" si="79"/>
        <v>10000</v>
      </c>
      <c r="J156" s="66"/>
      <c r="K156" s="66">
        <f t="shared" si="80"/>
        <v>10000</v>
      </c>
      <c r="L156" s="66"/>
      <c r="M156" s="66">
        <f t="shared" si="81"/>
        <v>10000</v>
      </c>
      <c r="N156" s="66"/>
      <c r="O156" s="66">
        <f t="shared" si="82"/>
        <v>10000</v>
      </c>
      <c r="P156" s="66"/>
      <c r="Q156" s="66">
        <f t="shared" si="83"/>
        <v>10000</v>
      </c>
    </row>
    <row r="157" spans="1:17" s="22" customFormat="1" ht="24" customHeight="1">
      <c r="A157" s="71"/>
      <c r="B157" s="67"/>
      <c r="C157" s="52">
        <v>6050</v>
      </c>
      <c r="D157" s="12" t="s">
        <v>75</v>
      </c>
      <c r="E157" s="66"/>
      <c r="F157" s="66"/>
      <c r="G157" s="66"/>
      <c r="H157" s="66"/>
      <c r="I157" s="66">
        <v>0</v>
      </c>
      <c r="J157" s="66">
        <v>170</v>
      </c>
      <c r="K157" s="66">
        <f t="shared" si="80"/>
        <v>170</v>
      </c>
      <c r="L157" s="66"/>
      <c r="M157" s="66">
        <f t="shared" si="81"/>
        <v>170</v>
      </c>
      <c r="N157" s="66"/>
      <c r="O157" s="66">
        <f t="shared" si="82"/>
        <v>170</v>
      </c>
      <c r="P157" s="66"/>
      <c r="Q157" s="66">
        <f t="shared" si="83"/>
        <v>170</v>
      </c>
    </row>
    <row r="158" spans="1:17" s="22" customFormat="1" ht="21" customHeight="1">
      <c r="A158" s="71"/>
      <c r="B158" s="67">
        <v>75416</v>
      </c>
      <c r="C158" s="71"/>
      <c r="D158" s="34" t="s">
        <v>25</v>
      </c>
      <c r="E158" s="66">
        <f aca="true" t="shared" si="84" ref="E158:K158">SUM(E159:E175)</f>
        <v>259253</v>
      </c>
      <c r="F158" s="66">
        <f t="shared" si="84"/>
        <v>0</v>
      </c>
      <c r="G158" s="66">
        <f t="shared" si="84"/>
        <v>259253</v>
      </c>
      <c r="H158" s="66">
        <f t="shared" si="84"/>
        <v>0</v>
      </c>
      <c r="I158" s="66">
        <f t="shared" si="84"/>
        <v>259253</v>
      </c>
      <c r="J158" s="66">
        <f t="shared" si="84"/>
        <v>0</v>
      </c>
      <c r="K158" s="66">
        <f t="shared" si="84"/>
        <v>259253</v>
      </c>
      <c r="L158" s="66">
        <f aca="true" t="shared" si="85" ref="L158:Q158">SUM(L159:L175)</f>
        <v>0</v>
      </c>
      <c r="M158" s="66">
        <f t="shared" si="85"/>
        <v>259253</v>
      </c>
      <c r="N158" s="66">
        <f t="shared" si="85"/>
        <v>0</v>
      </c>
      <c r="O158" s="66">
        <f t="shared" si="85"/>
        <v>259253</v>
      </c>
      <c r="P158" s="66">
        <f t="shared" si="85"/>
        <v>0</v>
      </c>
      <c r="Q158" s="66">
        <f t="shared" si="85"/>
        <v>259253</v>
      </c>
    </row>
    <row r="159" spans="1:17" s="22" customFormat="1" ht="27.75" customHeight="1">
      <c r="A159" s="71"/>
      <c r="B159" s="67"/>
      <c r="C159" s="52">
        <v>3020</v>
      </c>
      <c r="D159" s="34" t="s">
        <v>196</v>
      </c>
      <c r="E159" s="66">
        <v>6045</v>
      </c>
      <c r="F159" s="66"/>
      <c r="G159" s="66">
        <f t="shared" si="62"/>
        <v>6045</v>
      </c>
      <c r="H159" s="66"/>
      <c r="I159" s="66">
        <f aca="true" t="shared" si="86" ref="I159:I175">SUM(G159:H159)</f>
        <v>6045</v>
      </c>
      <c r="J159" s="66"/>
      <c r="K159" s="66">
        <f aca="true" t="shared" si="87" ref="K159:K175">SUM(I159:J159)</f>
        <v>6045</v>
      </c>
      <c r="L159" s="66"/>
      <c r="M159" s="66">
        <f aca="true" t="shared" si="88" ref="M159:M175">SUM(K159:L159)</f>
        <v>6045</v>
      </c>
      <c r="N159" s="66"/>
      <c r="O159" s="66">
        <f aca="true" t="shared" si="89" ref="O159:O175">SUM(M159:N159)</f>
        <v>6045</v>
      </c>
      <c r="P159" s="66"/>
      <c r="Q159" s="66">
        <f aca="true" t="shared" si="90" ref="Q159:Q175">SUM(O159:P159)</f>
        <v>6045</v>
      </c>
    </row>
    <row r="160" spans="1:19" s="22" customFormat="1" ht="21" customHeight="1">
      <c r="A160" s="71"/>
      <c r="B160" s="67"/>
      <c r="C160" s="52">
        <v>4010</v>
      </c>
      <c r="D160" s="34" t="s">
        <v>86</v>
      </c>
      <c r="E160" s="66">
        <v>176055</v>
      </c>
      <c r="F160" s="66"/>
      <c r="G160" s="66">
        <f t="shared" si="62"/>
        <v>176055</v>
      </c>
      <c r="H160" s="66"/>
      <c r="I160" s="66">
        <f t="shared" si="86"/>
        <v>176055</v>
      </c>
      <c r="J160" s="66"/>
      <c r="K160" s="66">
        <f t="shared" si="87"/>
        <v>176055</v>
      </c>
      <c r="L160" s="66"/>
      <c r="M160" s="66">
        <f t="shared" si="88"/>
        <v>176055</v>
      </c>
      <c r="N160" s="66"/>
      <c r="O160" s="66">
        <f t="shared" si="89"/>
        <v>176055</v>
      </c>
      <c r="P160" s="66"/>
      <c r="Q160" s="66">
        <f t="shared" si="90"/>
        <v>176055</v>
      </c>
      <c r="R160" s="97"/>
      <c r="S160" s="97"/>
    </row>
    <row r="161" spans="1:19" s="22" customFormat="1" ht="21" customHeight="1">
      <c r="A161" s="71"/>
      <c r="B161" s="67"/>
      <c r="C161" s="52">
        <v>4040</v>
      </c>
      <c r="D161" s="34" t="s">
        <v>87</v>
      </c>
      <c r="E161" s="66">
        <v>10000</v>
      </c>
      <c r="F161" s="66"/>
      <c r="G161" s="66">
        <f t="shared" si="62"/>
        <v>10000</v>
      </c>
      <c r="H161" s="66"/>
      <c r="I161" s="66">
        <f t="shared" si="86"/>
        <v>10000</v>
      </c>
      <c r="J161" s="66"/>
      <c r="K161" s="66">
        <f t="shared" si="87"/>
        <v>10000</v>
      </c>
      <c r="L161" s="66"/>
      <c r="M161" s="66">
        <f t="shared" si="88"/>
        <v>10000</v>
      </c>
      <c r="N161" s="66"/>
      <c r="O161" s="66">
        <f t="shared" si="89"/>
        <v>10000</v>
      </c>
      <c r="P161" s="66"/>
      <c r="Q161" s="66">
        <f t="shared" si="90"/>
        <v>10000</v>
      </c>
      <c r="R161" s="97"/>
      <c r="S161" s="97"/>
    </row>
    <row r="162" spans="1:19" s="22" customFormat="1" ht="21" customHeight="1">
      <c r="A162" s="71"/>
      <c r="B162" s="67"/>
      <c r="C162" s="52">
        <v>4110</v>
      </c>
      <c r="D162" s="34" t="s">
        <v>88</v>
      </c>
      <c r="E162" s="66">
        <v>28487</v>
      </c>
      <c r="F162" s="66"/>
      <c r="G162" s="66">
        <f t="shared" si="62"/>
        <v>28487</v>
      </c>
      <c r="H162" s="66"/>
      <c r="I162" s="66">
        <f t="shared" si="86"/>
        <v>28487</v>
      </c>
      <c r="J162" s="66"/>
      <c r="K162" s="66">
        <f t="shared" si="87"/>
        <v>28487</v>
      </c>
      <c r="L162" s="66"/>
      <c r="M162" s="66">
        <f t="shared" si="88"/>
        <v>28487</v>
      </c>
      <c r="N162" s="66"/>
      <c r="O162" s="66">
        <f t="shared" si="89"/>
        <v>28487</v>
      </c>
      <c r="P162" s="66"/>
      <c r="Q162" s="66">
        <f t="shared" si="90"/>
        <v>28487</v>
      </c>
      <c r="R162" s="97"/>
      <c r="S162" s="97"/>
    </row>
    <row r="163" spans="1:19" s="22" customFormat="1" ht="21" customHeight="1">
      <c r="A163" s="71"/>
      <c r="B163" s="67"/>
      <c r="C163" s="52">
        <v>4120</v>
      </c>
      <c r="D163" s="34" t="s">
        <v>89</v>
      </c>
      <c r="E163" s="66">
        <v>4491</v>
      </c>
      <c r="F163" s="66"/>
      <c r="G163" s="66">
        <f t="shared" si="62"/>
        <v>4491</v>
      </c>
      <c r="H163" s="66"/>
      <c r="I163" s="66">
        <f t="shared" si="86"/>
        <v>4491</v>
      </c>
      <c r="J163" s="66"/>
      <c r="K163" s="66">
        <f t="shared" si="87"/>
        <v>4491</v>
      </c>
      <c r="L163" s="66"/>
      <c r="M163" s="66">
        <f t="shared" si="88"/>
        <v>4491</v>
      </c>
      <c r="N163" s="66"/>
      <c r="O163" s="66">
        <f t="shared" si="89"/>
        <v>4491</v>
      </c>
      <c r="P163" s="66"/>
      <c r="Q163" s="66">
        <f t="shared" si="90"/>
        <v>4491</v>
      </c>
      <c r="R163" s="97"/>
      <c r="S163" s="97"/>
    </row>
    <row r="164" spans="1:17" s="22" customFormat="1" ht="21" customHeight="1">
      <c r="A164" s="71"/>
      <c r="B164" s="67"/>
      <c r="C164" s="52">
        <v>4210</v>
      </c>
      <c r="D164" s="34" t="s">
        <v>94</v>
      </c>
      <c r="E164" s="66">
        <v>12900</v>
      </c>
      <c r="F164" s="66"/>
      <c r="G164" s="66">
        <f t="shared" si="62"/>
        <v>12900</v>
      </c>
      <c r="H164" s="66"/>
      <c r="I164" s="66">
        <f t="shared" si="86"/>
        <v>12900</v>
      </c>
      <c r="J164" s="66"/>
      <c r="K164" s="66">
        <f t="shared" si="87"/>
        <v>12900</v>
      </c>
      <c r="L164" s="66"/>
      <c r="M164" s="66">
        <f t="shared" si="88"/>
        <v>12900</v>
      </c>
      <c r="N164" s="66"/>
      <c r="O164" s="66">
        <f t="shared" si="89"/>
        <v>12900</v>
      </c>
      <c r="P164" s="66"/>
      <c r="Q164" s="66">
        <f t="shared" si="90"/>
        <v>12900</v>
      </c>
    </row>
    <row r="165" spans="1:17" s="22" customFormat="1" ht="21" customHeight="1">
      <c r="A165" s="71"/>
      <c r="B165" s="67"/>
      <c r="C165" s="52">
        <v>4270</v>
      </c>
      <c r="D165" s="34" t="s">
        <v>80</v>
      </c>
      <c r="E165" s="66">
        <v>2000</v>
      </c>
      <c r="F165" s="66"/>
      <c r="G165" s="66">
        <f t="shared" si="62"/>
        <v>2000</v>
      </c>
      <c r="H165" s="66"/>
      <c r="I165" s="66">
        <f t="shared" si="86"/>
        <v>2000</v>
      </c>
      <c r="J165" s="66"/>
      <c r="K165" s="66">
        <f t="shared" si="87"/>
        <v>2000</v>
      </c>
      <c r="L165" s="66"/>
      <c r="M165" s="66">
        <f t="shared" si="88"/>
        <v>2000</v>
      </c>
      <c r="N165" s="66"/>
      <c r="O165" s="66">
        <f t="shared" si="89"/>
        <v>2000</v>
      </c>
      <c r="P165" s="66"/>
      <c r="Q165" s="66">
        <f t="shared" si="90"/>
        <v>2000</v>
      </c>
    </row>
    <row r="166" spans="1:17" s="22" customFormat="1" ht="21" customHeight="1">
      <c r="A166" s="71"/>
      <c r="B166" s="67"/>
      <c r="C166" s="52">
        <v>4280</v>
      </c>
      <c r="D166" s="34" t="s">
        <v>223</v>
      </c>
      <c r="E166" s="66">
        <v>1200</v>
      </c>
      <c r="F166" s="66"/>
      <c r="G166" s="66">
        <f t="shared" si="62"/>
        <v>1200</v>
      </c>
      <c r="H166" s="66"/>
      <c r="I166" s="66">
        <f t="shared" si="86"/>
        <v>1200</v>
      </c>
      <c r="J166" s="66"/>
      <c r="K166" s="66">
        <f t="shared" si="87"/>
        <v>1200</v>
      </c>
      <c r="L166" s="66"/>
      <c r="M166" s="66">
        <f t="shared" si="88"/>
        <v>1200</v>
      </c>
      <c r="N166" s="66"/>
      <c r="O166" s="66">
        <f t="shared" si="89"/>
        <v>1200</v>
      </c>
      <c r="P166" s="66"/>
      <c r="Q166" s="66">
        <f t="shared" si="90"/>
        <v>1200</v>
      </c>
    </row>
    <row r="167" spans="1:17" s="22" customFormat="1" ht="21" customHeight="1">
      <c r="A167" s="71"/>
      <c r="B167" s="67"/>
      <c r="C167" s="52">
        <v>4300</v>
      </c>
      <c r="D167" s="34" t="s">
        <v>81</v>
      </c>
      <c r="E167" s="66">
        <v>3000</v>
      </c>
      <c r="F167" s="66"/>
      <c r="G167" s="66">
        <f t="shared" si="62"/>
        <v>3000</v>
      </c>
      <c r="H167" s="66"/>
      <c r="I167" s="66">
        <f t="shared" si="86"/>
        <v>3000</v>
      </c>
      <c r="J167" s="66"/>
      <c r="K167" s="66">
        <f t="shared" si="87"/>
        <v>3000</v>
      </c>
      <c r="L167" s="66"/>
      <c r="M167" s="66">
        <f t="shared" si="88"/>
        <v>3000</v>
      </c>
      <c r="N167" s="66"/>
      <c r="O167" s="66">
        <f t="shared" si="89"/>
        <v>3000</v>
      </c>
      <c r="P167" s="66"/>
      <c r="Q167" s="66">
        <f t="shared" si="90"/>
        <v>3000</v>
      </c>
    </row>
    <row r="168" spans="1:17" s="22" customFormat="1" ht="24">
      <c r="A168" s="71"/>
      <c r="B168" s="67"/>
      <c r="C168" s="52">
        <v>4360</v>
      </c>
      <c r="D168" s="34" t="s">
        <v>234</v>
      </c>
      <c r="E168" s="66">
        <v>1800</v>
      </c>
      <c r="F168" s="66"/>
      <c r="G168" s="66">
        <f t="shared" si="62"/>
        <v>1800</v>
      </c>
      <c r="H168" s="66"/>
      <c r="I168" s="66">
        <f t="shared" si="86"/>
        <v>1800</v>
      </c>
      <c r="J168" s="66"/>
      <c r="K168" s="66">
        <f t="shared" si="87"/>
        <v>1800</v>
      </c>
      <c r="L168" s="66"/>
      <c r="M168" s="66">
        <f t="shared" si="88"/>
        <v>1800</v>
      </c>
      <c r="N168" s="66"/>
      <c r="O168" s="66">
        <f t="shared" si="89"/>
        <v>1800</v>
      </c>
      <c r="P168" s="66"/>
      <c r="Q168" s="66">
        <f t="shared" si="90"/>
        <v>1800</v>
      </c>
    </row>
    <row r="169" spans="1:17" s="22" customFormat="1" ht="24">
      <c r="A169" s="71"/>
      <c r="B169" s="67"/>
      <c r="C169" s="52">
        <v>4400</v>
      </c>
      <c r="D169" s="34" t="s">
        <v>238</v>
      </c>
      <c r="E169" s="66">
        <v>1000</v>
      </c>
      <c r="F169" s="66"/>
      <c r="G169" s="66">
        <f t="shared" si="62"/>
        <v>1000</v>
      </c>
      <c r="H169" s="66"/>
      <c r="I169" s="66">
        <f t="shared" si="86"/>
        <v>1000</v>
      </c>
      <c r="J169" s="66">
        <v>-96</v>
      </c>
      <c r="K169" s="66">
        <f t="shared" si="87"/>
        <v>904</v>
      </c>
      <c r="L169" s="66"/>
      <c r="M169" s="66">
        <f t="shared" si="88"/>
        <v>904</v>
      </c>
      <c r="N169" s="66"/>
      <c r="O169" s="66">
        <f t="shared" si="89"/>
        <v>904</v>
      </c>
      <c r="P169" s="66"/>
      <c r="Q169" s="66">
        <f t="shared" si="90"/>
        <v>904</v>
      </c>
    </row>
    <row r="170" spans="1:17" s="22" customFormat="1" ht="21" customHeight="1">
      <c r="A170" s="71"/>
      <c r="B170" s="67"/>
      <c r="C170" s="52">
        <v>4410</v>
      </c>
      <c r="D170" s="34" t="s">
        <v>92</v>
      </c>
      <c r="E170" s="66">
        <v>1200</v>
      </c>
      <c r="F170" s="66"/>
      <c r="G170" s="66">
        <f t="shared" si="62"/>
        <v>1200</v>
      </c>
      <c r="H170" s="66"/>
      <c r="I170" s="66">
        <f t="shared" si="86"/>
        <v>1200</v>
      </c>
      <c r="J170" s="66"/>
      <c r="K170" s="66">
        <f t="shared" si="87"/>
        <v>1200</v>
      </c>
      <c r="L170" s="66"/>
      <c r="M170" s="66">
        <f t="shared" si="88"/>
        <v>1200</v>
      </c>
      <c r="N170" s="66"/>
      <c r="O170" s="66">
        <f t="shared" si="89"/>
        <v>1200</v>
      </c>
      <c r="P170" s="66"/>
      <c r="Q170" s="66">
        <f t="shared" si="90"/>
        <v>1200</v>
      </c>
    </row>
    <row r="171" spans="1:17" s="22" customFormat="1" ht="21" customHeight="1">
      <c r="A171" s="71"/>
      <c r="B171" s="67"/>
      <c r="C171" s="55">
        <v>4430</v>
      </c>
      <c r="D171" s="34" t="s">
        <v>96</v>
      </c>
      <c r="E171" s="66">
        <v>3500</v>
      </c>
      <c r="F171" s="66"/>
      <c r="G171" s="66">
        <f t="shared" si="62"/>
        <v>3500</v>
      </c>
      <c r="H171" s="66"/>
      <c r="I171" s="66">
        <f t="shared" si="86"/>
        <v>3500</v>
      </c>
      <c r="J171" s="66"/>
      <c r="K171" s="66">
        <f t="shared" si="87"/>
        <v>3500</v>
      </c>
      <c r="L171" s="66"/>
      <c r="M171" s="66">
        <f t="shared" si="88"/>
        <v>3500</v>
      </c>
      <c r="N171" s="66"/>
      <c r="O171" s="66">
        <f t="shared" si="89"/>
        <v>3500</v>
      </c>
      <c r="P171" s="66"/>
      <c r="Q171" s="66">
        <f t="shared" si="90"/>
        <v>3500</v>
      </c>
    </row>
    <row r="172" spans="1:17" s="22" customFormat="1" ht="21" customHeight="1">
      <c r="A172" s="71"/>
      <c r="B172" s="67"/>
      <c r="C172" s="55">
        <v>4440</v>
      </c>
      <c r="D172" s="34" t="s">
        <v>90</v>
      </c>
      <c r="E172" s="66">
        <v>4875</v>
      </c>
      <c r="F172" s="66"/>
      <c r="G172" s="66">
        <f t="shared" si="62"/>
        <v>4875</v>
      </c>
      <c r="H172" s="66"/>
      <c r="I172" s="66">
        <f t="shared" si="86"/>
        <v>4875</v>
      </c>
      <c r="J172" s="66"/>
      <c r="K172" s="66">
        <f t="shared" si="87"/>
        <v>4875</v>
      </c>
      <c r="L172" s="66"/>
      <c r="M172" s="66">
        <f t="shared" si="88"/>
        <v>4875</v>
      </c>
      <c r="N172" s="66"/>
      <c r="O172" s="66">
        <f t="shared" si="89"/>
        <v>4875</v>
      </c>
      <c r="P172" s="66"/>
      <c r="Q172" s="66">
        <f t="shared" si="90"/>
        <v>4875</v>
      </c>
    </row>
    <row r="173" spans="1:17" s="22" customFormat="1" ht="21" customHeight="1">
      <c r="A173" s="71"/>
      <c r="B173" s="67"/>
      <c r="C173" s="55">
        <v>4510</v>
      </c>
      <c r="D173" s="34" t="s">
        <v>147</v>
      </c>
      <c r="E173" s="66">
        <v>200</v>
      </c>
      <c r="F173" s="66"/>
      <c r="G173" s="66">
        <f t="shared" si="62"/>
        <v>200</v>
      </c>
      <c r="H173" s="66"/>
      <c r="I173" s="66">
        <f t="shared" si="86"/>
        <v>200</v>
      </c>
      <c r="J173" s="66"/>
      <c r="K173" s="66">
        <f t="shared" si="87"/>
        <v>200</v>
      </c>
      <c r="L173" s="66"/>
      <c r="M173" s="66">
        <f t="shared" si="88"/>
        <v>200</v>
      </c>
      <c r="N173" s="66"/>
      <c r="O173" s="66">
        <f t="shared" si="89"/>
        <v>200</v>
      </c>
      <c r="P173" s="66"/>
      <c r="Q173" s="66">
        <f t="shared" si="90"/>
        <v>200</v>
      </c>
    </row>
    <row r="174" spans="1:17" s="22" customFormat="1" ht="21" customHeight="1">
      <c r="A174" s="71"/>
      <c r="B174" s="67"/>
      <c r="C174" s="55">
        <v>4580</v>
      </c>
      <c r="D174" s="34" t="s">
        <v>11</v>
      </c>
      <c r="E174" s="66"/>
      <c r="F174" s="66"/>
      <c r="G174" s="66"/>
      <c r="H174" s="66"/>
      <c r="I174" s="66">
        <v>0</v>
      </c>
      <c r="J174" s="66">
        <v>96</v>
      </c>
      <c r="K174" s="66">
        <f t="shared" si="87"/>
        <v>96</v>
      </c>
      <c r="L174" s="66"/>
      <c r="M174" s="66">
        <f t="shared" si="88"/>
        <v>96</v>
      </c>
      <c r="N174" s="66"/>
      <c r="O174" s="66">
        <f t="shared" si="89"/>
        <v>96</v>
      </c>
      <c r="P174" s="66"/>
      <c r="Q174" s="66">
        <f t="shared" si="90"/>
        <v>96</v>
      </c>
    </row>
    <row r="175" spans="1:17" s="22" customFormat="1" ht="24">
      <c r="A175" s="71"/>
      <c r="B175" s="67"/>
      <c r="C175" s="55">
        <v>4700</v>
      </c>
      <c r="D175" s="34" t="s">
        <v>246</v>
      </c>
      <c r="E175" s="66">
        <v>2500</v>
      </c>
      <c r="F175" s="66"/>
      <c r="G175" s="66">
        <f t="shared" si="62"/>
        <v>2500</v>
      </c>
      <c r="H175" s="66"/>
      <c r="I175" s="66">
        <f t="shared" si="86"/>
        <v>2500</v>
      </c>
      <c r="J175" s="66"/>
      <c r="K175" s="66">
        <f t="shared" si="87"/>
        <v>2500</v>
      </c>
      <c r="L175" s="66"/>
      <c r="M175" s="66">
        <f t="shared" si="88"/>
        <v>2500</v>
      </c>
      <c r="N175" s="66"/>
      <c r="O175" s="66">
        <f t="shared" si="89"/>
        <v>2500</v>
      </c>
      <c r="P175" s="66"/>
      <c r="Q175" s="66">
        <f t="shared" si="90"/>
        <v>2500</v>
      </c>
    </row>
    <row r="176" spans="1:17" s="22" customFormat="1" ht="21" customHeight="1">
      <c r="A176" s="71"/>
      <c r="B176" s="67" t="s">
        <v>103</v>
      </c>
      <c r="C176" s="71"/>
      <c r="D176" s="34" t="s">
        <v>6</v>
      </c>
      <c r="E176" s="66">
        <f aca="true" t="shared" si="91" ref="E176:K176">SUM(E177:E178)</f>
        <v>5000</v>
      </c>
      <c r="F176" s="66">
        <f t="shared" si="91"/>
        <v>150000</v>
      </c>
      <c r="G176" s="66">
        <f t="shared" si="91"/>
        <v>155000</v>
      </c>
      <c r="H176" s="66">
        <f t="shared" si="91"/>
        <v>0</v>
      </c>
      <c r="I176" s="66">
        <f t="shared" si="91"/>
        <v>155000</v>
      </c>
      <c r="J176" s="66">
        <f t="shared" si="91"/>
        <v>0</v>
      </c>
      <c r="K176" s="66">
        <f t="shared" si="91"/>
        <v>155000</v>
      </c>
      <c r="L176" s="66">
        <f aca="true" t="shared" si="92" ref="L176:Q176">SUM(L177:L178)</f>
        <v>0</v>
      </c>
      <c r="M176" s="66">
        <f t="shared" si="92"/>
        <v>155000</v>
      </c>
      <c r="N176" s="66">
        <f t="shared" si="92"/>
        <v>0</v>
      </c>
      <c r="O176" s="66">
        <f t="shared" si="92"/>
        <v>155000</v>
      </c>
      <c r="P176" s="66">
        <f t="shared" si="92"/>
        <v>0</v>
      </c>
      <c r="Q176" s="66">
        <f t="shared" si="92"/>
        <v>155000</v>
      </c>
    </row>
    <row r="177" spans="1:17" s="22" customFormat="1" ht="21" customHeight="1">
      <c r="A177" s="71"/>
      <c r="B177" s="67"/>
      <c r="C177" s="55">
        <v>4430</v>
      </c>
      <c r="D177" s="34" t="s">
        <v>96</v>
      </c>
      <c r="E177" s="66">
        <v>5000</v>
      </c>
      <c r="F177" s="66"/>
      <c r="G177" s="66">
        <f t="shared" si="62"/>
        <v>5000</v>
      </c>
      <c r="H177" s="66"/>
      <c r="I177" s="66">
        <f>SUM(G177:H177)</f>
        <v>5000</v>
      </c>
      <c r="J177" s="66"/>
      <c r="K177" s="66">
        <f>SUM(I177:J177)</f>
        <v>5000</v>
      </c>
      <c r="L177" s="66"/>
      <c r="M177" s="66">
        <f>SUM(K177:L177)</f>
        <v>5000</v>
      </c>
      <c r="N177" s="66"/>
      <c r="O177" s="66">
        <f>SUM(M177:N177)</f>
        <v>5000</v>
      </c>
      <c r="P177" s="66"/>
      <c r="Q177" s="66">
        <f>SUM(O177:P177)</f>
        <v>5000</v>
      </c>
    </row>
    <row r="178" spans="1:17" s="22" customFormat="1" ht="26.25" customHeight="1">
      <c r="A178" s="71"/>
      <c r="B178" s="67"/>
      <c r="C178" s="55">
        <v>6050</v>
      </c>
      <c r="D178" s="12" t="s">
        <v>75</v>
      </c>
      <c r="E178" s="66">
        <v>0</v>
      </c>
      <c r="F178" s="66">
        <v>150000</v>
      </c>
      <c r="G178" s="66">
        <f t="shared" si="62"/>
        <v>150000</v>
      </c>
      <c r="H178" s="66"/>
      <c r="I178" s="66">
        <f>SUM(G178:H178)</f>
        <v>150000</v>
      </c>
      <c r="J178" s="66"/>
      <c r="K178" s="66">
        <f>SUM(I178:J178)</f>
        <v>150000</v>
      </c>
      <c r="L178" s="66"/>
      <c r="M178" s="66">
        <f>SUM(K178:L178)</f>
        <v>150000</v>
      </c>
      <c r="N178" s="66"/>
      <c r="O178" s="66">
        <f>SUM(M178:N178)</f>
        <v>150000</v>
      </c>
      <c r="P178" s="66"/>
      <c r="Q178" s="66">
        <f>SUM(O178:P178)</f>
        <v>150000</v>
      </c>
    </row>
    <row r="179" spans="1:17" s="35" customFormat="1" ht="60">
      <c r="A179" s="31">
        <v>756</v>
      </c>
      <c r="B179" s="46"/>
      <c r="C179" s="45"/>
      <c r="D179" s="32" t="s">
        <v>249</v>
      </c>
      <c r="E179" s="33">
        <f aca="true" t="shared" si="93" ref="E179:Q179">SUM(E180)</f>
        <v>109900</v>
      </c>
      <c r="F179" s="33">
        <f t="shared" si="93"/>
        <v>0</v>
      </c>
      <c r="G179" s="33">
        <f t="shared" si="93"/>
        <v>109900</v>
      </c>
      <c r="H179" s="33">
        <f t="shared" si="93"/>
        <v>0</v>
      </c>
      <c r="I179" s="33">
        <f t="shared" si="93"/>
        <v>109900</v>
      </c>
      <c r="J179" s="33">
        <f t="shared" si="93"/>
        <v>0</v>
      </c>
      <c r="K179" s="33">
        <f t="shared" si="93"/>
        <v>109900</v>
      </c>
      <c r="L179" s="33">
        <f t="shared" si="93"/>
        <v>0</v>
      </c>
      <c r="M179" s="33">
        <f t="shared" si="93"/>
        <v>109900</v>
      </c>
      <c r="N179" s="33">
        <f t="shared" si="93"/>
        <v>0</v>
      </c>
      <c r="O179" s="33">
        <f t="shared" si="93"/>
        <v>109900</v>
      </c>
      <c r="P179" s="33">
        <f t="shared" si="93"/>
        <v>0</v>
      </c>
      <c r="Q179" s="33">
        <f t="shared" si="93"/>
        <v>109900</v>
      </c>
    </row>
    <row r="180" spans="1:17" s="22" customFormat="1" ht="25.5" customHeight="1">
      <c r="A180" s="71"/>
      <c r="B180" s="67">
        <v>75647</v>
      </c>
      <c r="C180" s="55"/>
      <c r="D180" s="34" t="s">
        <v>183</v>
      </c>
      <c r="E180" s="66">
        <f aca="true" t="shared" si="94" ref="E180:K180">SUM(E181:E188)</f>
        <v>109900</v>
      </c>
      <c r="F180" s="66">
        <f t="shared" si="94"/>
        <v>0</v>
      </c>
      <c r="G180" s="66">
        <f t="shared" si="94"/>
        <v>109900</v>
      </c>
      <c r="H180" s="66">
        <f t="shared" si="94"/>
        <v>0</v>
      </c>
      <c r="I180" s="66">
        <f t="shared" si="94"/>
        <v>109900</v>
      </c>
      <c r="J180" s="66">
        <f t="shared" si="94"/>
        <v>0</v>
      </c>
      <c r="K180" s="66">
        <f t="shared" si="94"/>
        <v>109900</v>
      </c>
      <c r="L180" s="66">
        <f aca="true" t="shared" si="95" ref="L180:Q180">SUM(L181:L188)</f>
        <v>0</v>
      </c>
      <c r="M180" s="66">
        <f t="shared" si="95"/>
        <v>109900</v>
      </c>
      <c r="N180" s="66">
        <f t="shared" si="95"/>
        <v>0</v>
      </c>
      <c r="O180" s="66">
        <f t="shared" si="95"/>
        <v>109900</v>
      </c>
      <c r="P180" s="66">
        <f t="shared" si="95"/>
        <v>0</v>
      </c>
      <c r="Q180" s="66">
        <f t="shared" si="95"/>
        <v>109900</v>
      </c>
    </row>
    <row r="181" spans="1:19" s="22" customFormat="1" ht="21" customHeight="1">
      <c r="A181" s="71"/>
      <c r="B181" s="67"/>
      <c r="C181" s="55">
        <v>4100</v>
      </c>
      <c r="D181" s="34" t="s">
        <v>99</v>
      </c>
      <c r="E181" s="66">
        <v>40000</v>
      </c>
      <c r="F181" s="66"/>
      <c r="G181" s="66">
        <f t="shared" si="62"/>
        <v>40000</v>
      </c>
      <c r="H181" s="66"/>
      <c r="I181" s="66">
        <f aca="true" t="shared" si="96" ref="I181:I188">SUM(G181:H181)</f>
        <v>40000</v>
      </c>
      <c r="J181" s="66"/>
      <c r="K181" s="66">
        <f aca="true" t="shared" si="97" ref="K181:K188">SUM(I181:J181)</f>
        <v>40000</v>
      </c>
      <c r="L181" s="66"/>
      <c r="M181" s="66">
        <f aca="true" t="shared" si="98" ref="M181:M188">SUM(K181:L181)</f>
        <v>40000</v>
      </c>
      <c r="N181" s="66"/>
      <c r="O181" s="66">
        <f aca="true" t="shared" si="99" ref="O181:O188">SUM(M181:N181)</f>
        <v>40000</v>
      </c>
      <c r="P181" s="66"/>
      <c r="Q181" s="66">
        <f aca="true" t="shared" si="100" ref="Q181:Q188">SUM(O181:P181)</f>
        <v>40000</v>
      </c>
      <c r="R181" s="97"/>
      <c r="S181" s="97"/>
    </row>
    <row r="182" spans="1:19" s="22" customFormat="1" ht="21" customHeight="1">
      <c r="A182" s="71"/>
      <c r="B182" s="67"/>
      <c r="C182" s="55">
        <v>4170</v>
      </c>
      <c r="D182" s="34" t="s">
        <v>198</v>
      </c>
      <c r="E182" s="66">
        <v>5000</v>
      </c>
      <c r="F182" s="66"/>
      <c r="G182" s="66">
        <f t="shared" si="62"/>
        <v>5000</v>
      </c>
      <c r="H182" s="66"/>
      <c r="I182" s="66">
        <f t="shared" si="96"/>
        <v>5000</v>
      </c>
      <c r="J182" s="66"/>
      <c r="K182" s="66">
        <f t="shared" si="97"/>
        <v>5000</v>
      </c>
      <c r="L182" s="66"/>
      <c r="M182" s="66">
        <f t="shared" si="98"/>
        <v>5000</v>
      </c>
      <c r="N182" s="66"/>
      <c r="O182" s="66">
        <f t="shared" si="99"/>
        <v>5000</v>
      </c>
      <c r="P182" s="66"/>
      <c r="Q182" s="66">
        <f t="shared" si="100"/>
        <v>5000</v>
      </c>
      <c r="R182" s="97"/>
      <c r="S182" s="97"/>
    </row>
    <row r="183" spans="1:17" s="22" customFormat="1" ht="21" customHeight="1">
      <c r="A183" s="71"/>
      <c r="B183" s="67"/>
      <c r="C183" s="55">
        <v>4210</v>
      </c>
      <c r="D183" s="34" t="s">
        <v>74</v>
      </c>
      <c r="E183" s="66">
        <v>2000</v>
      </c>
      <c r="F183" s="66"/>
      <c r="G183" s="66">
        <f t="shared" si="62"/>
        <v>2000</v>
      </c>
      <c r="H183" s="66"/>
      <c r="I183" s="66">
        <f t="shared" si="96"/>
        <v>2000</v>
      </c>
      <c r="J183" s="66"/>
      <c r="K183" s="66">
        <f t="shared" si="97"/>
        <v>2000</v>
      </c>
      <c r="L183" s="66"/>
      <c r="M183" s="66">
        <f t="shared" si="98"/>
        <v>2000</v>
      </c>
      <c r="N183" s="66"/>
      <c r="O183" s="66">
        <f t="shared" si="99"/>
        <v>2000</v>
      </c>
      <c r="P183" s="66"/>
      <c r="Q183" s="66">
        <f t="shared" si="100"/>
        <v>2000</v>
      </c>
    </row>
    <row r="184" spans="1:17" s="22" customFormat="1" ht="21" customHeight="1">
      <c r="A184" s="71"/>
      <c r="B184" s="67"/>
      <c r="C184" s="55">
        <v>4300</v>
      </c>
      <c r="D184" s="34" t="s">
        <v>81</v>
      </c>
      <c r="E184" s="66">
        <v>20000</v>
      </c>
      <c r="F184" s="66"/>
      <c r="G184" s="66">
        <f t="shared" si="62"/>
        <v>20000</v>
      </c>
      <c r="H184" s="66"/>
      <c r="I184" s="66">
        <f t="shared" si="96"/>
        <v>20000</v>
      </c>
      <c r="J184" s="66"/>
      <c r="K184" s="66">
        <f t="shared" si="97"/>
        <v>20000</v>
      </c>
      <c r="L184" s="66"/>
      <c r="M184" s="66">
        <f t="shared" si="98"/>
        <v>20000</v>
      </c>
      <c r="N184" s="66"/>
      <c r="O184" s="66">
        <f t="shared" si="99"/>
        <v>20000</v>
      </c>
      <c r="P184" s="66"/>
      <c r="Q184" s="66">
        <f t="shared" si="100"/>
        <v>20000</v>
      </c>
    </row>
    <row r="185" spans="1:17" s="22" customFormat="1" ht="21" customHeight="1">
      <c r="A185" s="71"/>
      <c r="B185" s="67"/>
      <c r="C185" s="55">
        <v>4430</v>
      </c>
      <c r="D185" s="34" t="s">
        <v>96</v>
      </c>
      <c r="E185" s="66">
        <v>4900</v>
      </c>
      <c r="F185" s="66"/>
      <c r="G185" s="66">
        <f t="shared" si="62"/>
        <v>4900</v>
      </c>
      <c r="H185" s="66"/>
      <c r="I185" s="66">
        <f t="shared" si="96"/>
        <v>4900</v>
      </c>
      <c r="J185" s="66"/>
      <c r="K185" s="66">
        <f t="shared" si="97"/>
        <v>4900</v>
      </c>
      <c r="L185" s="66"/>
      <c r="M185" s="66">
        <f t="shared" si="98"/>
        <v>4900</v>
      </c>
      <c r="N185" s="66"/>
      <c r="O185" s="66">
        <f t="shared" si="99"/>
        <v>4900</v>
      </c>
      <c r="P185" s="66"/>
      <c r="Q185" s="66">
        <f t="shared" si="100"/>
        <v>4900</v>
      </c>
    </row>
    <row r="186" spans="1:17" s="22" customFormat="1" ht="24">
      <c r="A186" s="71"/>
      <c r="B186" s="67"/>
      <c r="C186" s="55">
        <v>4610</v>
      </c>
      <c r="D186" s="34" t="s">
        <v>185</v>
      </c>
      <c r="E186" s="66">
        <f>24000+10000</f>
        <v>34000</v>
      </c>
      <c r="F186" s="66"/>
      <c r="G186" s="66">
        <f t="shared" si="62"/>
        <v>34000</v>
      </c>
      <c r="H186" s="66"/>
      <c r="I186" s="66">
        <f t="shared" si="96"/>
        <v>34000</v>
      </c>
      <c r="J186" s="66"/>
      <c r="K186" s="66">
        <f t="shared" si="97"/>
        <v>34000</v>
      </c>
      <c r="L186" s="66"/>
      <c r="M186" s="66">
        <f t="shared" si="98"/>
        <v>34000</v>
      </c>
      <c r="N186" s="66"/>
      <c r="O186" s="66">
        <f t="shared" si="99"/>
        <v>34000</v>
      </c>
      <c r="P186" s="66"/>
      <c r="Q186" s="66">
        <f t="shared" si="100"/>
        <v>34000</v>
      </c>
    </row>
    <row r="187" spans="1:17" s="22" customFormat="1" ht="26.25" customHeight="1">
      <c r="A187" s="71"/>
      <c r="B187" s="67"/>
      <c r="C187" s="55">
        <v>4740</v>
      </c>
      <c r="D187" s="34" t="s">
        <v>232</v>
      </c>
      <c r="E187" s="66">
        <v>2000</v>
      </c>
      <c r="F187" s="66"/>
      <c r="G187" s="66">
        <f t="shared" si="62"/>
        <v>2000</v>
      </c>
      <c r="H187" s="66"/>
      <c r="I187" s="66">
        <f t="shared" si="96"/>
        <v>2000</v>
      </c>
      <c r="J187" s="66"/>
      <c r="K187" s="66">
        <f t="shared" si="97"/>
        <v>2000</v>
      </c>
      <c r="L187" s="66"/>
      <c r="M187" s="66">
        <f t="shared" si="98"/>
        <v>2000</v>
      </c>
      <c r="N187" s="66"/>
      <c r="O187" s="66">
        <f t="shared" si="99"/>
        <v>2000</v>
      </c>
      <c r="P187" s="66"/>
      <c r="Q187" s="66">
        <f t="shared" si="100"/>
        <v>2000</v>
      </c>
    </row>
    <row r="188" spans="1:17" s="22" customFormat="1" ht="24">
      <c r="A188" s="71"/>
      <c r="B188" s="67"/>
      <c r="C188" s="55">
        <v>4750</v>
      </c>
      <c r="D188" s="34" t="s">
        <v>233</v>
      </c>
      <c r="E188" s="66">
        <v>2000</v>
      </c>
      <c r="F188" s="66"/>
      <c r="G188" s="66">
        <f t="shared" si="62"/>
        <v>2000</v>
      </c>
      <c r="H188" s="66"/>
      <c r="I188" s="66">
        <f t="shared" si="96"/>
        <v>2000</v>
      </c>
      <c r="J188" s="66"/>
      <c r="K188" s="66">
        <f t="shared" si="97"/>
        <v>2000</v>
      </c>
      <c r="L188" s="66"/>
      <c r="M188" s="66">
        <f t="shared" si="98"/>
        <v>2000</v>
      </c>
      <c r="N188" s="66"/>
      <c r="O188" s="66">
        <f t="shared" si="99"/>
        <v>2000</v>
      </c>
      <c r="P188" s="66"/>
      <c r="Q188" s="66">
        <f t="shared" si="100"/>
        <v>2000</v>
      </c>
    </row>
    <row r="189" spans="1:17" s="5" customFormat="1" ht="21.75" customHeight="1">
      <c r="A189" s="29" t="s">
        <v>104</v>
      </c>
      <c r="B189" s="30"/>
      <c r="C189" s="31"/>
      <c r="D189" s="32" t="s">
        <v>105</v>
      </c>
      <c r="E189" s="33">
        <f aca="true" t="shared" si="101" ref="E189:Q189">SUM(E190)</f>
        <v>356637</v>
      </c>
      <c r="F189" s="33">
        <f t="shared" si="101"/>
        <v>0</v>
      </c>
      <c r="G189" s="33">
        <f t="shared" si="101"/>
        <v>356637</v>
      </c>
      <c r="H189" s="33">
        <f t="shared" si="101"/>
        <v>0</v>
      </c>
      <c r="I189" s="33">
        <f t="shared" si="101"/>
        <v>356637</v>
      </c>
      <c r="J189" s="33">
        <f t="shared" si="101"/>
        <v>0</v>
      </c>
      <c r="K189" s="33">
        <f t="shared" si="101"/>
        <v>356637</v>
      </c>
      <c r="L189" s="33">
        <f t="shared" si="101"/>
        <v>0</v>
      </c>
      <c r="M189" s="33">
        <f t="shared" si="101"/>
        <v>356637</v>
      </c>
      <c r="N189" s="33">
        <f t="shared" si="101"/>
        <v>0</v>
      </c>
      <c r="O189" s="33">
        <f t="shared" si="101"/>
        <v>356637</v>
      </c>
      <c r="P189" s="33">
        <f t="shared" si="101"/>
        <v>0</v>
      </c>
      <c r="Q189" s="33">
        <f t="shared" si="101"/>
        <v>356637</v>
      </c>
    </row>
    <row r="190" spans="1:17" s="22" customFormat="1" ht="36">
      <c r="A190" s="52"/>
      <c r="B190" s="67" t="s">
        <v>106</v>
      </c>
      <c r="C190" s="71"/>
      <c r="D190" s="34" t="s">
        <v>107</v>
      </c>
      <c r="E190" s="66">
        <f aca="true" t="shared" si="102" ref="E190:Q190">SUM(E191:E191)</f>
        <v>356637</v>
      </c>
      <c r="F190" s="66">
        <f t="shared" si="102"/>
        <v>0</v>
      </c>
      <c r="G190" s="66">
        <f t="shared" si="102"/>
        <v>356637</v>
      </c>
      <c r="H190" s="66">
        <f t="shared" si="102"/>
        <v>0</v>
      </c>
      <c r="I190" s="66">
        <f t="shared" si="102"/>
        <v>356637</v>
      </c>
      <c r="J190" s="66">
        <f t="shared" si="102"/>
        <v>0</v>
      </c>
      <c r="K190" s="66">
        <f t="shared" si="102"/>
        <v>356637</v>
      </c>
      <c r="L190" s="66">
        <f t="shared" si="102"/>
        <v>0</v>
      </c>
      <c r="M190" s="66">
        <f t="shared" si="102"/>
        <v>356637</v>
      </c>
      <c r="N190" s="66">
        <f t="shared" si="102"/>
        <v>0</v>
      </c>
      <c r="O190" s="66">
        <f t="shared" si="102"/>
        <v>356637</v>
      </c>
      <c r="P190" s="66">
        <f t="shared" si="102"/>
        <v>0</v>
      </c>
      <c r="Q190" s="66">
        <f t="shared" si="102"/>
        <v>356637</v>
      </c>
    </row>
    <row r="191" spans="1:17" s="22" customFormat="1" ht="49.5" customHeight="1">
      <c r="A191" s="52"/>
      <c r="B191" s="72"/>
      <c r="C191" s="71">
        <v>8070</v>
      </c>
      <c r="D191" s="34" t="s">
        <v>254</v>
      </c>
      <c r="E191" s="66">
        <v>356637</v>
      </c>
      <c r="F191" s="66"/>
      <c r="G191" s="66">
        <f t="shared" si="62"/>
        <v>356637</v>
      </c>
      <c r="H191" s="66"/>
      <c r="I191" s="66">
        <f>SUM(G191:H191)</f>
        <v>356637</v>
      </c>
      <c r="J191" s="66"/>
      <c r="K191" s="66">
        <f>SUM(I191:J191)</f>
        <v>356637</v>
      </c>
      <c r="L191" s="66"/>
      <c r="M191" s="66">
        <f>SUM(K191:L191)</f>
        <v>356637</v>
      </c>
      <c r="N191" s="66"/>
      <c r="O191" s="66">
        <f>SUM(M191:N191)</f>
        <v>356637</v>
      </c>
      <c r="P191" s="66"/>
      <c r="Q191" s="66">
        <f>SUM(O191:P191)</f>
        <v>356637</v>
      </c>
    </row>
    <row r="192" spans="1:17" s="5" customFormat="1" ht="21" customHeight="1">
      <c r="A192" s="29" t="s">
        <v>46</v>
      </c>
      <c r="B192" s="30"/>
      <c r="C192" s="31"/>
      <c r="D192" s="32" t="s">
        <v>47</v>
      </c>
      <c r="E192" s="33">
        <f aca="true" t="shared" si="103" ref="E192:Q192">SUM(E193)</f>
        <v>1167300</v>
      </c>
      <c r="F192" s="33">
        <f t="shared" si="103"/>
        <v>1050000</v>
      </c>
      <c r="G192" s="33">
        <f t="shared" si="103"/>
        <v>2217300</v>
      </c>
      <c r="H192" s="33">
        <f t="shared" si="103"/>
        <v>-511010</v>
      </c>
      <c r="I192" s="33">
        <f t="shared" si="103"/>
        <v>1706290</v>
      </c>
      <c r="J192" s="33">
        <f t="shared" si="103"/>
        <v>-599645</v>
      </c>
      <c r="K192" s="33">
        <f t="shared" si="103"/>
        <v>1106645</v>
      </c>
      <c r="L192" s="33">
        <f t="shared" si="103"/>
        <v>0</v>
      </c>
      <c r="M192" s="33">
        <f t="shared" si="103"/>
        <v>1106645</v>
      </c>
      <c r="N192" s="33">
        <f t="shared" si="103"/>
        <v>0</v>
      </c>
      <c r="O192" s="33">
        <f t="shared" si="103"/>
        <v>1106645</v>
      </c>
      <c r="P192" s="33">
        <f t="shared" si="103"/>
        <v>0</v>
      </c>
      <c r="Q192" s="33">
        <f t="shared" si="103"/>
        <v>1106645</v>
      </c>
    </row>
    <row r="193" spans="1:17" s="22" customFormat="1" ht="21" customHeight="1">
      <c r="A193" s="52"/>
      <c r="B193" s="67" t="s">
        <v>108</v>
      </c>
      <c r="C193" s="71"/>
      <c r="D193" s="34" t="s">
        <v>109</v>
      </c>
      <c r="E193" s="66">
        <f aca="true" t="shared" si="104" ref="E193:K193">SUM(E194:E195)</f>
        <v>1167300</v>
      </c>
      <c r="F193" s="66">
        <f t="shared" si="104"/>
        <v>1050000</v>
      </c>
      <c r="G193" s="66">
        <f t="shared" si="104"/>
        <v>2217300</v>
      </c>
      <c r="H193" s="66">
        <f t="shared" si="104"/>
        <v>-511010</v>
      </c>
      <c r="I193" s="66">
        <f t="shared" si="104"/>
        <v>1706290</v>
      </c>
      <c r="J193" s="66">
        <f t="shared" si="104"/>
        <v>-599645</v>
      </c>
      <c r="K193" s="66">
        <f t="shared" si="104"/>
        <v>1106645</v>
      </c>
      <c r="L193" s="66">
        <f aca="true" t="shared" si="105" ref="L193:Q193">SUM(L194:L195)</f>
        <v>0</v>
      </c>
      <c r="M193" s="66">
        <f t="shared" si="105"/>
        <v>1106645</v>
      </c>
      <c r="N193" s="66">
        <f t="shared" si="105"/>
        <v>0</v>
      </c>
      <c r="O193" s="66">
        <f t="shared" si="105"/>
        <v>1106645</v>
      </c>
      <c r="P193" s="66">
        <f t="shared" si="105"/>
        <v>0</v>
      </c>
      <c r="Q193" s="66">
        <f t="shared" si="105"/>
        <v>1106645</v>
      </c>
    </row>
    <row r="194" spans="1:17" s="22" customFormat="1" ht="21" customHeight="1">
      <c r="A194" s="52"/>
      <c r="B194" s="72"/>
      <c r="C194" s="71">
        <v>4810</v>
      </c>
      <c r="D194" s="34" t="s">
        <v>110</v>
      </c>
      <c r="E194" s="66">
        <f>68800+48500+200000+300000</f>
        <v>617300</v>
      </c>
      <c r="F194" s="66">
        <f>100000+60000+10000+65000+5000+300000+190000</f>
        <v>730000</v>
      </c>
      <c r="G194" s="66">
        <f t="shared" si="62"/>
        <v>1347300</v>
      </c>
      <c r="H194" s="66">
        <f>-58190-5820-447000</f>
        <v>-511010</v>
      </c>
      <c r="I194" s="66">
        <f>SUM(G194:H194)</f>
        <v>836290</v>
      </c>
      <c r="J194" s="66">
        <f>-175597+24400-119-329-148000</f>
        <v>-299645</v>
      </c>
      <c r="K194" s="66">
        <f>SUM(I194:J194)</f>
        <v>536645</v>
      </c>
      <c r="L194" s="66"/>
      <c r="M194" s="66">
        <f>SUM(K194:L194)</f>
        <v>536645</v>
      </c>
      <c r="N194" s="66"/>
      <c r="O194" s="66">
        <f>SUM(M194:N194)</f>
        <v>536645</v>
      </c>
      <c r="P194" s="66"/>
      <c r="Q194" s="66">
        <f>SUM(O194:P194)</f>
        <v>536645</v>
      </c>
    </row>
    <row r="195" spans="1:17" s="22" customFormat="1" ht="24">
      <c r="A195" s="52"/>
      <c r="B195" s="72"/>
      <c r="C195" s="71">
        <v>6800</v>
      </c>
      <c r="D195" s="34" t="s">
        <v>251</v>
      </c>
      <c r="E195" s="66">
        <f>150000+400000</f>
        <v>550000</v>
      </c>
      <c r="F195" s="66">
        <f>300000+20000</f>
        <v>320000</v>
      </c>
      <c r="G195" s="66">
        <f t="shared" si="62"/>
        <v>870000</v>
      </c>
      <c r="H195" s="66"/>
      <c r="I195" s="66">
        <f>SUM(G195:H195)</f>
        <v>870000</v>
      </c>
      <c r="J195" s="66">
        <v>-300000</v>
      </c>
      <c r="K195" s="66">
        <f>SUM(I195:J195)</f>
        <v>570000</v>
      </c>
      <c r="L195" s="66"/>
      <c r="M195" s="66">
        <f>SUM(K195:L195)</f>
        <v>570000</v>
      </c>
      <c r="N195" s="66"/>
      <c r="O195" s="66">
        <f>SUM(M195:N195)</f>
        <v>570000</v>
      </c>
      <c r="P195" s="66"/>
      <c r="Q195" s="66">
        <f>SUM(O195:P195)</f>
        <v>570000</v>
      </c>
    </row>
    <row r="196" spans="1:17" s="6" customFormat="1" ht="20.25" customHeight="1">
      <c r="A196" s="29" t="s">
        <v>111</v>
      </c>
      <c r="B196" s="30"/>
      <c r="C196" s="31"/>
      <c r="D196" s="32" t="s">
        <v>112</v>
      </c>
      <c r="E196" s="33">
        <f aca="true" t="shared" si="106" ref="E196:K196">SUM(E197,E224,E238,E242,E268,E275,E280,E291)</f>
        <v>27468430</v>
      </c>
      <c r="F196" s="33">
        <f t="shared" si="106"/>
        <v>-1600000</v>
      </c>
      <c r="G196" s="33">
        <f t="shared" si="106"/>
        <v>25868430</v>
      </c>
      <c r="H196" s="33">
        <f t="shared" si="106"/>
        <v>0</v>
      </c>
      <c r="I196" s="33">
        <f t="shared" si="106"/>
        <v>25868430</v>
      </c>
      <c r="J196" s="33">
        <f t="shared" si="106"/>
        <v>125888</v>
      </c>
      <c r="K196" s="33">
        <f t="shared" si="106"/>
        <v>25994318</v>
      </c>
      <c r="L196" s="33">
        <f aca="true" t="shared" si="107" ref="L196:Q196">SUM(L197,L224,L238,L242,L268,L275,L280,L291)</f>
        <v>0</v>
      </c>
      <c r="M196" s="33">
        <f t="shared" si="107"/>
        <v>25994318</v>
      </c>
      <c r="N196" s="33">
        <f t="shared" si="107"/>
        <v>0</v>
      </c>
      <c r="O196" s="33">
        <f t="shared" si="107"/>
        <v>25994318</v>
      </c>
      <c r="P196" s="33">
        <f t="shared" si="107"/>
        <v>0</v>
      </c>
      <c r="Q196" s="33">
        <f t="shared" si="107"/>
        <v>25994318</v>
      </c>
    </row>
    <row r="197" spans="1:17" s="22" customFormat="1" ht="22.5" customHeight="1">
      <c r="A197" s="52"/>
      <c r="B197" s="67" t="s">
        <v>113</v>
      </c>
      <c r="C197" s="71"/>
      <c r="D197" s="34" t="s">
        <v>52</v>
      </c>
      <c r="E197" s="66">
        <f aca="true" t="shared" si="108" ref="E197:K197">SUM(E198:E223)</f>
        <v>13620346</v>
      </c>
      <c r="F197" s="66">
        <f t="shared" si="108"/>
        <v>-1200000</v>
      </c>
      <c r="G197" s="66">
        <f t="shared" si="108"/>
        <v>12420346</v>
      </c>
      <c r="H197" s="66">
        <f t="shared" si="108"/>
        <v>0</v>
      </c>
      <c r="I197" s="66">
        <f t="shared" si="108"/>
        <v>12420346</v>
      </c>
      <c r="J197" s="66">
        <f t="shared" si="108"/>
        <v>82287</v>
      </c>
      <c r="K197" s="66">
        <f t="shared" si="108"/>
        <v>12502633</v>
      </c>
      <c r="L197" s="66">
        <f aca="true" t="shared" si="109" ref="L197:Q197">SUM(L198:L223)</f>
        <v>0</v>
      </c>
      <c r="M197" s="66">
        <f t="shared" si="109"/>
        <v>12502633</v>
      </c>
      <c r="N197" s="66">
        <f t="shared" si="109"/>
        <v>0</v>
      </c>
      <c r="O197" s="66">
        <f t="shared" si="109"/>
        <v>12502633</v>
      </c>
      <c r="P197" s="66">
        <f t="shared" si="109"/>
        <v>0</v>
      </c>
      <c r="Q197" s="66">
        <f t="shared" si="109"/>
        <v>12502633</v>
      </c>
    </row>
    <row r="198" spans="1:17" s="22" customFormat="1" ht="25.5" customHeight="1">
      <c r="A198" s="52"/>
      <c r="B198" s="67"/>
      <c r="C198" s="71">
        <v>2540</v>
      </c>
      <c r="D198" s="34" t="s">
        <v>187</v>
      </c>
      <c r="E198" s="66">
        <v>447149</v>
      </c>
      <c r="F198" s="66"/>
      <c r="G198" s="66">
        <f aca="true" t="shared" si="110" ref="G198:G264">SUM(E198:F198)</f>
        <v>447149</v>
      </c>
      <c r="H198" s="66"/>
      <c r="I198" s="66">
        <f aca="true" t="shared" si="111" ref="I198:I223">SUM(G198:H198)</f>
        <v>447149</v>
      </c>
      <c r="J198" s="66"/>
      <c r="K198" s="66">
        <f aca="true" t="shared" si="112" ref="K198:K223">SUM(I198:J198)</f>
        <v>447149</v>
      </c>
      <c r="L198" s="66"/>
      <c r="M198" s="66">
        <f aca="true" t="shared" si="113" ref="M198:M223">SUM(K198:L198)</f>
        <v>447149</v>
      </c>
      <c r="N198" s="66"/>
      <c r="O198" s="66">
        <f aca="true" t="shared" si="114" ref="O198:O223">SUM(M198:N198)</f>
        <v>447149</v>
      </c>
      <c r="P198" s="66"/>
      <c r="Q198" s="66">
        <f aca="true" t="shared" si="115" ref="Q198:Q223">SUM(O198:P198)</f>
        <v>447149</v>
      </c>
    </row>
    <row r="199" spans="1:17" s="22" customFormat="1" ht="21" customHeight="1">
      <c r="A199" s="52"/>
      <c r="B199" s="67"/>
      <c r="C199" s="52">
        <v>3020</v>
      </c>
      <c r="D199" s="34" t="s">
        <v>215</v>
      </c>
      <c r="E199" s="66">
        <v>195991</v>
      </c>
      <c r="F199" s="66"/>
      <c r="G199" s="66">
        <f t="shared" si="110"/>
        <v>195991</v>
      </c>
      <c r="H199" s="66"/>
      <c r="I199" s="66">
        <f t="shared" si="111"/>
        <v>195991</v>
      </c>
      <c r="J199" s="66"/>
      <c r="K199" s="66">
        <f t="shared" si="112"/>
        <v>195991</v>
      </c>
      <c r="L199" s="66"/>
      <c r="M199" s="66">
        <f t="shared" si="113"/>
        <v>195991</v>
      </c>
      <c r="N199" s="66"/>
      <c r="O199" s="66">
        <f t="shared" si="114"/>
        <v>195991</v>
      </c>
      <c r="P199" s="66"/>
      <c r="Q199" s="66">
        <f t="shared" si="115"/>
        <v>195991</v>
      </c>
    </row>
    <row r="200" spans="1:19" s="22" customFormat="1" ht="21" customHeight="1">
      <c r="A200" s="52"/>
      <c r="B200" s="67"/>
      <c r="C200" s="52">
        <v>4010</v>
      </c>
      <c r="D200" s="34" t="s">
        <v>86</v>
      </c>
      <c r="E200" s="66">
        <v>7107101</v>
      </c>
      <c r="F200" s="66"/>
      <c r="G200" s="66">
        <f t="shared" si="110"/>
        <v>7107101</v>
      </c>
      <c r="H200" s="66"/>
      <c r="I200" s="66">
        <f t="shared" si="111"/>
        <v>7107101</v>
      </c>
      <c r="J200" s="66">
        <v>13926</v>
      </c>
      <c r="K200" s="66">
        <f t="shared" si="112"/>
        <v>7121027</v>
      </c>
      <c r="L200" s="66"/>
      <c r="M200" s="66">
        <f t="shared" si="113"/>
        <v>7121027</v>
      </c>
      <c r="N200" s="66"/>
      <c r="O200" s="66">
        <f t="shared" si="114"/>
        <v>7121027</v>
      </c>
      <c r="P200" s="66"/>
      <c r="Q200" s="66">
        <f t="shared" si="115"/>
        <v>7121027</v>
      </c>
      <c r="R200" s="97"/>
      <c r="S200" s="97"/>
    </row>
    <row r="201" spans="1:19" s="22" customFormat="1" ht="21" customHeight="1">
      <c r="A201" s="52"/>
      <c r="B201" s="67"/>
      <c r="C201" s="52">
        <v>4040</v>
      </c>
      <c r="D201" s="34" t="s">
        <v>87</v>
      </c>
      <c r="E201" s="66">
        <v>551652</v>
      </c>
      <c r="F201" s="66"/>
      <c r="G201" s="66">
        <f t="shared" si="110"/>
        <v>551652</v>
      </c>
      <c r="H201" s="66"/>
      <c r="I201" s="66">
        <f t="shared" si="111"/>
        <v>551652</v>
      </c>
      <c r="J201" s="66">
        <v>-18389</v>
      </c>
      <c r="K201" s="66">
        <f t="shared" si="112"/>
        <v>533263</v>
      </c>
      <c r="L201" s="66"/>
      <c r="M201" s="66">
        <f t="shared" si="113"/>
        <v>533263</v>
      </c>
      <c r="N201" s="66"/>
      <c r="O201" s="66">
        <f t="shared" si="114"/>
        <v>533263</v>
      </c>
      <c r="P201" s="66"/>
      <c r="Q201" s="66">
        <f t="shared" si="115"/>
        <v>533263</v>
      </c>
      <c r="R201" s="97"/>
      <c r="S201" s="97"/>
    </row>
    <row r="202" spans="1:19" s="22" customFormat="1" ht="21" customHeight="1">
      <c r="A202" s="52"/>
      <c r="B202" s="67"/>
      <c r="C202" s="52">
        <v>4110</v>
      </c>
      <c r="D202" s="34" t="s">
        <v>88</v>
      </c>
      <c r="E202" s="66">
        <v>1159019</v>
      </c>
      <c r="F202" s="66"/>
      <c r="G202" s="66">
        <f t="shared" si="110"/>
        <v>1159019</v>
      </c>
      <c r="H202" s="66"/>
      <c r="I202" s="66">
        <f t="shared" si="111"/>
        <v>1159019</v>
      </c>
      <c r="J202" s="66"/>
      <c r="K202" s="66">
        <f t="shared" si="112"/>
        <v>1159019</v>
      </c>
      <c r="L202" s="66"/>
      <c r="M202" s="66">
        <f t="shared" si="113"/>
        <v>1159019</v>
      </c>
      <c r="N202" s="66"/>
      <c r="O202" s="66">
        <f t="shared" si="114"/>
        <v>1159019</v>
      </c>
      <c r="P202" s="66"/>
      <c r="Q202" s="66">
        <f t="shared" si="115"/>
        <v>1159019</v>
      </c>
      <c r="R202" s="97"/>
      <c r="S202" s="97"/>
    </row>
    <row r="203" spans="1:19" s="22" customFormat="1" ht="21" customHeight="1">
      <c r="A203" s="52"/>
      <c r="B203" s="67"/>
      <c r="C203" s="52">
        <v>4120</v>
      </c>
      <c r="D203" s="34" t="s">
        <v>89</v>
      </c>
      <c r="E203" s="66">
        <v>186008</v>
      </c>
      <c r="F203" s="66"/>
      <c r="G203" s="66">
        <f t="shared" si="110"/>
        <v>186008</v>
      </c>
      <c r="H203" s="66"/>
      <c r="I203" s="66">
        <f t="shared" si="111"/>
        <v>186008</v>
      </c>
      <c r="J203" s="66"/>
      <c r="K203" s="66">
        <f t="shared" si="112"/>
        <v>186008</v>
      </c>
      <c r="L203" s="66"/>
      <c r="M203" s="66">
        <f t="shared" si="113"/>
        <v>186008</v>
      </c>
      <c r="N203" s="66"/>
      <c r="O203" s="66">
        <f t="shared" si="114"/>
        <v>186008</v>
      </c>
      <c r="P203" s="66"/>
      <c r="Q203" s="66">
        <f t="shared" si="115"/>
        <v>186008</v>
      </c>
      <c r="R203" s="97"/>
      <c r="S203" s="97"/>
    </row>
    <row r="204" spans="1:19" s="22" customFormat="1" ht="21" customHeight="1">
      <c r="A204" s="52"/>
      <c r="B204" s="67"/>
      <c r="C204" s="52">
        <v>4170</v>
      </c>
      <c r="D204" s="34" t="s">
        <v>198</v>
      </c>
      <c r="E204" s="66">
        <v>13100</v>
      </c>
      <c r="F204" s="66"/>
      <c r="G204" s="66">
        <f t="shared" si="110"/>
        <v>13100</v>
      </c>
      <c r="H204" s="66"/>
      <c r="I204" s="66">
        <f t="shared" si="111"/>
        <v>13100</v>
      </c>
      <c r="J204" s="66"/>
      <c r="K204" s="66">
        <f t="shared" si="112"/>
        <v>13100</v>
      </c>
      <c r="L204" s="66">
        <v>1000</v>
      </c>
      <c r="M204" s="66">
        <f t="shared" si="113"/>
        <v>14100</v>
      </c>
      <c r="N204" s="66"/>
      <c r="O204" s="66">
        <f t="shared" si="114"/>
        <v>14100</v>
      </c>
      <c r="P204" s="66"/>
      <c r="Q204" s="66">
        <f t="shared" si="115"/>
        <v>14100</v>
      </c>
      <c r="R204" s="97"/>
      <c r="S204" s="97"/>
    </row>
    <row r="205" spans="1:17" s="22" customFormat="1" ht="21" customHeight="1">
      <c r="A205" s="52"/>
      <c r="B205" s="67"/>
      <c r="C205" s="52">
        <v>4210</v>
      </c>
      <c r="D205" s="34" t="s">
        <v>94</v>
      </c>
      <c r="E205" s="66">
        <f>6800+450205</f>
        <v>457005</v>
      </c>
      <c r="F205" s="66"/>
      <c r="G205" s="66">
        <f t="shared" si="110"/>
        <v>457005</v>
      </c>
      <c r="H205" s="66"/>
      <c r="I205" s="66">
        <f t="shared" si="111"/>
        <v>457005</v>
      </c>
      <c r="J205" s="66">
        <f>1750-2700</f>
        <v>-950</v>
      </c>
      <c r="K205" s="66">
        <f t="shared" si="112"/>
        <v>456055</v>
      </c>
      <c r="L205" s="66"/>
      <c r="M205" s="66">
        <f t="shared" si="113"/>
        <v>456055</v>
      </c>
      <c r="N205" s="66">
        <v>-8704</v>
      </c>
      <c r="O205" s="66">
        <f t="shared" si="114"/>
        <v>447351</v>
      </c>
      <c r="P205" s="66"/>
      <c r="Q205" s="66">
        <f t="shared" si="115"/>
        <v>447351</v>
      </c>
    </row>
    <row r="206" spans="1:17" s="22" customFormat="1" ht="24">
      <c r="A206" s="52"/>
      <c r="B206" s="67"/>
      <c r="C206" s="71">
        <v>4230</v>
      </c>
      <c r="D206" s="34" t="s">
        <v>244</v>
      </c>
      <c r="E206" s="66">
        <v>2000</v>
      </c>
      <c r="F206" s="66"/>
      <c r="G206" s="66">
        <f t="shared" si="110"/>
        <v>2000</v>
      </c>
      <c r="H206" s="66"/>
      <c r="I206" s="66">
        <f t="shared" si="111"/>
        <v>2000</v>
      </c>
      <c r="J206" s="66"/>
      <c r="K206" s="66">
        <f t="shared" si="112"/>
        <v>2000</v>
      </c>
      <c r="L206" s="66"/>
      <c r="M206" s="66">
        <f t="shared" si="113"/>
        <v>2000</v>
      </c>
      <c r="N206" s="66"/>
      <c r="O206" s="66">
        <f t="shared" si="114"/>
        <v>2000</v>
      </c>
      <c r="P206" s="66"/>
      <c r="Q206" s="66">
        <f t="shared" si="115"/>
        <v>2000</v>
      </c>
    </row>
    <row r="207" spans="1:17" s="22" customFormat="1" ht="24">
      <c r="A207" s="52"/>
      <c r="B207" s="67"/>
      <c r="C207" s="71">
        <v>4240</v>
      </c>
      <c r="D207" s="34" t="s">
        <v>125</v>
      </c>
      <c r="E207" s="66">
        <f>500+84060</f>
        <v>84560</v>
      </c>
      <c r="F207" s="66"/>
      <c r="G207" s="66">
        <f t="shared" si="110"/>
        <v>84560</v>
      </c>
      <c r="H207" s="66"/>
      <c r="I207" s="66">
        <f t="shared" si="111"/>
        <v>84560</v>
      </c>
      <c r="J207" s="66">
        <v>1700</v>
      </c>
      <c r="K207" s="66">
        <f t="shared" si="112"/>
        <v>86260</v>
      </c>
      <c r="L207" s="66"/>
      <c r="M207" s="66">
        <f t="shared" si="113"/>
        <v>86260</v>
      </c>
      <c r="N207" s="66">
        <v>7685</v>
      </c>
      <c r="O207" s="66">
        <f t="shared" si="114"/>
        <v>93945</v>
      </c>
      <c r="P207" s="66"/>
      <c r="Q207" s="66">
        <f t="shared" si="115"/>
        <v>93945</v>
      </c>
    </row>
    <row r="208" spans="1:17" s="22" customFormat="1" ht="21" customHeight="1">
      <c r="A208" s="52"/>
      <c r="B208" s="67"/>
      <c r="C208" s="52">
        <v>4260</v>
      </c>
      <c r="D208" s="34" t="s">
        <v>97</v>
      </c>
      <c r="E208" s="66">
        <v>505430</v>
      </c>
      <c r="F208" s="66"/>
      <c r="G208" s="66">
        <f t="shared" si="110"/>
        <v>505430</v>
      </c>
      <c r="H208" s="66"/>
      <c r="I208" s="66">
        <f t="shared" si="111"/>
        <v>505430</v>
      </c>
      <c r="J208" s="66"/>
      <c r="K208" s="66">
        <f t="shared" si="112"/>
        <v>505430</v>
      </c>
      <c r="L208" s="66"/>
      <c r="M208" s="66">
        <f t="shared" si="113"/>
        <v>505430</v>
      </c>
      <c r="N208" s="66"/>
      <c r="O208" s="66">
        <f t="shared" si="114"/>
        <v>505430</v>
      </c>
      <c r="P208" s="66"/>
      <c r="Q208" s="66">
        <f t="shared" si="115"/>
        <v>505430</v>
      </c>
    </row>
    <row r="209" spans="1:17" s="22" customFormat="1" ht="21" customHeight="1">
      <c r="A209" s="52"/>
      <c r="B209" s="67"/>
      <c r="C209" s="52">
        <v>4270</v>
      </c>
      <c r="D209" s="34" t="s">
        <v>80</v>
      </c>
      <c r="E209" s="66">
        <v>153158</v>
      </c>
      <c r="F209" s="66"/>
      <c r="G209" s="66">
        <f t="shared" si="110"/>
        <v>153158</v>
      </c>
      <c r="H209" s="66"/>
      <c r="I209" s="66">
        <f t="shared" si="111"/>
        <v>153158</v>
      </c>
      <c r="J209" s="66">
        <v>85000</v>
      </c>
      <c r="K209" s="66">
        <f t="shared" si="112"/>
        <v>238158</v>
      </c>
      <c r="L209" s="66">
        <v>-1000</v>
      </c>
      <c r="M209" s="66">
        <f t="shared" si="113"/>
        <v>237158</v>
      </c>
      <c r="N209" s="66"/>
      <c r="O209" s="66">
        <f t="shared" si="114"/>
        <v>237158</v>
      </c>
      <c r="P209" s="66"/>
      <c r="Q209" s="66">
        <f t="shared" si="115"/>
        <v>237158</v>
      </c>
    </row>
    <row r="210" spans="1:17" s="22" customFormat="1" ht="21" customHeight="1">
      <c r="A210" s="52"/>
      <c r="B210" s="67"/>
      <c r="C210" s="52">
        <v>4280</v>
      </c>
      <c r="D210" s="34" t="s">
        <v>203</v>
      </c>
      <c r="E210" s="66">
        <v>18900</v>
      </c>
      <c r="F210" s="66"/>
      <c r="G210" s="66">
        <f t="shared" si="110"/>
        <v>18900</v>
      </c>
      <c r="H210" s="66"/>
      <c r="I210" s="66">
        <f t="shared" si="111"/>
        <v>18900</v>
      </c>
      <c r="J210" s="66"/>
      <c r="K210" s="66">
        <f t="shared" si="112"/>
        <v>18900</v>
      </c>
      <c r="L210" s="66"/>
      <c r="M210" s="66">
        <f t="shared" si="113"/>
        <v>18900</v>
      </c>
      <c r="N210" s="66"/>
      <c r="O210" s="66">
        <f t="shared" si="114"/>
        <v>18900</v>
      </c>
      <c r="P210" s="66"/>
      <c r="Q210" s="66">
        <f t="shared" si="115"/>
        <v>18900</v>
      </c>
    </row>
    <row r="211" spans="1:17" s="22" customFormat="1" ht="21" customHeight="1">
      <c r="A211" s="52"/>
      <c r="B211" s="67"/>
      <c r="C211" s="52">
        <v>4300</v>
      </c>
      <c r="D211" s="34" t="s">
        <v>81</v>
      </c>
      <c r="E211" s="66">
        <v>110748</v>
      </c>
      <c r="F211" s="66"/>
      <c r="G211" s="66">
        <f t="shared" si="110"/>
        <v>110748</v>
      </c>
      <c r="H211" s="66"/>
      <c r="I211" s="66">
        <f t="shared" si="111"/>
        <v>110748</v>
      </c>
      <c r="J211" s="66">
        <v>1000</v>
      </c>
      <c r="K211" s="66">
        <f t="shared" si="112"/>
        <v>111748</v>
      </c>
      <c r="L211" s="66"/>
      <c r="M211" s="66">
        <f t="shared" si="113"/>
        <v>111748</v>
      </c>
      <c r="N211" s="66">
        <v>-1000</v>
      </c>
      <c r="O211" s="66">
        <f t="shared" si="114"/>
        <v>110748</v>
      </c>
      <c r="P211" s="66"/>
      <c r="Q211" s="66">
        <f t="shared" si="115"/>
        <v>110748</v>
      </c>
    </row>
    <row r="212" spans="1:17" s="22" customFormat="1" ht="21" customHeight="1">
      <c r="A212" s="52"/>
      <c r="B212" s="67"/>
      <c r="C212" s="52">
        <v>4350</v>
      </c>
      <c r="D212" s="34" t="s">
        <v>211</v>
      </c>
      <c r="E212" s="66">
        <v>4050</v>
      </c>
      <c r="F212" s="66"/>
      <c r="G212" s="66">
        <f t="shared" si="110"/>
        <v>4050</v>
      </c>
      <c r="H212" s="66"/>
      <c r="I212" s="66">
        <f t="shared" si="111"/>
        <v>4050</v>
      </c>
      <c r="J212" s="66"/>
      <c r="K212" s="66">
        <f t="shared" si="112"/>
        <v>4050</v>
      </c>
      <c r="L212" s="66"/>
      <c r="M212" s="66">
        <f t="shared" si="113"/>
        <v>4050</v>
      </c>
      <c r="N212" s="66">
        <v>200</v>
      </c>
      <c r="O212" s="66">
        <f t="shared" si="114"/>
        <v>4250</v>
      </c>
      <c r="P212" s="66"/>
      <c r="Q212" s="66">
        <f t="shared" si="115"/>
        <v>4250</v>
      </c>
    </row>
    <row r="213" spans="1:17" s="22" customFormat="1" ht="27" customHeight="1">
      <c r="A213" s="52"/>
      <c r="B213" s="67"/>
      <c r="C213" s="52">
        <v>4360</v>
      </c>
      <c r="D213" s="34" t="s">
        <v>234</v>
      </c>
      <c r="E213" s="66"/>
      <c r="F213" s="66"/>
      <c r="G213" s="66"/>
      <c r="H213" s="66"/>
      <c r="I213" s="66">
        <v>0</v>
      </c>
      <c r="J213" s="66">
        <v>370</v>
      </c>
      <c r="K213" s="66">
        <f t="shared" si="112"/>
        <v>370</v>
      </c>
      <c r="L213" s="66"/>
      <c r="M213" s="66">
        <f t="shared" si="113"/>
        <v>370</v>
      </c>
      <c r="N213" s="66"/>
      <c r="O213" s="66">
        <f t="shared" si="114"/>
        <v>370</v>
      </c>
      <c r="P213" s="66"/>
      <c r="Q213" s="66">
        <f t="shared" si="115"/>
        <v>370</v>
      </c>
    </row>
    <row r="214" spans="1:17" s="22" customFormat="1" ht="24">
      <c r="A214" s="52"/>
      <c r="B214" s="67"/>
      <c r="C214" s="52">
        <v>4370</v>
      </c>
      <c r="D214" s="12" t="s">
        <v>231</v>
      </c>
      <c r="E214" s="66">
        <v>20770</v>
      </c>
      <c r="F214" s="66"/>
      <c r="G214" s="66">
        <f t="shared" si="110"/>
        <v>20770</v>
      </c>
      <c r="H214" s="66"/>
      <c r="I214" s="66">
        <f t="shared" si="111"/>
        <v>20770</v>
      </c>
      <c r="J214" s="66">
        <v>-370</v>
      </c>
      <c r="K214" s="66">
        <f t="shared" si="112"/>
        <v>20400</v>
      </c>
      <c r="L214" s="66"/>
      <c r="M214" s="66">
        <f t="shared" si="113"/>
        <v>20400</v>
      </c>
      <c r="N214" s="66">
        <v>1000</v>
      </c>
      <c r="O214" s="66">
        <f t="shared" si="114"/>
        <v>21400</v>
      </c>
      <c r="P214" s="66"/>
      <c r="Q214" s="66">
        <f t="shared" si="115"/>
        <v>21400</v>
      </c>
    </row>
    <row r="215" spans="1:17" s="22" customFormat="1" ht="24">
      <c r="A215" s="52"/>
      <c r="B215" s="67"/>
      <c r="C215" s="52">
        <v>4390</v>
      </c>
      <c r="D215" s="34" t="s">
        <v>256</v>
      </c>
      <c r="E215" s="66">
        <v>5400</v>
      </c>
      <c r="F215" s="66"/>
      <c r="G215" s="66">
        <f t="shared" si="110"/>
        <v>5400</v>
      </c>
      <c r="H215" s="66"/>
      <c r="I215" s="66">
        <f t="shared" si="111"/>
        <v>5400</v>
      </c>
      <c r="J215" s="66"/>
      <c r="K215" s="66">
        <f t="shared" si="112"/>
        <v>5400</v>
      </c>
      <c r="L215" s="66"/>
      <c r="M215" s="66">
        <f t="shared" si="113"/>
        <v>5400</v>
      </c>
      <c r="N215" s="66"/>
      <c r="O215" s="66">
        <f t="shared" si="114"/>
        <v>5400</v>
      </c>
      <c r="P215" s="66"/>
      <c r="Q215" s="66">
        <f t="shared" si="115"/>
        <v>5400</v>
      </c>
    </row>
    <row r="216" spans="1:17" s="22" customFormat="1" ht="21" customHeight="1">
      <c r="A216" s="52"/>
      <c r="B216" s="67"/>
      <c r="C216" s="52">
        <v>4410</v>
      </c>
      <c r="D216" s="34" t="s">
        <v>92</v>
      </c>
      <c r="E216" s="66">
        <v>18780</v>
      </c>
      <c r="F216" s="66"/>
      <c r="G216" s="66">
        <f t="shared" si="110"/>
        <v>18780</v>
      </c>
      <c r="H216" s="66"/>
      <c r="I216" s="66">
        <f t="shared" si="111"/>
        <v>18780</v>
      </c>
      <c r="J216" s="66"/>
      <c r="K216" s="66">
        <f t="shared" si="112"/>
        <v>18780</v>
      </c>
      <c r="L216" s="66"/>
      <c r="M216" s="66">
        <f t="shared" si="113"/>
        <v>18780</v>
      </c>
      <c r="N216" s="66"/>
      <c r="O216" s="66">
        <f t="shared" si="114"/>
        <v>18780</v>
      </c>
      <c r="P216" s="66"/>
      <c r="Q216" s="66">
        <f t="shared" si="115"/>
        <v>18780</v>
      </c>
    </row>
    <row r="217" spans="1:17" s="22" customFormat="1" ht="21" customHeight="1">
      <c r="A217" s="52"/>
      <c r="B217" s="67"/>
      <c r="C217" s="55">
        <v>4430</v>
      </c>
      <c r="D217" s="34" t="s">
        <v>96</v>
      </c>
      <c r="E217" s="66">
        <v>8100</v>
      </c>
      <c r="F217" s="66"/>
      <c r="G217" s="66">
        <f t="shared" si="110"/>
        <v>8100</v>
      </c>
      <c r="H217" s="66"/>
      <c r="I217" s="66">
        <f t="shared" si="111"/>
        <v>8100</v>
      </c>
      <c r="J217" s="66"/>
      <c r="K217" s="66">
        <f t="shared" si="112"/>
        <v>8100</v>
      </c>
      <c r="L217" s="66">
        <f>1270+1500+580</f>
        <v>3350</v>
      </c>
      <c r="M217" s="66">
        <f t="shared" si="113"/>
        <v>11450</v>
      </c>
      <c r="N217" s="66">
        <v>800</v>
      </c>
      <c r="O217" s="66">
        <f t="shared" si="114"/>
        <v>12250</v>
      </c>
      <c r="P217" s="66"/>
      <c r="Q217" s="66">
        <f t="shared" si="115"/>
        <v>12250</v>
      </c>
    </row>
    <row r="218" spans="1:17" s="22" customFormat="1" ht="24">
      <c r="A218" s="52"/>
      <c r="B218" s="67"/>
      <c r="C218" s="55">
        <v>4440</v>
      </c>
      <c r="D218" s="34" t="s">
        <v>90</v>
      </c>
      <c r="E218" s="66">
        <v>414975</v>
      </c>
      <c r="F218" s="66"/>
      <c r="G218" s="66">
        <f t="shared" si="110"/>
        <v>414975</v>
      </c>
      <c r="H218" s="66"/>
      <c r="I218" s="66">
        <f t="shared" si="111"/>
        <v>414975</v>
      </c>
      <c r="J218" s="66"/>
      <c r="K218" s="66">
        <f t="shared" si="112"/>
        <v>414975</v>
      </c>
      <c r="L218" s="66"/>
      <c r="M218" s="66">
        <f t="shared" si="113"/>
        <v>414975</v>
      </c>
      <c r="N218" s="66"/>
      <c r="O218" s="66">
        <f t="shared" si="114"/>
        <v>414975</v>
      </c>
      <c r="P218" s="66"/>
      <c r="Q218" s="66">
        <f t="shared" si="115"/>
        <v>414975</v>
      </c>
    </row>
    <row r="219" spans="1:17" s="22" customFormat="1" ht="21" customHeight="1">
      <c r="A219" s="52"/>
      <c r="B219" s="67"/>
      <c r="C219" s="55">
        <v>4580</v>
      </c>
      <c r="D219" s="34" t="s">
        <v>11</v>
      </c>
      <c r="E219" s="66"/>
      <c r="F219" s="66"/>
      <c r="G219" s="66"/>
      <c r="H219" s="66"/>
      <c r="I219" s="66"/>
      <c r="J219" s="66"/>
      <c r="K219" s="66"/>
      <c r="L219" s="66"/>
      <c r="M219" s="66">
        <v>0</v>
      </c>
      <c r="N219" s="66">
        <v>19</v>
      </c>
      <c r="O219" s="66">
        <f t="shared" si="114"/>
        <v>19</v>
      </c>
      <c r="P219" s="66"/>
      <c r="Q219" s="66">
        <f t="shared" si="115"/>
        <v>19</v>
      </c>
    </row>
    <row r="220" spans="1:17" s="22" customFormat="1" ht="24">
      <c r="A220" s="52"/>
      <c r="B220" s="67"/>
      <c r="C220" s="55">
        <v>4700</v>
      </c>
      <c r="D220" s="34" t="s">
        <v>246</v>
      </c>
      <c r="E220" s="66">
        <v>8860</v>
      </c>
      <c r="F220" s="66"/>
      <c r="G220" s="66">
        <f t="shared" si="110"/>
        <v>8860</v>
      </c>
      <c r="H220" s="66"/>
      <c r="I220" s="66">
        <f t="shared" si="111"/>
        <v>8860</v>
      </c>
      <c r="J220" s="66"/>
      <c r="K220" s="66">
        <f t="shared" si="112"/>
        <v>8860</v>
      </c>
      <c r="L220" s="66"/>
      <c r="M220" s="66">
        <f t="shared" si="113"/>
        <v>8860</v>
      </c>
      <c r="N220" s="66"/>
      <c r="O220" s="66">
        <f t="shared" si="114"/>
        <v>8860</v>
      </c>
      <c r="P220" s="66"/>
      <c r="Q220" s="66">
        <f t="shared" si="115"/>
        <v>8860</v>
      </c>
    </row>
    <row r="221" spans="1:17" s="22" customFormat="1" ht="26.25" customHeight="1">
      <c r="A221" s="52"/>
      <c r="B221" s="67"/>
      <c r="C221" s="55">
        <v>4740</v>
      </c>
      <c r="D221" s="12" t="s">
        <v>232</v>
      </c>
      <c r="E221" s="66">
        <v>5900</v>
      </c>
      <c r="F221" s="66"/>
      <c r="G221" s="66">
        <f t="shared" si="110"/>
        <v>5900</v>
      </c>
      <c r="H221" s="66"/>
      <c r="I221" s="66">
        <f t="shared" si="111"/>
        <v>5900</v>
      </c>
      <c r="J221" s="66"/>
      <c r="K221" s="66">
        <f t="shared" si="112"/>
        <v>5900</v>
      </c>
      <c r="L221" s="66"/>
      <c r="M221" s="66">
        <f t="shared" si="113"/>
        <v>5900</v>
      </c>
      <c r="N221" s="66"/>
      <c r="O221" s="66">
        <f t="shared" si="114"/>
        <v>5900</v>
      </c>
      <c r="P221" s="66"/>
      <c r="Q221" s="66">
        <f t="shared" si="115"/>
        <v>5900</v>
      </c>
    </row>
    <row r="222" spans="1:17" s="22" customFormat="1" ht="24">
      <c r="A222" s="52"/>
      <c r="B222" s="67"/>
      <c r="C222" s="55">
        <v>4750</v>
      </c>
      <c r="D222" s="12" t="s">
        <v>233</v>
      </c>
      <c r="E222" s="66">
        <v>41690</v>
      </c>
      <c r="F222" s="66"/>
      <c r="G222" s="66">
        <f t="shared" si="110"/>
        <v>41690</v>
      </c>
      <c r="H222" s="66"/>
      <c r="I222" s="66">
        <f t="shared" si="111"/>
        <v>41690</v>
      </c>
      <c r="J222" s="66"/>
      <c r="K222" s="66">
        <f t="shared" si="112"/>
        <v>41690</v>
      </c>
      <c r="L222" s="66">
        <f>-1270-1500-580</f>
        <v>-3350</v>
      </c>
      <c r="M222" s="66">
        <f t="shared" si="113"/>
        <v>38340</v>
      </c>
      <c r="N222" s="66"/>
      <c r="O222" s="66">
        <f t="shared" si="114"/>
        <v>38340</v>
      </c>
      <c r="P222" s="66"/>
      <c r="Q222" s="66">
        <f t="shared" si="115"/>
        <v>38340</v>
      </c>
    </row>
    <row r="223" spans="1:17" s="22" customFormat="1" ht="24">
      <c r="A223" s="52"/>
      <c r="B223" s="67"/>
      <c r="C223" s="55">
        <v>6050</v>
      </c>
      <c r="D223" s="12" t="s">
        <v>75</v>
      </c>
      <c r="E223" s="66">
        <v>2100000</v>
      </c>
      <c r="F223" s="66">
        <v>-1200000</v>
      </c>
      <c r="G223" s="66">
        <f t="shared" si="110"/>
        <v>900000</v>
      </c>
      <c r="H223" s="66"/>
      <c r="I223" s="66">
        <f t="shared" si="111"/>
        <v>900000</v>
      </c>
      <c r="J223" s="66"/>
      <c r="K223" s="66">
        <f t="shared" si="112"/>
        <v>900000</v>
      </c>
      <c r="L223" s="66"/>
      <c r="M223" s="66">
        <f t="shared" si="113"/>
        <v>900000</v>
      </c>
      <c r="N223" s="66"/>
      <c r="O223" s="66">
        <f t="shared" si="114"/>
        <v>900000</v>
      </c>
      <c r="P223" s="66"/>
      <c r="Q223" s="66">
        <f t="shared" si="115"/>
        <v>900000</v>
      </c>
    </row>
    <row r="224" spans="1:17" s="22" customFormat="1" ht="24">
      <c r="A224" s="52"/>
      <c r="B224" s="67">
        <v>80103</v>
      </c>
      <c r="C224" s="55"/>
      <c r="D224" s="34" t="s">
        <v>208</v>
      </c>
      <c r="E224" s="66">
        <f aca="true" t="shared" si="116" ref="E224:K224">SUM(E225:E237)</f>
        <v>449927</v>
      </c>
      <c r="F224" s="66">
        <f t="shared" si="116"/>
        <v>0</v>
      </c>
      <c r="G224" s="66">
        <f t="shared" si="116"/>
        <v>449927</v>
      </c>
      <c r="H224" s="66">
        <f t="shared" si="116"/>
        <v>0</v>
      </c>
      <c r="I224" s="66">
        <f t="shared" si="116"/>
        <v>449927</v>
      </c>
      <c r="J224" s="66">
        <f t="shared" si="116"/>
        <v>0</v>
      </c>
      <c r="K224" s="66">
        <f t="shared" si="116"/>
        <v>449927</v>
      </c>
      <c r="L224" s="66">
        <f aca="true" t="shared" si="117" ref="L224:Q224">SUM(L225:L237)</f>
        <v>0</v>
      </c>
      <c r="M224" s="66">
        <f t="shared" si="117"/>
        <v>449927</v>
      </c>
      <c r="N224" s="66">
        <f t="shared" si="117"/>
        <v>0</v>
      </c>
      <c r="O224" s="66">
        <f t="shared" si="117"/>
        <v>449927</v>
      </c>
      <c r="P224" s="66">
        <f t="shared" si="117"/>
        <v>0</v>
      </c>
      <c r="Q224" s="66">
        <f t="shared" si="117"/>
        <v>449927</v>
      </c>
    </row>
    <row r="225" spans="1:17" s="22" customFormat="1" ht="24">
      <c r="A225" s="52"/>
      <c r="B225" s="67"/>
      <c r="C225" s="71">
        <v>2540</v>
      </c>
      <c r="D225" s="34" t="s">
        <v>187</v>
      </c>
      <c r="E225" s="66">
        <v>61433</v>
      </c>
      <c r="F225" s="66"/>
      <c r="G225" s="66">
        <f t="shared" si="110"/>
        <v>61433</v>
      </c>
      <c r="H225" s="66"/>
      <c r="I225" s="66">
        <f aca="true" t="shared" si="118" ref="I225:I237">SUM(G225:H225)</f>
        <v>61433</v>
      </c>
      <c r="J225" s="66"/>
      <c r="K225" s="66">
        <f aca="true" t="shared" si="119" ref="K225:K237">SUM(I225:J225)</f>
        <v>61433</v>
      </c>
      <c r="L225" s="66"/>
      <c r="M225" s="66">
        <f aca="true" t="shared" si="120" ref="M225:M237">SUM(K225:L225)</f>
        <v>61433</v>
      </c>
      <c r="N225" s="66"/>
      <c r="O225" s="66">
        <f aca="true" t="shared" si="121" ref="O225:O237">SUM(M225:N225)</f>
        <v>61433</v>
      </c>
      <c r="P225" s="66"/>
      <c r="Q225" s="66">
        <f aca="true" t="shared" si="122" ref="Q225:Q237">SUM(O225:P225)</f>
        <v>61433</v>
      </c>
    </row>
    <row r="226" spans="1:17" s="22" customFormat="1" ht="24">
      <c r="A226" s="52"/>
      <c r="B226" s="67"/>
      <c r="C226" s="71">
        <v>3020</v>
      </c>
      <c r="D226" s="34" t="s">
        <v>196</v>
      </c>
      <c r="E226" s="66">
        <v>19723</v>
      </c>
      <c r="F226" s="66"/>
      <c r="G226" s="66">
        <f t="shared" si="110"/>
        <v>19723</v>
      </c>
      <c r="H226" s="66"/>
      <c r="I226" s="66">
        <f t="shared" si="118"/>
        <v>19723</v>
      </c>
      <c r="J226" s="66"/>
      <c r="K226" s="66">
        <f t="shared" si="119"/>
        <v>19723</v>
      </c>
      <c r="L226" s="66"/>
      <c r="M226" s="66">
        <f t="shared" si="120"/>
        <v>19723</v>
      </c>
      <c r="N226" s="66"/>
      <c r="O226" s="66">
        <f t="shared" si="121"/>
        <v>19723</v>
      </c>
      <c r="P226" s="66"/>
      <c r="Q226" s="66">
        <f t="shared" si="122"/>
        <v>19723</v>
      </c>
    </row>
    <row r="227" spans="1:19" s="22" customFormat="1" ht="21" customHeight="1">
      <c r="A227" s="52"/>
      <c r="B227" s="67"/>
      <c r="C227" s="71">
        <v>4010</v>
      </c>
      <c r="D227" s="34" t="s">
        <v>86</v>
      </c>
      <c r="E227" s="66">
        <v>258770</v>
      </c>
      <c r="F227" s="66"/>
      <c r="G227" s="66">
        <f t="shared" si="110"/>
        <v>258770</v>
      </c>
      <c r="H227" s="66"/>
      <c r="I227" s="66">
        <f t="shared" si="118"/>
        <v>258770</v>
      </c>
      <c r="J227" s="66">
        <v>940</v>
      </c>
      <c r="K227" s="66">
        <f t="shared" si="119"/>
        <v>259710</v>
      </c>
      <c r="L227" s="66"/>
      <c r="M227" s="66">
        <f t="shared" si="120"/>
        <v>259710</v>
      </c>
      <c r="N227" s="66"/>
      <c r="O227" s="66">
        <f t="shared" si="121"/>
        <v>259710</v>
      </c>
      <c r="P227" s="66"/>
      <c r="Q227" s="66">
        <f t="shared" si="122"/>
        <v>259710</v>
      </c>
      <c r="R227" s="97"/>
      <c r="S227" s="97"/>
    </row>
    <row r="228" spans="1:19" s="22" customFormat="1" ht="21" customHeight="1">
      <c r="A228" s="52"/>
      <c r="B228" s="67"/>
      <c r="C228" s="71">
        <v>4040</v>
      </c>
      <c r="D228" s="34" t="s">
        <v>87</v>
      </c>
      <c r="E228" s="66">
        <v>19531</v>
      </c>
      <c r="F228" s="66"/>
      <c r="G228" s="66">
        <f t="shared" si="110"/>
        <v>19531</v>
      </c>
      <c r="H228" s="66"/>
      <c r="I228" s="66">
        <f t="shared" si="118"/>
        <v>19531</v>
      </c>
      <c r="J228" s="66">
        <v>-940</v>
      </c>
      <c r="K228" s="66">
        <f t="shared" si="119"/>
        <v>18591</v>
      </c>
      <c r="L228" s="66"/>
      <c r="M228" s="66">
        <f t="shared" si="120"/>
        <v>18591</v>
      </c>
      <c r="N228" s="66"/>
      <c r="O228" s="66">
        <f t="shared" si="121"/>
        <v>18591</v>
      </c>
      <c r="P228" s="66"/>
      <c r="Q228" s="66">
        <f t="shared" si="122"/>
        <v>18591</v>
      </c>
      <c r="R228" s="97"/>
      <c r="S228" s="97"/>
    </row>
    <row r="229" spans="1:19" s="22" customFormat="1" ht="21" customHeight="1">
      <c r="A229" s="52"/>
      <c r="B229" s="67"/>
      <c r="C229" s="71">
        <v>4110</v>
      </c>
      <c r="D229" s="34" t="s">
        <v>88</v>
      </c>
      <c r="E229" s="66">
        <v>43218</v>
      </c>
      <c r="F229" s="66"/>
      <c r="G229" s="66">
        <f t="shared" si="110"/>
        <v>43218</v>
      </c>
      <c r="H229" s="66"/>
      <c r="I229" s="66">
        <f t="shared" si="118"/>
        <v>43218</v>
      </c>
      <c r="J229" s="66"/>
      <c r="K229" s="66">
        <f t="shared" si="119"/>
        <v>43218</v>
      </c>
      <c r="L229" s="66"/>
      <c r="M229" s="66">
        <f t="shared" si="120"/>
        <v>43218</v>
      </c>
      <c r="N229" s="66"/>
      <c r="O229" s="66">
        <f t="shared" si="121"/>
        <v>43218</v>
      </c>
      <c r="P229" s="66"/>
      <c r="Q229" s="66">
        <f t="shared" si="122"/>
        <v>43218</v>
      </c>
      <c r="R229" s="97"/>
      <c r="S229" s="97"/>
    </row>
    <row r="230" spans="1:19" s="22" customFormat="1" ht="21" customHeight="1">
      <c r="A230" s="52"/>
      <c r="B230" s="67"/>
      <c r="C230" s="71">
        <v>4120</v>
      </c>
      <c r="D230" s="34" t="s">
        <v>89</v>
      </c>
      <c r="E230" s="66">
        <v>7444</v>
      </c>
      <c r="F230" s="66"/>
      <c r="G230" s="66">
        <f t="shared" si="110"/>
        <v>7444</v>
      </c>
      <c r="H230" s="66"/>
      <c r="I230" s="66">
        <f t="shared" si="118"/>
        <v>7444</v>
      </c>
      <c r="J230" s="66"/>
      <c r="K230" s="66">
        <f t="shared" si="119"/>
        <v>7444</v>
      </c>
      <c r="L230" s="66"/>
      <c r="M230" s="66">
        <f t="shared" si="120"/>
        <v>7444</v>
      </c>
      <c r="N230" s="66"/>
      <c r="O230" s="66">
        <f t="shared" si="121"/>
        <v>7444</v>
      </c>
      <c r="P230" s="66"/>
      <c r="Q230" s="66">
        <f t="shared" si="122"/>
        <v>7444</v>
      </c>
      <c r="R230" s="97"/>
      <c r="S230" s="97"/>
    </row>
    <row r="231" spans="1:17" s="22" customFormat="1" ht="21" customHeight="1">
      <c r="A231" s="52"/>
      <c r="B231" s="67"/>
      <c r="C231" s="71">
        <v>4210</v>
      </c>
      <c r="D231" s="34" t="s">
        <v>74</v>
      </c>
      <c r="E231" s="66">
        <f>1700+8950</f>
        <v>10650</v>
      </c>
      <c r="F231" s="66"/>
      <c r="G231" s="66">
        <f t="shared" si="110"/>
        <v>10650</v>
      </c>
      <c r="H231" s="66"/>
      <c r="I231" s="66">
        <f t="shared" si="118"/>
        <v>10650</v>
      </c>
      <c r="J231" s="66">
        <v>-1400</v>
      </c>
      <c r="K231" s="66">
        <f t="shared" si="119"/>
        <v>9250</v>
      </c>
      <c r="L231" s="66"/>
      <c r="M231" s="66">
        <f t="shared" si="120"/>
        <v>9250</v>
      </c>
      <c r="N231" s="66"/>
      <c r="O231" s="66">
        <f t="shared" si="121"/>
        <v>9250</v>
      </c>
      <c r="P231" s="66"/>
      <c r="Q231" s="66">
        <f t="shared" si="122"/>
        <v>9250</v>
      </c>
    </row>
    <row r="232" spans="1:17" s="22" customFormat="1" ht="24">
      <c r="A232" s="52"/>
      <c r="B232" s="67"/>
      <c r="C232" s="71">
        <v>4240</v>
      </c>
      <c r="D232" s="34" t="s">
        <v>125</v>
      </c>
      <c r="E232" s="66">
        <v>3200</v>
      </c>
      <c r="F232" s="66"/>
      <c r="G232" s="66">
        <f t="shared" si="110"/>
        <v>3200</v>
      </c>
      <c r="H232" s="66"/>
      <c r="I232" s="66">
        <f t="shared" si="118"/>
        <v>3200</v>
      </c>
      <c r="J232" s="66">
        <v>1400</v>
      </c>
      <c r="K232" s="66">
        <f t="shared" si="119"/>
        <v>4600</v>
      </c>
      <c r="L232" s="66"/>
      <c r="M232" s="66">
        <f t="shared" si="120"/>
        <v>4600</v>
      </c>
      <c r="N232" s="66"/>
      <c r="O232" s="66">
        <f t="shared" si="121"/>
        <v>4600</v>
      </c>
      <c r="P232" s="66"/>
      <c r="Q232" s="66">
        <f t="shared" si="122"/>
        <v>4600</v>
      </c>
    </row>
    <row r="233" spans="1:17" s="22" customFormat="1" ht="21" customHeight="1">
      <c r="A233" s="52"/>
      <c r="B233" s="67"/>
      <c r="C233" s="71">
        <v>4260</v>
      </c>
      <c r="D233" s="34" t="s">
        <v>97</v>
      </c>
      <c r="E233" s="66">
        <v>600</v>
      </c>
      <c r="F233" s="66"/>
      <c r="G233" s="66">
        <f t="shared" si="110"/>
        <v>600</v>
      </c>
      <c r="H233" s="66"/>
      <c r="I233" s="66">
        <f t="shared" si="118"/>
        <v>600</v>
      </c>
      <c r="J233" s="66"/>
      <c r="K233" s="66">
        <f t="shared" si="119"/>
        <v>600</v>
      </c>
      <c r="L233" s="66"/>
      <c r="M233" s="66">
        <f t="shared" si="120"/>
        <v>600</v>
      </c>
      <c r="N233" s="66"/>
      <c r="O233" s="66">
        <f t="shared" si="121"/>
        <v>600</v>
      </c>
      <c r="P233" s="66"/>
      <c r="Q233" s="66">
        <f t="shared" si="122"/>
        <v>600</v>
      </c>
    </row>
    <row r="234" spans="1:17" s="22" customFormat="1" ht="21" customHeight="1">
      <c r="A234" s="52"/>
      <c r="B234" s="67"/>
      <c r="C234" s="71">
        <v>4270</v>
      </c>
      <c r="D234" s="34" t="s">
        <v>80</v>
      </c>
      <c r="E234" s="66">
        <v>6000</v>
      </c>
      <c r="F234" s="66"/>
      <c r="G234" s="66">
        <f t="shared" si="110"/>
        <v>6000</v>
      </c>
      <c r="H234" s="66"/>
      <c r="I234" s="66">
        <f t="shared" si="118"/>
        <v>6000</v>
      </c>
      <c r="J234" s="66"/>
      <c r="K234" s="66">
        <f t="shared" si="119"/>
        <v>6000</v>
      </c>
      <c r="L234" s="66"/>
      <c r="M234" s="66">
        <f t="shared" si="120"/>
        <v>6000</v>
      </c>
      <c r="N234" s="66"/>
      <c r="O234" s="66">
        <f t="shared" si="121"/>
        <v>6000</v>
      </c>
      <c r="P234" s="66"/>
      <c r="Q234" s="66">
        <f t="shared" si="122"/>
        <v>6000</v>
      </c>
    </row>
    <row r="235" spans="1:17" s="22" customFormat="1" ht="21" customHeight="1">
      <c r="A235" s="52"/>
      <c r="B235" s="67"/>
      <c r="C235" s="71">
        <v>4280</v>
      </c>
      <c r="D235" s="34" t="s">
        <v>203</v>
      </c>
      <c r="E235" s="66">
        <v>600</v>
      </c>
      <c r="F235" s="66"/>
      <c r="G235" s="66">
        <f t="shared" si="110"/>
        <v>600</v>
      </c>
      <c r="H235" s="66"/>
      <c r="I235" s="66">
        <f t="shared" si="118"/>
        <v>600</v>
      </c>
      <c r="J235" s="66"/>
      <c r="K235" s="66">
        <f t="shared" si="119"/>
        <v>600</v>
      </c>
      <c r="L235" s="66"/>
      <c r="M235" s="66">
        <f t="shared" si="120"/>
        <v>600</v>
      </c>
      <c r="N235" s="66"/>
      <c r="O235" s="66">
        <f t="shared" si="121"/>
        <v>600</v>
      </c>
      <c r="P235" s="66"/>
      <c r="Q235" s="66">
        <f t="shared" si="122"/>
        <v>600</v>
      </c>
    </row>
    <row r="236" spans="1:17" s="22" customFormat="1" ht="24">
      <c r="A236" s="52"/>
      <c r="B236" s="67"/>
      <c r="C236" s="71">
        <v>4440</v>
      </c>
      <c r="D236" s="34" t="s">
        <v>116</v>
      </c>
      <c r="E236" s="66">
        <v>18558</v>
      </c>
      <c r="F236" s="66"/>
      <c r="G236" s="66">
        <f t="shared" si="110"/>
        <v>18558</v>
      </c>
      <c r="H236" s="66"/>
      <c r="I236" s="66">
        <f t="shared" si="118"/>
        <v>18558</v>
      </c>
      <c r="J236" s="66"/>
      <c r="K236" s="66">
        <f t="shared" si="119"/>
        <v>18558</v>
      </c>
      <c r="L236" s="66"/>
      <c r="M236" s="66">
        <f t="shared" si="120"/>
        <v>18558</v>
      </c>
      <c r="N236" s="66"/>
      <c r="O236" s="66">
        <f t="shared" si="121"/>
        <v>18558</v>
      </c>
      <c r="P236" s="66"/>
      <c r="Q236" s="66">
        <f t="shared" si="122"/>
        <v>18558</v>
      </c>
    </row>
    <row r="237" spans="1:17" s="22" customFormat="1" ht="27" customHeight="1">
      <c r="A237" s="52"/>
      <c r="B237" s="67"/>
      <c r="C237" s="71">
        <v>4740</v>
      </c>
      <c r="D237" s="12" t="s">
        <v>232</v>
      </c>
      <c r="E237" s="66">
        <v>200</v>
      </c>
      <c r="F237" s="66"/>
      <c r="G237" s="66">
        <f t="shared" si="110"/>
        <v>200</v>
      </c>
      <c r="H237" s="66"/>
      <c r="I237" s="66">
        <f t="shared" si="118"/>
        <v>200</v>
      </c>
      <c r="J237" s="66"/>
      <c r="K237" s="66">
        <f t="shared" si="119"/>
        <v>200</v>
      </c>
      <c r="L237" s="66"/>
      <c r="M237" s="66">
        <f t="shared" si="120"/>
        <v>200</v>
      </c>
      <c r="N237" s="66"/>
      <c r="O237" s="66">
        <f t="shared" si="121"/>
        <v>200</v>
      </c>
      <c r="P237" s="66"/>
      <c r="Q237" s="66">
        <f t="shared" si="122"/>
        <v>200</v>
      </c>
    </row>
    <row r="238" spans="1:17" s="22" customFormat="1" ht="21" customHeight="1">
      <c r="A238" s="73"/>
      <c r="B238" s="67" t="s">
        <v>115</v>
      </c>
      <c r="C238" s="71"/>
      <c r="D238" s="34" t="s">
        <v>126</v>
      </c>
      <c r="E238" s="66">
        <f>SUM(E239:E240)</f>
        <v>3355548</v>
      </c>
      <c r="F238" s="66">
        <f>SUM(F239:F240)</f>
        <v>0</v>
      </c>
      <c r="G238" s="66">
        <f>SUM(G239:G240)</f>
        <v>3355548</v>
      </c>
      <c r="H238" s="66">
        <f>SUM(H239:H240)</f>
        <v>0</v>
      </c>
      <c r="I238" s="66">
        <f aca="true" t="shared" si="123" ref="I238:O238">SUM(I239:I241)</f>
        <v>3355548</v>
      </c>
      <c r="J238" s="66">
        <f t="shared" si="123"/>
        <v>43000</v>
      </c>
      <c r="K238" s="66">
        <f t="shared" si="123"/>
        <v>3398548</v>
      </c>
      <c r="L238" s="66">
        <f t="shared" si="123"/>
        <v>0</v>
      </c>
      <c r="M238" s="66">
        <f t="shared" si="123"/>
        <v>3398548</v>
      </c>
      <c r="N238" s="66">
        <f t="shared" si="123"/>
        <v>0</v>
      </c>
      <c r="O238" s="66">
        <f t="shared" si="123"/>
        <v>3398548</v>
      </c>
      <c r="P238" s="66">
        <f>SUM(P239:P241)</f>
        <v>0</v>
      </c>
      <c r="Q238" s="66">
        <f>SUM(Q239:Q241)</f>
        <v>3398548</v>
      </c>
    </row>
    <row r="239" spans="1:17" s="22" customFormat="1" ht="24">
      <c r="A239" s="73"/>
      <c r="B239" s="67"/>
      <c r="C239" s="71">
        <v>2510</v>
      </c>
      <c r="D239" s="34" t="s">
        <v>127</v>
      </c>
      <c r="E239" s="66">
        <v>3355048</v>
      </c>
      <c r="F239" s="66"/>
      <c r="G239" s="66">
        <f t="shared" si="110"/>
        <v>3355048</v>
      </c>
      <c r="H239" s="66"/>
      <c r="I239" s="66">
        <f>SUM(G239:H239)</f>
        <v>3355048</v>
      </c>
      <c r="J239" s="66">
        <v>500</v>
      </c>
      <c r="K239" s="66">
        <f>SUM(I239:J239)</f>
        <v>3355548</v>
      </c>
      <c r="L239" s="66"/>
      <c r="M239" s="66">
        <f>SUM(K239:L239)</f>
        <v>3355548</v>
      </c>
      <c r="N239" s="66"/>
      <c r="O239" s="66">
        <f>SUM(M239:N239)</f>
        <v>3355548</v>
      </c>
      <c r="P239" s="66"/>
      <c r="Q239" s="66">
        <f>SUM(O239:P239)</f>
        <v>3355548</v>
      </c>
    </row>
    <row r="240" spans="1:17" s="22" customFormat="1" ht="21" customHeight="1">
      <c r="A240" s="73"/>
      <c r="B240" s="67"/>
      <c r="C240" s="71">
        <v>4210</v>
      </c>
      <c r="D240" s="34" t="s">
        <v>74</v>
      </c>
      <c r="E240" s="66">
        <v>500</v>
      </c>
      <c r="F240" s="66"/>
      <c r="G240" s="66">
        <f t="shared" si="110"/>
        <v>500</v>
      </c>
      <c r="H240" s="66"/>
      <c r="I240" s="66">
        <f>SUM(G240:H240)</f>
        <v>500</v>
      </c>
      <c r="J240" s="66">
        <v>-500</v>
      </c>
      <c r="K240" s="66">
        <f>SUM(I240:J240)</f>
        <v>0</v>
      </c>
      <c r="L240" s="66"/>
      <c r="M240" s="66">
        <f>SUM(K240:L240)</f>
        <v>0</v>
      </c>
      <c r="N240" s="66"/>
      <c r="O240" s="66">
        <f>SUM(M240:N240)</f>
        <v>0</v>
      </c>
      <c r="P240" s="66"/>
      <c r="Q240" s="66">
        <f>SUM(O240:P240)</f>
        <v>0</v>
      </c>
    </row>
    <row r="241" spans="1:17" s="22" customFormat="1" ht="21" customHeight="1">
      <c r="A241" s="73"/>
      <c r="B241" s="67"/>
      <c r="C241" s="71">
        <v>4270</v>
      </c>
      <c r="D241" s="34" t="s">
        <v>80</v>
      </c>
      <c r="E241" s="66"/>
      <c r="F241" s="66"/>
      <c r="G241" s="66"/>
      <c r="H241" s="66"/>
      <c r="I241" s="66">
        <v>0</v>
      </c>
      <c r="J241" s="66">
        <v>43000</v>
      </c>
      <c r="K241" s="66">
        <f>SUM(I241:J241)</f>
        <v>43000</v>
      </c>
      <c r="L241" s="66"/>
      <c r="M241" s="66">
        <f>SUM(K241:L241)</f>
        <v>43000</v>
      </c>
      <c r="N241" s="66"/>
      <c r="O241" s="66">
        <f>SUM(M241:N241)</f>
        <v>43000</v>
      </c>
      <c r="P241" s="66"/>
      <c r="Q241" s="66">
        <f>SUM(O241:P241)</f>
        <v>43000</v>
      </c>
    </row>
    <row r="242" spans="1:17" s="22" customFormat="1" ht="21" customHeight="1">
      <c r="A242" s="73"/>
      <c r="B242" s="67" t="s">
        <v>117</v>
      </c>
      <c r="C242" s="71"/>
      <c r="D242" s="34" t="s">
        <v>53</v>
      </c>
      <c r="E242" s="66">
        <f aca="true" t="shared" si="124" ref="E242:K242">SUM(E243:E267)</f>
        <v>9135030</v>
      </c>
      <c r="F242" s="66">
        <f t="shared" si="124"/>
        <v>-400000</v>
      </c>
      <c r="G242" s="66">
        <f t="shared" si="124"/>
        <v>8735030</v>
      </c>
      <c r="H242" s="66">
        <f t="shared" si="124"/>
        <v>0</v>
      </c>
      <c r="I242" s="66">
        <f t="shared" si="124"/>
        <v>8735030</v>
      </c>
      <c r="J242" s="66">
        <f t="shared" si="124"/>
        <v>-2400</v>
      </c>
      <c r="K242" s="66">
        <f t="shared" si="124"/>
        <v>8732630</v>
      </c>
      <c r="L242" s="66">
        <f aca="true" t="shared" si="125" ref="L242:Q242">SUM(L243:L267)</f>
        <v>0</v>
      </c>
      <c r="M242" s="66">
        <f t="shared" si="125"/>
        <v>8732630</v>
      </c>
      <c r="N242" s="66">
        <f t="shared" si="125"/>
        <v>0</v>
      </c>
      <c r="O242" s="66">
        <f t="shared" si="125"/>
        <v>8732630</v>
      </c>
      <c r="P242" s="66">
        <f t="shared" si="125"/>
        <v>0</v>
      </c>
      <c r="Q242" s="66">
        <f t="shared" si="125"/>
        <v>8732630</v>
      </c>
    </row>
    <row r="243" spans="1:17" s="22" customFormat="1" ht="60">
      <c r="A243" s="73"/>
      <c r="B243" s="67"/>
      <c r="C243" s="71">
        <v>2590</v>
      </c>
      <c r="D243" s="34" t="s">
        <v>255</v>
      </c>
      <c r="E243" s="66">
        <v>101210</v>
      </c>
      <c r="F243" s="66"/>
      <c r="G243" s="66">
        <f t="shared" si="110"/>
        <v>101210</v>
      </c>
      <c r="H243" s="66"/>
      <c r="I243" s="66">
        <f aca="true" t="shared" si="126" ref="I243:I267">SUM(G243:H243)</f>
        <v>101210</v>
      </c>
      <c r="J243" s="66"/>
      <c r="K243" s="66">
        <f aca="true" t="shared" si="127" ref="K243:K267">SUM(I243:J243)</f>
        <v>101210</v>
      </c>
      <c r="L243" s="66"/>
      <c r="M243" s="66">
        <f aca="true" t="shared" si="128" ref="M243:M267">SUM(K243:L243)</f>
        <v>101210</v>
      </c>
      <c r="N243" s="66"/>
      <c r="O243" s="66">
        <f aca="true" t="shared" si="129" ref="O243:O267">SUM(M243:N243)</f>
        <v>101210</v>
      </c>
      <c r="P243" s="66"/>
      <c r="Q243" s="66">
        <f aca="true" t="shared" si="130" ref="Q243:Q267">SUM(O243:P243)</f>
        <v>101210</v>
      </c>
    </row>
    <row r="244" spans="1:17" s="22" customFormat="1" ht="21" customHeight="1">
      <c r="A244" s="52"/>
      <c r="B244" s="67"/>
      <c r="C244" s="71">
        <v>3020</v>
      </c>
      <c r="D244" s="34" t="s">
        <v>196</v>
      </c>
      <c r="E244" s="66">
        <v>42171</v>
      </c>
      <c r="F244" s="66"/>
      <c r="G244" s="66">
        <f t="shared" si="110"/>
        <v>42171</v>
      </c>
      <c r="H244" s="66"/>
      <c r="I244" s="66">
        <f t="shared" si="126"/>
        <v>42171</v>
      </c>
      <c r="J244" s="66"/>
      <c r="K244" s="66">
        <f t="shared" si="127"/>
        <v>42171</v>
      </c>
      <c r="L244" s="66"/>
      <c r="M244" s="66">
        <f t="shared" si="128"/>
        <v>42171</v>
      </c>
      <c r="N244" s="66"/>
      <c r="O244" s="66">
        <f t="shared" si="129"/>
        <v>42171</v>
      </c>
      <c r="P244" s="66"/>
      <c r="Q244" s="66">
        <f t="shared" si="130"/>
        <v>42171</v>
      </c>
    </row>
    <row r="245" spans="1:19" s="22" customFormat="1" ht="21" customHeight="1">
      <c r="A245" s="52"/>
      <c r="B245" s="67"/>
      <c r="C245" s="71">
        <v>4010</v>
      </c>
      <c r="D245" s="34" t="s">
        <v>86</v>
      </c>
      <c r="E245" s="66">
        <v>3501950</v>
      </c>
      <c r="F245" s="66"/>
      <c r="G245" s="66">
        <f t="shared" si="110"/>
        <v>3501950</v>
      </c>
      <c r="H245" s="66"/>
      <c r="I245" s="66">
        <f t="shared" si="126"/>
        <v>3501950</v>
      </c>
      <c r="J245" s="66">
        <v>9023</v>
      </c>
      <c r="K245" s="66">
        <f t="shared" si="127"/>
        <v>3510973</v>
      </c>
      <c r="L245" s="66"/>
      <c r="M245" s="66">
        <f t="shared" si="128"/>
        <v>3510973</v>
      </c>
      <c r="N245" s="66"/>
      <c r="O245" s="66">
        <f t="shared" si="129"/>
        <v>3510973</v>
      </c>
      <c r="P245" s="66"/>
      <c r="Q245" s="66">
        <f t="shared" si="130"/>
        <v>3510973</v>
      </c>
      <c r="R245" s="97"/>
      <c r="S245" s="97"/>
    </row>
    <row r="246" spans="1:19" s="22" customFormat="1" ht="21" customHeight="1">
      <c r="A246" s="52"/>
      <c r="B246" s="67"/>
      <c r="C246" s="71">
        <v>4040</v>
      </c>
      <c r="D246" s="34" t="s">
        <v>87</v>
      </c>
      <c r="E246" s="66">
        <v>264234</v>
      </c>
      <c r="F246" s="66"/>
      <c r="G246" s="66">
        <f t="shared" si="110"/>
        <v>264234</v>
      </c>
      <c r="H246" s="66"/>
      <c r="I246" s="66">
        <f t="shared" si="126"/>
        <v>264234</v>
      </c>
      <c r="J246" s="66">
        <v>-9023</v>
      </c>
      <c r="K246" s="66">
        <f t="shared" si="127"/>
        <v>255211</v>
      </c>
      <c r="L246" s="66"/>
      <c r="M246" s="66">
        <f t="shared" si="128"/>
        <v>255211</v>
      </c>
      <c r="N246" s="66"/>
      <c r="O246" s="66">
        <f t="shared" si="129"/>
        <v>255211</v>
      </c>
      <c r="P246" s="66"/>
      <c r="Q246" s="66">
        <f t="shared" si="130"/>
        <v>255211</v>
      </c>
      <c r="R246" s="97"/>
      <c r="S246" s="97"/>
    </row>
    <row r="247" spans="1:19" s="22" customFormat="1" ht="21" customHeight="1">
      <c r="A247" s="52"/>
      <c r="B247" s="67"/>
      <c r="C247" s="71">
        <v>4110</v>
      </c>
      <c r="D247" s="34" t="s">
        <v>88</v>
      </c>
      <c r="E247" s="66">
        <v>570864</v>
      </c>
      <c r="F247" s="66"/>
      <c r="G247" s="66">
        <f t="shared" si="110"/>
        <v>570864</v>
      </c>
      <c r="H247" s="66"/>
      <c r="I247" s="66">
        <f t="shared" si="126"/>
        <v>570864</v>
      </c>
      <c r="J247" s="66"/>
      <c r="K247" s="66">
        <f t="shared" si="127"/>
        <v>570864</v>
      </c>
      <c r="L247" s="66"/>
      <c r="M247" s="66">
        <f t="shared" si="128"/>
        <v>570864</v>
      </c>
      <c r="N247" s="66"/>
      <c r="O247" s="66">
        <f t="shared" si="129"/>
        <v>570864</v>
      </c>
      <c r="P247" s="66"/>
      <c r="Q247" s="66">
        <f t="shared" si="130"/>
        <v>570864</v>
      </c>
      <c r="R247" s="97"/>
      <c r="S247" s="97"/>
    </row>
    <row r="248" spans="1:19" s="22" customFormat="1" ht="21" customHeight="1">
      <c r="A248" s="52"/>
      <c r="B248" s="67"/>
      <c r="C248" s="71">
        <v>4120</v>
      </c>
      <c r="D248" s="34" t="s">
        <v>89</v>
      </c>
      <c r="E248" s="66">
        <v>94292</v>
      </c>
      <c r="F248" s="66"/>
      <c r="G248" s="66">
        <f t="shared" si="110"/>
        <v>94292</v>
      </c>
      <c r="H248" s="66"/>
      <c r="I248" s="66">
        <f t="shared" si="126"/>
        <v>94292</v>
      </c>
      <c r="J248" s="66"/>
      <c r="K248" s="66">
        <f t="shared" si="127"/>
        <v>94292</v>
      </c>
      <c r="L248" s="66"/>
      <c r="M248" s="66">
        <f t="shared" si="128"/>
        <v>94292</v>
      </c>
      <c r="N248" s="66"/>
      <c r="O248" s="66">
        <f t="shared" si="129"/>
        <v>94292</v>
      </c>
      <c r="P248" s="66"/>
      <c r="Q248" s="66">
        <f t="shared" si="130"/>
        <v>94292</v>
      </c>
      <c r="R248" s="97"/>
      <c r="S248" s="97"/>
    </row>
    <row r="249" spans="1:19" s="22" customFormat="1" ht="21" customHeight="1">
      <c r="A249" s="52"/>
      <c r="B249" s="67"/>
      <c r="C249" s="71">
        <v>4170</v>
      </c>
      <c r="D249" s="34" t="s">
        <v>198</v>
      </c>
      <c r="E249" s="66">
        <v>12700</v>
      </c>
      <c r="F249" s="66"/>
      <c r="G249" s="66">
        <f t="shared" si="110"/>
        <v>12700</v>
      </c>
      <c r="H249" s="66"/>
      <c r="I249" s="66">
        <f t="shared" si="126"/>
        <v>12700</v>
      </c>
      <c r="J249" s="66"/>
      <c r="K249" s="66">
        <f t="shared" si="127"/>
        <v>12700</v>
      </c>
      <c r="L249" s="66"/>
      <c r="M249" s="66">
        <f t="shared" si="128"/>
        <v>12700</v>
      </c>
      <c r="N249" s="66"/>
      <c r="O249" s="66">
        <f t="shared" si="129"/>
        <v>12700</v>
      </c>
      <c r="P249" s="66"/>
      <c r="Q249" s="66">
        <f t="shared" si="130"/>
        <v>12700</v>
      </c>
      <c r="R249" s="97"/>
      <c r="S249" s="97"/>
    </row>
    <row r="250" spans="1:17" s="22" customFormat="1" ht="21" customHeight="1">
      <c r="A250" s="52"/>
      <c r="B250" s="67"/>
      <c r="C250" s="71">
        <v>4210</v>
      </c>
      <c r="D250" s="34" t="s">
        <v>94</v>
      </c>
      <c r="E250" s="66">
        <f>1000+170700</f>
        <v>171700</v>
      </c>
      <c r="F250" s="66"/>
      <c r="G250" s="66">
        <f t="shared" si="110"/>
        <v>171700</v>
      </c>
      <c r="H250" s="66"/>
      <c r="I250" s="66">
        <f t="shared" si="126"/>
        <v>171700</v>
      </c>
      <c r="J250" s="66">
        <v>600</v>
      </c>
      <c r="K250" s="66">
        <f t="shared" si="127"/>
        <v>172300</v>
      </c>
      <c r="L250" s="66"/>
      <c r="M250" s="66">
        <f t="shared" si="128"/>
        <v>172300</v>
      </c>
      <c r="N250" s="66">
        <v>-510</v>
      </c>
      <c r="O250" s="66">
        <f t="shared" si="129"/>
        <v>171790</v>
      </c>
      <c r="P250" s="66"/>
      <c r="Q250" s="66">
        <f t="shared" si="130"/>
        <v>171790</v>
      </c>
    </row>
    <row r="251" spans="1:17" s="22" customFormat="1" ht="21" customHeight="1">
      <c r="A251" s="52"/>
      <c r="B251" s="67"/>
      <c r="C251" s="71">
        <v>4230</v>
      </c>
      <c r="D251" s="34" t="s">
        <v>244</v>
      </c>
      <c r="E251" s="66">
        <v>1500</v>
      </c>
      <c r="F251" s="66"/>
      <c r="G251" s="66">
        <f t="shared" si="110"/>
        <v>1500</v>
      </c>
      <c r="H251" s="66"/>
      <c r="I251" s="66">
        <f t="shared" si="126"/>
        <v>1500</v>
      </c>
      <c r="J251" s="66"/>
      <c r="K251" s="66">
        <f t="shared" si="127"/>
        <v>1500</v>
      </c>
      <c r="L251" s="66"/>
      <c r="M251" s="66">
        <f t="shared" si="128"/>
        <v>1500</v>
      </c>
      <c r="N251" s="66"/>
      <c r="O251" s="66">
        <f t="shared" si="129"/>
        <v>1500</v>
      </c>
      <c r="P251" s="66"/>
      <c r="Q251" s="66">
        <f t="shared" si="130"/>
        <v>1500</v>
      </c>
    </row>
    <row r="252" spans="1:17" s="22" customFormat="1" ht="21" customHeight="1">
      <c r="A252" s="52"/>
      <c r="B252" s="67"/>
      <c r="C252" s="71">
        <v>4240</v>
      </c>
      <c r="D252" s="34" t="s">
        <v>125</v>
      </c>
      <c r="E252" s="66">
        <v>11100</v>
      </c>
      <c r="F252" s="66"/>
      <c r="G252" s="66">
        <f t="shared" si="110"/>
        <v>11100</v>
      </c>
      <c r="H252" s="66"/>
      <c r="I252" s="66">
        <f t="shared" si="126"/>
        <v>11100</v>
      </c>
      <c r="J252" s="66"/>
      <c r="K252" s="66">
        <f t="shared" si="127"/>
        <v>11100</v>
      </c>
      <c r="L252" s="66"/>
      <c r="M252" s="66">
        <f t="shared" si="128"/>
        <v>11100</v>
      </c>
      <c r="N252" s="66"/>
      <c r="O252" s="66">
        <f t="shared" si="129"/>
        <v>11100</v>
      </c>
      <c r="P252" s="66"/>
      <c r="Q252" s="66">
        <f t="shared" si="130"/>
        <v>11100</v>
      </c>
    </row>
    <row r="253" spans="1:17" s="22" customFormat="1" ht="21" customHeight="1">
      <c r="A253" s="52"/>
      <c r="B253" s="67"/>
      <c r="C253" s="71">
        <v>4260</v>
      </c>
      <c r="D253" s="34" t="s">
        <v>97</v>
      </c>
      <c r="E253" s="66">
        <v>291500</v>
      </c>
      <c r="F253" s="66"/>
      <c r="G253" s="66">
        <f t="shared" si="110"/>
        <v>291500</v>
      </c>
      <c r="H253" s="66"/>
      <c r="I253" s="66">
        <f t="shared" si="126"/>
        <v>291500</v>
      </c>
      <c r="J253" s="66"/>
      <c r="K253" s="66">
        <f t="shared" si="127"/>
        <v>291500</v>
      </c>
      <c r="L253" s="66"/>
      <c r="M253" s="66">
        <f t="shared" si="128"/>
        <v>291500</v>
      </c>
      <c r="N253" s="66"/>
      <c r="O253" s="66">
        <f t="shared" si="129"/>
        <v>291500</v>
      </c>
      <c r="P253" s="66"/>
      <c r="Q253" s="66">
        <f t="shared" si="130"/>
        <v>291500</v>
      </c>
    </row>
    <row r="254" spans="1:17" s="22" customFormat="1" ht="21" customHeight="1">
      <c r="A254" s="52"/>
      <c r="B254" s="67"/>
      <c r="C254" s="71">
        <v>4270</v>
      </c>
      <c r="D254" s="34" t="s">
        <v>80</v>
      </c>
      <c r="E254" s="66">
        <v>49550</v>
      </c>
      <c r="F254" s="66"/>
      <c r="G254" s="66">
        <f t="shared" si="110"/>
        <v>49550</v>
      </c>
      <c r="H254" s="66"/>
      <c r="I254" s="66">
        <f t="shared" si="126"/>
        <v>49550</v>
      </c>
      <c r="J254" s="66">
        <f>-3250</f>
        <v>-3250</v>
      </c>
      <c r="K254" s="66">
        <f t="shared" si="127"/>
        <v>46300</v>
      </c>
      <c r="L254" s="66"/>
      <c r="M254" s="66">
        <f t="shared" si="128"/>
        <v>46300</v>
      </c>
      <c r="N254" s="66"/>
      <c r="O254" s="66">
        <f t="shared" si="129"/>
        <v>46300</v>
      </c>
      <c r="P254" s="66"/>
      <c r="Q254" s="66">
        <f t="shared" si="130"/>
        <v>46300</v>
      </c>
    </row>
    <row r="255" spans="1:17" s="22" customFormat="1" ht="21" customHeight="1">
      <c r="A255" s="52"/>
      <c r="B255" s="67"/>
      <c r="C255" s="71">
        <v>4280</v>
      </c>
      <c r="D255" s="34" t="s">
        <v>203</v>
      </c>
      <c r="E255" s="66">
        <v>8400</v>
      </c>
      <c r="F255" s="66"/>
      <c r="G255" s="66">
        <f t="shared" si="110"/>
        <v>8400</v>
      </c>
      <c r="H255" s="66"/>
      <c r="I255" s="66">
        <f t="shared" si="126"/>
        <v>8400</v>
      </c>
      <c r="J255" s="66"/>
      <c r="K255" s="66">
        <f t="shared" si="127"/>
        <v>8400</v>
      </c>
      <c r="L255" s="66"/>
      <c r="M255" s="66">
        <f t="shared" si="128"/>
        <v>8400</v>
      </c>
      <c r="N255" s="66"/>
      <c r="O255" s="66">
        <f t="shared" si="129"/>
        <v>8400</v>
      </c>
      <c r="P255" s="66"/>
      <c r="Q255" s="66">
        <f t="shared" si="130"/>
        <v>8400</v>
      </c>
    </row>
    <row r="256" spans="1:17" s="22" customFormat="1" ht="21" customHeight="1">
      <c r="A256" s="52"/>
      <c r="B256" s="67"/>
      <c r="C256" s="71">
        <v>4300</v>
      </c>
      <c r="D256" s="34" t="s">
        <v>81</v>
      </c>
      <c r="E256" s="66">
        <v>44500</v>
      </c>
      <c r="F256" s="66"/>
      <c r="G256" s="66">
        <f t="shared" si="110"/>
        <v>44500</v>
      </c>
      <c r="H256" s="66"/>
      <c r="I256" s="66">
        <f t="shared" si="126"/>
        <v>44500</v>
      </c>
      <c r="J256" s="66"/>
      <c r="K256" s="66">
        <f t="shared" si="127"/>
        <v>44500</v>
      </c>
      <c r="L256" s="66"/>
      <c r="M256" s="66">
        <f t="shared" si="128"/>
        <v>44500</v>
      </c>
      <c r="N256" s="66">
        <v>-1000</v>
      </c>
      <c r="O256" s="66">
        <f t="shared" si="129"/>
        <v>43500</v>
      </c>
      <c r="P256" s="66"/>
      <c r="Q256" s="66">
        <f t="shared" si="130"/>
        <v>43500</v>
      </c>
    </row>
    <row r="257" spans="1:17" s="22" customFormat="1" ht="21" customHeight="1">
      <c r="A257" s="52"/>
      <c r="B257" s="67"/>
      <c r="C257" s="71">
        <v>4350</v>
      </c>
      <c r="D257" s="34" t="s">
        <v>211</v>
      </c>
      <c r="E257" s="66">
        <v>2400</v>
      </c>
      <c r="F257" s="66"/>
      <c r="G257" s="66">
        <f t="shared" si="110"/>
        <v>2400</v>
      </c>
      <c r="H257" s="66"/>
      <c r="I257" s="66">
        <f t="shared" si="126"/>
        <v>2400</v>
      </c>
      <c r="J257" s="66"/>
      <c r="K257" s="66">
        <f t="shared" si="127"/>
        <v>2400</v>
      </c>
      <c r="L257" s="66"/>
      <c r="M257" s="66">
        <f t="shared" si="128"/>
        <v>2400</v>
      </c>
      <c r="N257" s="66">
        <v>1500</v>
      </c>
      <c r="O257" s="66">
        <f t="shared" si="129"/>
        <v>3900</v>
      </c>
      <c r="P257" s="66"/>
      <c r="Q257" s="66">
        <f t="shared" si="130"/>
        <v>3900</v>
      </c>
    </row>
    <row r="258" spans="1:17" s="22" customFormat="1" ht="28.5" customHeight="1">
      <c r="A258" s="52"/>
      <c r="B258" s="67"/>
      <c r="C258" s="71">
        <v>4370</v>
      </c>
      <c r="D258" s="12" t="s">
        <v>231</v>
      </c>
      <c r="E258" s="66">
        <v>9000</v>
      </c>
      <c r="F258" s="66"/>
      <c r="G258" s="66">
        <f t="shared" si="110"/>
        <v>9000</v>
      </c>
      <c r="H258" s="66"/>
      <c r="I258" s="66">
        <f t="shared" si="126"/>
        <v>9000</v>
      </c>
      <c r="J258" s="66"/>
      <c r="K258" s="66">
        <f t="shared" si="127"/>
        <v>9000</v>
      </c>
      <c r="L258" s="66"/>
      <c r="M258" s="66">
        <f t="shared" si="128"/>
        <v>9000</v>
      </c>
      <c r="N258" s="66">
        <v>-500</v>
      </c>
      <c r="O258" s="66">
        <f t="shared" si="129"/>
        <v>8500</v>
      </c>
      <c r="P258" s="66"/>
      <c r="Q258" s="66">
        <f t="shared" si="130"/>
        <v>8500</v>
      </c>
    </row>
    <row r="259" spans="1:17" s="22" customFormat="1" ht="26.25" customHeight="1">
      <c r="A259" s="52"/>
      <c r="B259" s="67"/>
      <c r="C259" s="71">
        <v>4390</v>
      </c>
      <c r="D259" s="34" t="s">
        <v>256</v>
      </c>
      <c r="E259" s="66">
        <v>800</v>
      </c>
      <c r="F259" s="66"/>
      <c r="G259" s="66">
        <f t="shared" si="110"/>
        <v>800</v>
      </c>
      <c r="H259" s="66"/>
      <c r="I259" s="66">
        <f t="shared" si="126"/>
        <v>800</v>
      </c>
      <c r="J259" s="66"/>
      <c r="K259" s="66">
        <f t="shared" si="127"/>
        <v>800</v>
      </c>
      <c r="L259" s="66"/>
      <c r="M259" s="66">
        <f t="shared" si="128"/>
        <v>800</v>
      </c>
      <c r="N259" s="66"/>
      <c r="O259" s="66">
        <f t="shared" si="129"/>
        <v>800</v>
      </c>
      <c r="P259" s="66"/>
      <c r="Q259" s="66">
        <f t="shared" si="130"/>
        <v>800</v>
      </c>
    </row>
    <row r="260" spans="1:17" s="22" customFormat="1" ht="21" customHeight="1">
      <c r="A260" s="52"/>
      <c r="B260" s="67"/>
      <c r="C260" s="71">
        <v>4410</v>
      </c>
      <c r="D260" s="34" t="s">
        <v>92</v>
      </c>
      <c r="E260" s="66">
        <v>6000</v>
      </c>
      <c r="F260" s="66"/>
      <c r="G260" s="66">
        <f t="shared" si="110"/>
        <v>6000</v>
      </c>
      <c r="H260" s="66"/>
      <c r="I260" s="66">
        <f t="shared" si="126"/>
        <v>6000</v>
      </c>
      <c r="J260" s="66"/>
      <c r="K260" s="66">
        <f t="shared" si="127"/>
        <v>6000</v>
      </c>
      <c r="L260" s="66"/>
      <c r="M260" s="66">
        <f t="shared" si="128"/>
        <v>6000</v>
      </c>
      <c r="N260" s="66">
        <v>500</v>
      </c>
      <c r="O260" s="66">
        <f t="shared" si="129"/>
        <v>6500</v>
      </c>
      <c r="P260" s="66"/>
      <c r="Q260" s="66">
        <f t="shared" si="130"/>
        <v>6500</v>
      </c>
    </row>
    <row r="261" spans="1:17" s="22" customFormat="1" ht="21" customHeight="1">
      <c r="A261" s="52"/>
      <c r="B261" s="67"/>
      <c r="C261" s="71">
        <v>4430</v>
      </c>
      <c r="D261" s="34" t="s">
        <v>96</v>
      </c>
      <c r="E261" s="66">
        <v>4000</v>
      </c>
      <c r="F261" s="66"/>
      <c r="G261" s="66">
        <f t="shared" si="110"/>
        <v>4000</v>
      </c>
      <c r="H261" s="66"/>
      <c r="I261" s="66">
        <f t="shared" si="126"/>
        <v>4000</v>
      </c>
      <c r="J261" s="66">
        <v>250</v>
      </c>
      <c r="K261" s="66">
        <f t="shared" si="127"/>
        <v>4250</v>
      </c>
      <c r="L261" s="66"/>
      <c r="M261" s="66">
        <f t="shared" si="128"/>
        <v>4250</v>
      </c>
      <c r="N261" s="66"/>
      <c r="O261" s="66">
        <f t="shared" si="129"/>
        <v>4250</v>
      </c>
      <c r="P261" s="66"/>
      <c r="Q261" s="66">
        <f t="shared" si="130"/>
        <v>4250</v>
      </c>
    </row>
    <row r="262" spans="1:17" s="22" customFormat="1" ht="26.25" customHeight="1">
      <c r="A262" s="52"/>
      <c r="B262" s="67"/>
      <c r="C262" s="71">
        <v>4440</v>
      </c>
      <c r="D262" s="34" t="s">
        <v>90</v>
      </c>
      <c r="E262" s="66">
        <v>205309</v>
      </c>
      <c r="F262" s="66"/>
      <c r="G262" s="66">
        <f t="shared" si="110"/>
        <v>205309</v>
      </c>
      <c r="H262" s="66"/>
      <c r="I262" s="66">
        <f t="shared" si="126"/>
        <v>205309</v>
      </c>
      <c r="J262" s="66"/>
      <c r="K262" s="66">
        <f t="shared" si="127"/>
        <v>205309</v>
      </c>
      <c r="L262" s="66"/>
      <c r="M262" s="66">
        <f t="shared" si="128"/>
        <v>205309</v>
      </c>
      <c r="N262" s="66"/>
      <c r="O262" s="66">
        <f t="shared" si="129"/>
        <v>205309</v>
      </c>
      <c r="P262" s="66"/>
      <c r="Q262" s="66">
        <f t="shared" si="130"/>
        <v>205309</v>
      </c>
    </row>
    <row r="263" spans="1:17" s="22" customFormat="1" ht="26.25" customHeight="1">
      <c r="A263" s="52"/>
      <c r="B263" s="67"/>
      <c r="C263" s="71">
        <v>4580</v>
      </c>
      <c r="D263" s="34"/>
      <c r="E263" s="66"/>
      <c r="F263" s="66"/>
      <c r="G263" s="66"/>
      <c r="H263" s="66"/>
      <c r="I263" s="66"/>
      <c r="J263" s="66"/>
      <c r="K263" s="66"/>
      <c r="L263" s="66"/>
      <c r="M263" s="66">
        <v>0</v>
      </c>
      <c r="N263" s="66">
        <v>10</v>
      </c>
      <c r="O263" s="66">
        <f t="shared" si="129"/>
        <v>10</v>
      </c>
      <c r="P263" s="66"/>
      <c r="Q263" s="66">
        <f t="shared" si="130"/>
        <v>10</v>
      </c>
    </row>
    <row r="264" spans="1:17" s="22" customFormat="1" ht="27" customHeight="1">
      <c r="A264" s="52"/>
      <c r="B264" s="67"/>
      <c r="C264" s="71">
        <v>4700</v>
      </c>
      <c r="D264" s="34" t="s">
        <v>246</v>
      </c>
      <c r="E264" s="66">
        <v>2500</v>
      </c>
      <c r="F264" s="66"/>
      <c r="G264" s="66">
        <f t="shared" si="110"/>
        <v>2500</v>
      </c>
      <c r="H264" s="66"/>
      <c r="I264" s="66">
        <f t="shared" si="126"/>
        <v>2500</v>
      </c>
      <c r="J264" s="66"/>
      <c r="K264" s="66">
        <f t="shared" si="127"/>
        <v>2500</v>
      </c>
      <c r="L264" s="66"/>
      <c r="M264" s="66">
        <f t="shared" si="128"/>
        <v>2500</v>
      </c>
      <c r="N264" s="66"/>
      <c r="O264" s="66">
        <f t="shared" si="129"/>
        <v>2500</v>
      </c>
      <c r="P264" s="66"/>
      <c r="Q264" s="66">
        <f t="shared" si="130"/>
        <v>2500</v>
      </c>
    </row>
    <row r="265" spans="1:17" s="22" customFormat="1" ht="27" customHeight="1">
      <c r="A265" s="52"/>
      <c r="B265" s="67"/>
      <c r="C265" s="71">
        <v>4740</v>
      </c>
      <c r="D265" s="12" t="s">
        <v>232</v>
      </c>
      <c r="E265" s="66">
        <v>4500</v>
      </c>
      <c r="F265" s="66"/>
      <c r="G265" s="66">
        <f aca="true" t="shared" si="131" ref="G265:G332">SUM(E265:F265)</f>
        <v>4500</v>
      </c>
      <c r="H265" s="66"/>
      <c r="I265" s="66">
        <f t="shared" si="126"/>
        <v>4500</v>
      </c>
      <c r="J265" s="66"/>
      <c r="K265" s="66">
        <f t="shared" si="127"/>
        <v>4500</v>
      </c>
      <c r="L265" s="66"/>
      <c r="M265" s="66">
        <f t="shared" si="128"/>
        <v>4500</v>
      </c>
      <c r="N265" s="66">
        <v>-1000</v>
      </c>
      <c r="O265" s="66">
        <f t="shared" si="129"/>
        <v>3500</v>
      </c>
      <c r="P265" s="66"/>
      <c r="Q265" s="66">
        <f t="shared" si="130"/>
        <v>3500</v>
      </c>
    </row>
    <row r="266" spans="1:17" s="22" customFormat="1" ht="24.75" customHeight="1">
      <c r="A266" s="52"/>
      <c r="B266" s="67"/>
      <c r="C266" s="71">
        <v>4750</v>
      </c>
      <c r="D266" s="12" t="s">
        <v>233</v>
      </c>
      <c r="E266" s="66">
        <v>14850</v>
      </c>
      <c r="F266" s="66"/>
      <c r="G266" s="66">
        <f t="shared" si="131"/>
        <v>14850</v>
      </c>
      <c r="H266" s="66"/>
      <c r="I266" s="66">
        <f t="shared" si="126"/>
        <v>14850</v>
      </c>
      <c r="J266" s="66"/>
      <c r="K266" s="66">
        <f t="shared" si="127"/>
        <v>14850</v>
      </c>
      <c r="L266" s="66"/>
      <c r="M266" s="66">
        <f t="shared" si="128"/>
        <v>14850</v>
      </c>
      <c r="N266" s="66">
        <v>1000</v>
      </c>
      <c r="O266" s="66">
        <f t="shared" si="129"/>
        <v>15850</v>
      </c>
      <c r="P266" s="66"/>
      <c r="Q266" s="66">
        <f t="shared" si="130"/>
        <v>15850</v>
      </c>
    </row>
    <row r="267" spans="1:17" s="22" customFormat="1" ht="24.75" customHeight="1">
      <c r="A267" s="52"/>
      <c r="B267" s="67"/>
      <c r="C267" s="71">
        <v>6050</v>
      </c>
      <c r="D267" s="12" t="s">
        <v>75</v>
      </c>
      <c r="E267" s="66">
        <f>4720000-1000000</f>
        <v>3720000</v>
      </c>
      <c r="F267" s="66">
        <f>-1200000+800000</f>
        <v>-400000</v>
      </c>
      <c r="G267" s="66">
        <f t="shared" si="131"/>
        <v>3320000</v>
      </c>
      <c r="H267" s="66"/>
      <c r="I267" s="66">
        <f t="shared" si="126"/>
        <v>3320000</v>
      </c>
      <c r="J267" s="66"/>
      <c r="K267" s="66">
        <f t="shared" si="127"/>
        <v>3320000</v>
      </c>
      <c r="L267" s="66"/>
      <c r="M267" s="66">
        <f t="shared" si="128"/>
        <v>3320000</v>
      </c>
      <c r="N267" s="66"/>
      <c r="O267" s="66">
        <f t="shared" si="129"/>
        <v>3320000</v>
      </c>
      <c r="P267" s="66"/>
      <c r="Q267" s="66">
        <f t="shared" si="130"/>
        <v>3320000</v>
      </c>
    </row>
    <row r="268" spans="1:17" s="22" customFormat="1" ht="21" customHeight="1">
      <c r="A268" s="52"/>
      <c r="B268" s="57" t="s">
        <v>118</v>
      </c>
      <c r="C268" s="37"/>
      <c r="D268" s="12" t="s">
        <v>119</v>
      </c>
      <c r="E268" s="56">
        <f aca="true" t="shared" si="132" ref="E268:K268">SUM(E269:E274)</f>
        <v>309460</v>
      </c>
      <c r="F268" s="56">
        <f t="shared" si="132"/>
        <v>0</v>
      </c>
      <c r="G268" s="56">
        <f t="shared" si="132"/>
        <v>309460</v>
      </c>
      <c r="H268" s="56">
        <f t="shared" si="132"/>
        <v>0</v>
      </c>
      <c r="I268" s="56">
        <f t="shared" si="132"/>
        <v>309460</v>
      </c>
      <c r="J268" s="56">
        <f t="shared" si="132"/>
        <v>0</v>
      </c>
      <c r="K268" s="56">
        <f t="shared" si="132"/>
        <v>309460</v>
      </c>
      <c r="L268" s="56">
        <f aca="true" t="shared" si="133" ref="L268:Q268">SUM(L269:L274)</f>
        <v>0</v>
      </c>
      <c r="M268" s="56">
        <f t="shared" si="133"/>
        <v>309460</v>
      </c>
      <c r="N268" s="56">
        <f t="shared" si="133"/>
        <v>0</v>
      </c>
      <c r="O268" s="56">
        <f t="shared" si="133"/>
        <v>309460</v>
      </c>
      <c r="P268" s="56">
        <f t="shared" si="133"/>
        <v>0</v>
      </c>
      <c r="Q268" s="56">
        <f t="shared" si="133"/>
        <v>309460</v>
      </c>
    </row>
    <row r="269" spans="1:19" s="22" customFormat="1" ht="21" customHeight="1">
      <c r="A269" s="52"/>
      <c r="B269" s="57"/>
      <c r="C269" s="37">
        <v>4110</v>
      </c>
      <c r="D269" s="34" t="s">
        <v>88</v>
      </c>
      <c r="E269" s="56">
        <v>2592</v>
      </c>
      <c r="F269" s="56"/>
      <c r="G269" s="66">
        <f t="shared" si="131"/>
        <v>2592</v>
      </c>
      <c r="H269" s="56"/>
      <c r="I269" s="66">
        <f aca="true" t="shared" si="134" ref="I269:I274">SUM(G269:H269)</f>
        <v>2592</v>
      </c>
      <c r="J269" s="56"/>
      <c r="K269" s="66">
        <f aca="true" t="shared" si="135" ref="K269:K274">SUM(I269:J269)</f>
        <v>2592</v>
      </c>
      <c r="L269" s="56"/>
      <c r="M269" s="66">
        <f aca="true" t="shared" si="136" ref="M269:M274">SUM(K269:L269)</f>
        <v>2592</v>
      </c>
      <c r="N269" s="56"/>
      <c r="O269" s="66">
        <f aca="true" t="shared" si="137" ref="O269:O274">SUM(M269:N269)</f>
        <v>2592</v>
      </c>
      <c r="P269" s="56"/>
      <c r="Q269" s="66">
        <f aca="true" t="shared" si="138" ref="Q269:Q274">SUM(O269:P269)</f>
        <v>2592</v>
      </c>
      <c r="R269" s="97"/>
      <c r="S269" s="97"/>
    </row>
    <row r="270" spans="1:19" s="22" customFormat="1" ht="21" customHeight="1">
      <c r="A270" s="52"/>
      <c r="B270" s="57"/>
      <c r="C270" s="37">
        <v>4120</v>
      </c>
      <c r="D270" s="34" t="s">
        <v>89</v>
      </c>
      <c r="E270" s="56">
        <v>368</v>
      </c>
      <c r="F270" s="56"/>
      <c r="G270" s="66">
        <f t="shared" si="131"/>
        <v>368</v>
      </c>
      <c r="H270" s="56"/>
      <c r="I270" s="66">
        <f t="shared" si="134"/>
        <v>368</v>
      </c>
      <c r="J270" s="56"/>
      <c r="K270" s="66">
        <f t="shared" si="135"/>
        <v>368</v>
      </c>
      <c r="L270" s="56"/>
      <c r="M270" s="66">
        <f t="shared" si="136"/>
        <v>368</v>
      </c>
      <c r="N270" s="56"/>
      <c r="O270" s="66">
        <f t="shared" si="137"/>
        <v>368</v>
      </c>
      <c r="P270" s="56"/>
      <c r="Q270" s="66">
        <f t="shared" si="138"/>
        <v>368</v>
      </c>
      <c r="R270" s="97"/>
      <c r="S270" s="97"/>
    </row>
    <row r="271" spans="1:19" s="22" customFormat="1" ht="21" customHeight="1">
      <c r="A271" s="52"/>
      <c r="B271" s="57"/>
      <c r="C271" s="37">
        <v>4170</v>
      </c>
      <c r="D271" s="34" t="s">
        <v>198</v>
      </c>
      <c r="E271" s="56">
        <v>24000</v>
      </c>
      <c r="F271" s="56"/>
      <c r="G271" s="66">
        <f t="shared" si="131"/>
        <v>24000</v>
      </c>
      <c r="H271" s="56"/>
      <c r="I271" s="66">
        <f t="shared" si="134"/>
        <v>24000</v>
      </c>
      <c r="J271" s="56"/>
      <c r="K271" s="66">
        <f t="shared" si="135"/>
        <v>24000</v>
      </c>
      <c r="L271" s="56"/>
      <c r="M271" s="66">
        <f t="shared" si="136"/>
        <v>24000</v>
      </c>
      <c r="N271" s="56"/>
      <c r="O271" s="66">
        <f t="shared" si="137"/>
        <v>24000</v>
      </c>
      <c r="P271" s="56"/>
      <c r="Q271" s="66">
        <f t="shared" si="138"/>
        <v>24000</v>
      </c>
      <c r="R271" s="97"/>
      <c r="S271" s="97"/>
    </row>
    <row r="272" spans="1:17" s="22" customFormat="1" ht="21" customHeight="1">
      <c r="A272" s="52"/>
      <c r="B272" s="57"/>
      <c r="C272" s="37">
        <v>4210</v>
      </c>
      <c r="D272" s="12" t="s">
        <v>94</v>
      </c>
      <c r="E272" s="56">
        <v>45000</v>
      </c>
      <c r="F272" s="56"/>
      <c r="G272" s="66">
        <f t="shared" si="131"/>
        <v>45000</v>
      </c>
      <c r="H272" s="56"/>
      <c r="I272" s="66">
        <f t="shared" si="134"/>
        <v>45000</v>
      </c>
      <c r="J272" s="56"/>
      <c r="K272" s="66">
        <f t="shared" si="135"/>
        <v>45000</v>
      </c>
      <c r="L272" s="56"/>
      <c r="M272" s="66">
        <f t="shared" si="136"/>
        <v>45000</v>
      </c>
      <c r="N272" s="56"/>
      <c r="O272" s="66">
        <f t="shared" si="137"/>
        <v>45000</v>
      </c>
      <c r="P272" s="56"/>
      <c r="Q272" s="66">
        <f t="shared" si="138"/>
        <v>45000</v>
      </c>
    </row>
    <row r="273" spans="1:17" s="22" customFormat="1" ht="21" customHeight="1">
      <c r="A273" s="52"/>
      <c r="B273" s="57"/>
      <c r="C273" s="37">
        <v>4300</v>
      </c>
      <c r="D273" s="12" t="s">
        <v>81</v>
      </c>
      <c r="E273" s="56">
        <f>215000+10000+8000</f>
        <v>233000</v>
      </c>
      <c r="F273" s="56"/>
      <c r="G273" s="66">
        <f t="shared" si="131"/>
        <v>233000</v>
      </c>
      <c r="H273" s="56"/>
      <c r="I273" s="66">
        <f t="shared" si="134"/>
        <v>233000</v>
      </c>
      <c r="J273" s="56"/>
      <c r="K273" s="66">
        <f t="shared" si="135"/>
        <v>233000</v>
      </c>
      <c r="L273" s="56"/>
      <c r="M273" s="66">
        <f t="shared" si="136"/>
        <v>233000</v>
      </c>
      <c r="N273" s="56"/>
      <c r="O273" s="66">
        <f t="shared" si="137"/>
        <v>233000</v>
      </c>
      <c r="P273" s="56"/>
      <c r="Q273" s="66">
        <f t="shared" si="138"/>
        <v>233000</v>
      </c>
    </row>
    <row r="274" spans="1:17" s="22" customFormat="1" ht="21" customHeight="1">
      <c r="A274" s="52"/>
      <c r="B274" s="57"/>
      <c r="C274" s="37">
        <v>4430</v>
      </c>
      <c r="D274" s="34" t="s">
        <v>96</v>
      </c>
      <c r="E274" s="56">
        <v>4500</v>
      </c>
      <c r="F274" s="56"/>
      <c r="G274" s="66">
        <f t="shared" si="131"/>
        <v>4500</v>
      </c>
      <c r="H274" s="56"/>
      <c r="I274" s="66">
        <f t="shared" si="134"/>
        <v>4500</v>
      </c>
      <c r="J274" s="56"/>
      <c r="K274" s="66">
        <f t="shared" si="135"/>
        <v>4500</v>
      </c>
      <c r="L274" s="56"/>
      <c r="M274" s="66">
        <f t="shared" si="136"/>
        <v>4500</v>
      </c>
      <c r="N274" s="56"/>
      <c r="O274" s="66">
        <f t="shared" si="137"/>
        <v>4500</v>
      </c>
      <c r="P274" s="56"/>
      <c r="Q274" s="66">
        <f t="shared" si="138"/>
        <v>4500</v>
      </c>
    </row>
    <row r="275" spans="1:17" s="22" customFormat="1" ht="21" customHeight="1">
      <c r="A275" s="52"/>
      <c r="B275" s="72">
        <v>80146</v>
      </c>
      <c r="C275" s="55"/>
      <c r="D275" s="34" t="s">
        <v>149</v>
      </c>
      <c r="E275" s="66">
        <f>SUM(E276:E277)</f>
        <v>109224</v>
      </c>
      <c r="F275" s="66">
        <f>SUM(F276:F277)</f>
        <v>0</v>
      </c>
      <c r="G275" s="66">
        <f>SUM(G276:G277)</f>
        <v>109224</v>
      </c>
      <c r="H275" s="66">
        <f>SUM(H276:H277)</f>
        <v>0</v>
      </c>
      <c r="I275" s="66">
        <f aca="true" t="shared" si="139" ref="I275:O275">SUM(I276:I279)</f>
        <v>109224</v>
      </c>
      <c r="J275" s="66">
        <f t="shared" si="139"/>
        <v>0</v>
      </c>
      <c r="K275" s="66">
        <f t="shared" si="139"/>
        <v>109224</v>
      </c>
      <c r="L275" s="66">
        <f t="shared" si="139"/>
        <v>0</v>
      </c>
      <c r="M275" s="66">
        <f t="shared" si="139"/>
        <v>109224</v>
      </c>
      <c r="N275" s="66">
        <f t="shared" si="139"/>
        <v>0</v>
      </c>
      <c r="O275" s="66">
        <f t="shared" si="139"/>
        <v>109224</v>
      </c>
      <c r="P275" s="66">
        <f>SUM(P276:P279)</f>
        <v>0</v>
      </c>
      <c r="Q275" s="66">
        <f>SUM(Q276:Q279)</f>
        <v>109224</v>
      </c>
    </row>
    <row r="276" spans="1:17" s="22" customFormat="1" ht="24">
      <c r="A276" s="52"/>
      <c r="B276" s="72"/>
      <c r="C276" s="55">
        <v>2510</v>
      </c>
      <c r="D276" s="34" t="s">
        <v>127</v>
      </c>
      <c r="E276" s="66">
        <v>13687</v>
      </c>
      <c r="F276" s="66"/>
      <c r="G276" s="66">
        <f t="shared" si="131"/>
        <v>13687</v>
      </c>
      <c r="H276" s="66"/>
      <c r="I276" s="66">
        <f>SUM(G276:H276)</f>
        <v>13687</v>
      </c>
      <c r="J276" s="66"/>
      <c r="K276" s="66">
        <f>SUM(I276:J276)</f>
        <v>13687</v>
      </c>
      <c r="L276" s="66"/>
      <c r="M276" s="66">
        <f>SUM(K276:L276)</f>
        <v>13687</v>
      </c>
      <c r="N276" s="66"/>
      <c r="O276" s="66">
        <f>SUM(M276:N276)</f>
        <v>13687</v>
      </c>
      <c r="P276" s="66"/>
      <c r="Q276" s="66">
        <f>SUM(O276:P276)</f>
        <v>13687</v>
      </c>
    </row>
    <row r="277" spans="1:17" s="22" customFormat="1" ht="21" customHeight="1">
      <c r="A277" s="52"/>
      <c r="B277" s="72"/>
      <c r="C277" s="55">
        <v>4300</v>
      </c>
      <c r="D277" s="34" t="s">
        <v>81</v>
      </c>
      <c r="E277" s="66">
        <v>95537</v>
      </c>
      <c r="F277" s="66"/>
      <c r="G277" s="66">
        <f t="shared" si="131"/>
        <v>95537</v>
      </c>
      <c r="H277" s="66"/>
      <c r="I277" s="66">
        <f>SUM(G277:H277)</f>
        <v>95537</v>
      </c>
      <c r="J277" s="66">
        <f>-42185-28357</f>
        <v>-70542</v>
      </c>
      <c r="K277" s="66">
        <f>SUM(I277:J277)</f>
        <v>24995</v>
      </c>
      <c r="L277" s="66"/>
      <c r="M277" s="66">
        <f>SUM(K277:L277)</f>
        <v>24995</v>
      </c>
      <c r="N277" s="66"/>
      <c r="O277" s="66">
        <f>SUM(M277:N277)</f>
        <v>24995</v>
      </c>
      <c r="P277" s="66"/>
      <c r="Q277" s="66">
        <f>SUM(O277:P277)</f>
        <v>24995</v>
      </c>
    </row>
    <row r="278" spans="1:17" s="22" customFormat="1" ht="21" customHeight="1">
      <c r="A278" s="52"/>
      <c r="B278" s="72"/>
      <c r="C278" s="55">
        <v>4410</v>
      </c>
      <c r="D278" s="34" t="s">
        <v>92</v>
      </c>
      <c r="E278" s="66"/>
      <c r="F278" s="66"/>
      <c r="G278" s="66"/>
      <c r="H278" s="66"/>
      <c r="I278" s="66">
        <v>0</v>
      </c>
      <c r="J278" s="66">
        <v>28357</v>
      </c>
      <c r="K278" s="66">
        <f>SUM(I278:J278)</f>
        <v>28357</v>
      </c>
      <c r="L278" s="66"/>
      <c r="M278" s="66">
        <f>SUM(K278:L278)</f>
        <v>28357</v>
      </c>
      <c r="N278" s="66"/>
      <c r="O278" s="66">
        <f>SUM(M278:N278)</f>
        <v>28357</v>
      </c>
      <c r="P278" s="66"/>
      <c r="Q278" s="66">
        <f>SUM(O278:P278)</f>
        <v>28357</v>
      </c>
    </row>
    <row r="279" spans="1:17" s="22" customFormat="1" ht="25.5" customHeight="1">
      <c r="A279" s="52"/>
      <c r="B279" s="72"/>
      <c r="C279" s="55">
        <v>4700</v>
      </c>
      <c r="D279" s="34" t="s">
        <v>246</v>
      </c>
      <c r="E279" s="66"/>
      <c r="F279" s="66"/>
      <c r="G279" s="66"/>
      <c r="H279" s="66"/>
      <c r="I279" s="66">
        <v>0</v>
      </c>
      <c r="J279" s="66">
        <v>42185</v>
      </c>
      <c r="K279" s="66">
        <f>SUM(I279:J279)</f>
        <v>42185</v>
      </c>
      <c r="L279" s="66"/>
      <c r="M279" s="66">
        <f>SUM(K279:L279)</f>
        <v>42185</v>
      </c>
      <c r="N279" s="66"/>
      <c r="O279" s="66">
        <f>SUM(M279:N279)</f>
        <v>42185</v>
      </c>
      <c r="P279" s="66"/>
      <c r="Q279" s="66">
        <f>SUM(O279:P279)</f>
        <v>42185</v>
      </c>
    </row>
    <row r="280" spans="1:17" s="22" customFormat="1" ht="21" customHeight="1">
      <c r="A280" s="52"/>
      <c r="B280" s="72">
        <v>80148</v>
      </c>
      <c r="C280" s="55"/>
      <c r="D280" s="34" t="s">
        <v>243</v>
      </c>
      <c r="E280" s="66">
        <f aca="true" t="shared" si="140" ref="E280:K280">SUM(E281:E290)</f>
        <v>257225</v>
      </c>
      <c r="F280" s="66">
        <f t="shared" si="140"/>
        <v>0</v>
      </c>
      <c r="G280" s="66">
        <f t="shared" si="140"/>
        <v>257225</v>
      </c>
      <c r="H280" s="66">
        <f t="shared" si="140"/>
        <v>0</v>
      </c>
      <c r="I280" s="66">
        <f t="shared" si="140"/>
        <v>257225</v>
      </c>
      <c r="J280" s="66">
        <f t="shared" si="140"/>
        <v>3001</v>
      </c>
      <c r="K280" s="66">
        <f t="shared" si="140"/>
        <v>260226</v>
      </c>
      <c r="L280" s="66">
        <f aca="true" t="shared" si="141" ref="L280:Q280">SUM(L281:L290)</f>
        <v>0</v>
      </c>
      <c r="M280" s="66">
        <f t="shared" si="141"/>
        <v>260226</v>
      </c>
      <c r="N280" s="66">
        <f t="shared" si="141"/>
        <v>0</v>
      </c>
      <c r="O280" s="66">
        <f t="shared" si="141"/>
        <v>260226</v>
      </c>
      <c r="P280" s="66">
        <f t="shared" si="141"/>
        <v>0</v>
      </c>
      <c r="Q280" s="66">
        <f t="shared" si="141"/>
        <v>260226</v>
      </c>
    </row>
    <row r="281" spans="1:17" s="22" customFormat="1" ht="23.25" customHeight="1">
      <c r="A281" s="52"/>
      <c r="B281" s="72"/>
      <c r="C281" s="71">
        <v>3020</v>
      </c>
      <c r="D281" s="34" t="s">
        <v>196</v>
      </c>
      <c r="E281" s="66">
        <v>185</v>
      </c>
      <c r="F281" s="66"/>
      <c r="G281" s="66">
        <f t="shared" si="131"/>
        <v>185</v>
      </c>
      <c r="H281" s="66"/>
      <c r="I281" s="66">
        <f aca="true" t="shared" si="142" ref="I281:I290">SUM(G281:H281)</f>
        <v>185</v>
      </c>
      <c r="J281" s="66"/>
      <c r="K281" s="66">
        <f aca="true" t="shared" si="143" ref="K281:K290">SUM(I281:J281)</f>
        <v>185</v>
      </c>
      <c r="L281" s="66"/>
      <c r="M281" s="66">
        <f aca="true" t="shared" si="144" ref="M281:M290">SUM(K281:L281)</f>
        <v>185</v>
      </c>
      <c r="N281" s="66"/>
      <c r="O281" s="66">
        <f aca="true" t="shared" si="145" ref="O281:O290">SUM(M281:N281)</f>
        <v>185</v>
      </c>
      <c r="P281" s="66"/>
      <c r="Q281" s="66">
        <f aca="true" t="shared" si="146" ref="Q281:Q290">SUM(O281:P281)</f>
        <v>185</v>
      </c>
    </row>
    <row r="282" spans="1:19" s="22" customFormat="1" ht="21" customHeight="1">
      <c r="A282" s="52"/>
      <c r="B282" s="72"/>
      <c r="C282" s="71">
        <v>4010</v>
      </c>
      <c r="D282" s="34" t="s">
        <v>86</v>
      </c>
      <c r="E282" s="66">
        <v>103619</v>
      </c>
      <c r="F282" s="66"/>
      <c r="G282" s="66">
        <f t="shared" si="131"/>
        <v>103619</v>
      </c>
      <c r="H282" s="66"/>
      <c r="I282" s="66">
        <f t="shared" si="142"/>
        <v>103619</v>
      </c>
      <c r="J282" s="66">
        <v>134</v>
      </c>
      <c r="K282" s="66">
        <f t="shared" si="143"/>
        <v>103753</v>
      </c>
      <c r="L282" s="66"/>
      <c r="M282" s="66">
        <f t="shared" si="144"/>
        <v>103753</v>
      </c>
      <c r="N282" s="66"/>
      <c r="O282" s="66">
        <f t="shared" si="145"/>
        <v>103753</v>
      </c>
      <c r="P282" s="66"/>
      <c r="Q282" s="66">
        <f t="shared" si="146"/>
        <v>103753</v>
      </c>
      <c r="R282" s="97"/>
      <c r="S282" s="97"/>
    </row>
    <row r="283" spans="1:19" s="22" customFormat="1" ht="21" customHeight="1">
      <c r="A283" s="52"/>
      <c r="B283" s="72"/>
      <c r="C283" s="71">
        <v>4040</v>
      </c>
      <c r="D283" s="34" t="s">
        <v>87</v>
      </c>
      <c r="E283" s="66">
        <v>7647</v>
      </c>
      <c r="F283" s="66"/>
      <c r="G283" s="66">
        <f t="shared" si="131"/>
        <v>7647</v>
      </c>
      <c r="H283" s="66"/>
      <c r="I283" s="66">
        <f t="shared" si="142"/>
        <v>7647</v>
      </c>
      <c r="J283" s="66">
        <v>-133</v>
      </c>
      <c r="K283" s="66">
        <f t="shared" si="143"/>
        <v>7514</v>
      </c>
      <c r="L283" s="66"/>
      <c r="M283" s="66">
        <f t="shared" si="144"/>
        <v>7514</v>
      </c>
      <c r="N283" s="66"/>
      <c r="O283" s="66">
        <f t="shared" si="145"/>
        <v>7514</v>
      </c>
      <c r="P283" s="66"/>
      <c r="Q283" s="66">
        <f t="shared" si="146"/>
        <v>7514</v>
      </c>
      <c r="R283" s="97"/>
      <c r="S283" s="97"/>
    </row>
    <row r="284" spans="1:19" s="22" customFormat="1" ht="21" customHeight="1">
      <c r="A284" s="52"/>
      <c r="B284" s="72"/>
      <c r="C284" s="71">
        <v>4110</v>
      </c>
      <c r="D284" s="34" t="s">
        <v>88</v>
      </c>
      <c r="E284" s="66">
        <v>17383</v>
      </c>
      <c r="F284" s="66"/>
      <c r="G284" s="66">
        <f t="shared" si="131"/>
        <v>17383</v>
      </c>
      <c r="H284" s="66"/>
      <c r="I284" s="66">
        <f t="shared" si="142"/>
        <v>17383</v>
      </c>
      <c r="J284" s="66"/>
      <c r="K284" s="66">
        <f t="shared" si="143"/>
        <v>17383</v>
      </c>
      <c r="L284" s="66"/>
      <c r="M284" s="66">
        <f t="shared" si="144"/>
        <v>17383</v>
      </c>
      <c r="N284" s="66"/>
      <c r="O284" s="66">
        <f t="shared" si="145"/>
        <v>17383</v>
      </c>
      <c r="P284" s="66"/>
      <c r="Q284" s="66">
        <f t="shared" si="146"/>
        <v>17383</v>
      </c>
      <c r="R284" s="97"/>
      <c r="S284" s="97"/>
    </row>
    <row r="285" spans="1:19" s="22" customFormat="1" ht="21" customHeight="1">
      <c r="A285" s="52"/>
      <c r="B285" s="72"/>
      <c r="C285" s="71">
        <v>4120</v>
      </c>
      <c r="D285" s="34" t="s">
        <v>89</v>
      </c>
      <c r="E285" s="66">
        <v>2895</v>
      </c>
      <c r="F285" s="66"/>
      <c r="G285" s="66">
        <f t="shared" si="131"/>
        <v>2895</v>
      </c>
      <c r="H285" s="66"/>
      <c r="I285" s="66">
        <f t="shared" si="142"/>
        <v>2895</v>
      </c>
      <c r="J285" s="66"/>
      <c r="K285" s="66">
        <f t="shared" si="143"/>
        <v>2895</v>
      </c>
      <c r="L285" s="66"/>
      <c r="M285" s="66">
        <f t="shared" si="144"/>
        <v>2895</v>
      </c>
      <c r="N285" s="66"/>
      <c r="O285" s="66">
        <f t="shared" si="145"/>
        <v>2895</v>
      </c>
      <c r="P285" s="66"/>
      <c r="Q285" s="66">
        <f t="shared" si="146"/>
        <v>2895</v>
      </c>
      <c r="R285" s="97"/>
      <c r="S285" s="97"/>
    </row>
    <row r="286" spans="1:19" s="22" customFormat="1" ht="21" customHeight="1">
      <c r="A286" s="52"/>
      <c r="B286" s="72"/>
      <c r="C286" s="71">
        <v>4170</v>
      </c>
      <c r="D286" s="34" t="s">
        <v>198</v>
      </c>
      <c r="E286" s="66">
        <v>4000</v>
      </c>
      <c r="F286" s="66"/>
      <c r="G286" s="66">
        <f t="shared" si="131"/>
        <v>4000</v>
      </c>
      <c r="H286" s="66"/>
      <c r="I286" s="66">
        <f t="shared" si="142"/>
        <v>4000</v>
      </c>
      <c r="J286" s="66"/>
      <c r="K286" s="66">
        <f t="shared" si="143"/>
        <v>4000</v>
      </c>
      <c r="L286" s="66"/>
      <c r="M286" s="66">
        <f t="shared" si="144"/>
        <v>4000</v>
      </c>
      <c r="N286" s="66"/>
      <c r="O286" s="66">
        <f t="shared" si="145"/>
        <v>4000</v>
      </c>
      <c r="P286" s="66"/>
      <c r="Q286" s="66">
        <f t="shared" si="146"/>
        <v>4000</v>
      </c>
      <c r="R286" s="97"/>
      <c r="S286" s="97"/>
    </row>
    <row r="287" spans="1:17" s="22" customFormat="1" ht="21" customHeight="1">
      <c r="A287" s="52"/>
      <c r="B287" s="72"/>
      <c r="C287" s="71">
        <v>4210</v>
      </c>
      <c r="D287" s="34" t="s">
        <v>74</v>
      </c>
      <c r="E287" s="66">
        <v>3990</v>
      </c>
      <c r="F287" s="66"/>
      <c r="G287" s="66">
        <f t="shared" si="131"/>
        <v>3990</v>
      </c>
      <c r="H287" s="66"/>
      <c r="I287" s="66">
        <f t="shared" si="142"/>
        <v>3990</v>
      </c>
      <c r="J287" s="66">
        <v>3000</v>
      </c>
      <c r="K287" s="66">
        <f t="shared" si="143"/>
        <v>6990</v>
      </c>
      <c r="L287" s="66"/>
      <c r="M287" s="66">
        <f t="shared" si="144"/>
        <v>6990</v>
      </c>
      <c r="N287" s="66"/>
      <c r="O287" s="66">
        <f t="shared" si="145"/>
        <v>6990</v>
      </c>
      <c r="P287" s="66"/>
      <c r="Q287" s="66">
        <f t="shared" si="146"/>
        <v>6990</v>
      </c>
    </row>
    <row r="288" spans="1:17" s="22" customFormat="1" ht="21" customHeight="1">
      <c r="A288" s="52"/>
      <c r="B288" s="72"/>
      <c r="C288" s="71">
        <v>4220</v>
      </c>
      <c r="D288" s="12" t="s">
        <v>182</v>
      </c>
      <c r="E288" s="66">
        <v>112000</v>
      </c>
      <c r="F288" s="66"/>
      <c r="G288" s="66">
        <f t="shared" si="131"/>
        <v>112000</v>
      </c>
      <c r="H288" s="66"/>
      <c r="I288" s="66">
        <f t="shared" si="142"/>
        <v>112000</v>
      </c>
      <c r="J288" s="66"/>
      <c r="K288" s="66">
        <f t="shared" si="143"/>
        <v>112000</v>
      </c>
      <c r="L288" s="66"/>
      <c r="M288" s="66">
        <f t="shared" si="144"/>
        <v>112000</v>
      </c>
      <c r="N288" s="66"/>
      <c r="O288" s="66">
        <f t="shared" si="145"/>
        <v>112000</v>
      </c>
      <c r="P288" s="66"/>
      <c r="Q288" s="66">
        <f t="shared" si="146"/>
        <v>112000</v>
      </c>
    </row>
    <row r="289" spans="1:17" s="22" customFormat="1" ht="21" customHeight="1">
      <c r="A289" s="52"/>
      <c r="B289" s="72"/>
      <c r="C289" s="71">
        <v>4280</v>
      </c>
      <c r="D289" s="34" t="s">
        <v>203</v>
      </c>
      <c r="E289" s="66">
        <v>160</v>
      </c>
      <c r="F289" s="66"/>
      <c r="G289" s="66">
        <f t="shared" si="131"/>
        <v>160</v>
      </c>
      <c r="H289" s="66"/>
      <c r="I289" s="66">
        <f t="shared" si="142"/>
        <v>160</v>
      </c>
      <c r="J289" s="66"/>
      <c r="K289" s="66">
        <f t="shared" si="143"/>
        <v>160</v>
      </c>
      <c r="L289" s="66"/>
      <c r="M289" s="66">
        <f t="shared" si="144"/>
        <v>160</v>
      </c>
      <c r="N289" s="66"/>
      <c r="O289" s="66">
        <f t="shared" si="145"/>
        <v>160</v>
      </c>
      <c r="P289" s="66"/>
      <c r="Q289" s="66">
        <f t="shared" si="146"/>
        <v>160</v>
      </c>
    </row>
    <row r="290" spans="1:17" s="22" customFormat="1" ht="24" customHeight="1">
      <c r="A290" s="52"/>
      <c r="B290" s="72"/>
      <c r="C290" s="71">
        <v>4440</v>
      </c>
      <c r="D290" s="34" t="s">
        <v>90</v>
      </c>
      <c r="E290" s="66">
        <v>5346</v>
      </c>
      <c r="F290" s="66"/>
      <c r="G290" s="66">
        <f t="shared" si="131"/>
        <v>5346</v>
      </c>
      <c r="H290" s="66"/>
      <c r="I290" s="66">
        <f t="shared" si="142"/>
        <v>5346</v>
      </c>
      <c r="J290" s="66"/>
      <c r="K290" s="66">
        <f t="shared" si="143"/>
        <v>5346</v>
      </c>
      <c r="L290" s="66"/>
      <c r="M290" s="66">
        <f t="shared" si="144"/>
        <v>5346</v>
      </c>
      <c r="N290" s="66"/>
      <c r="O290" s="66">
        <f t="shared" si="145"/>
        <v>5346</v>
      </c>
      <c r="P290" s="66"/>
      <c r="Q290" s="66">
        <f t="shared" si="146"/>
        <v>5346</v>
      </c>
    </row>
    <row r="291" spans="1:17" s="22" customFormat="1" ht="21" customHeight="1">
      <c r="A291" s="52"/>
      <c r="B291" s="67">
        <v>80195</v>
      </c>
      <c r="C291" s="52"/>
      <c r="D291" s="34" t="s">
        <v>6</v>
      </c>
      <c r="E291" s="66">
        <f aca="true" t="shared" si="147" ref="E291:K291">SUM(E292:E295)</f>
        <v>231670</v>
      </c>
      <c r="F291" s="66">
        <f t="shared" si="147"/>
        <v>0</v>
      </c>
      <c r="G291" s="66">
        <f t="shared" si="147"/>
        <v>231670</v>
      </c>
      <c r="H291" s="66">
        <f t="shared" si="147"/>
        <v>0</v>
      </c>
      <c r="I291" s="66">
        <f t="shared" si="147"/>
        <v>231670</v>
      </c>
      <c r="J291" s="66">
        <f t="shared" si="147"/>
        <v>0</v>
      </c>
      <c r="K291" s="66">
        <f t="shared" si="147"/>
        <v>231670</v>
      </c>
      <c r="L291" s="66">
        <f aca="true" t="shared" si="148" ref="L291:Q291">SUM(L292:L295)</f>
        <v>0</v>
      </c>
      <c r="M291" s="66">
        <f t="shared" si="148"/>
        <v>231670</v>
      </c>
      <c r="N291" s="66">
        <f t="shared" si="148"/>
        <v>0</v>
      </c>
      <c r="O291" s="66">
        <f t="shared" si="148"/>
        <v>231670</v>
      </c>
      <c r="P291" s="66">
        <f t="shared" si="148"/>
        <v>0</v>
      </c>
      <c r="Q291" s="66">
        <f t="shared" si="148"/>
        <v>231670</v>
      </c>
    </row>
    <row r="292" spans="1:19" s="22" customFormat="1" ht="21" customHeight="1">
      <c r="A292" s="52"/>
      <c r="B292" s="67"/>
      <c r="C292" s="52">
        <v>4170</v>
      </c>
      <c r="D292" s="34" t="s">
        <v>198</v>
      </c>
      <c r="E292" s="66">
        <v>500</v>
      </c>
      <c r="F292" s="66"/>
      <c r="G292" s="66">
        <f t="shared" si="131"/>
        <v>500</v>
      </c>
      <c r="H292" s="66"/>
      <c r="I292" s="66">
        <f>SUM(G292:H292)</f>
        <v>500</v>
      </c>
      <c r="J292" s="66"/>
      <c r="K292" s="66">
        <f>SUM(I292:J292)</f>
        <v>500</v>
      </c>
      <c r="L292" s="66"/>
      <c r="M292" s="66">
        <f>SUM(K292:L292)</f>
        <v>500</v>
      </c>
      <c r="N292" s="66"/>
      <c r="O292" s="66">
        <f>SUM(M292:N292)</f>
        <v>500</v>
      </c>
      <c r="P292" s="66"/>
      <c r="Q292" s="66">
        <f>SUM(O292:P292)</f>
        <v>500</v>
      </c>
      <c r="R292" s="97"/>
      <c r="S292" s="97"/>
    </row>
    <row r="293" spans="1:17" s="22" customFormat="1" ht="21" customHeight="1">
      <c r="A293" s="52"/>
      <c r="B293" s="67"/>
      <c r="C293" s="52">
        <v>4210</v>
      </c>
      <c r="D293" s="34" t="s">
        <v>74</v>
      </c>
      <c r="E293" s="66">
        <v>1100</v>
      </c>
      <c r="F293" s="66"/>
      <c r="G293" s="66">
        <f t="shared" si="131"/>
        <v>1100</v>
      </c>
      <c r="H293" s="66"/>
      <c r="I293" s="66">
        <f>SUM(G293:H293)</f>
        <v>1100</v>
      </c>
      <c r="J293" s="66"/>
      <c r="K293" s="66">
        <f>SUM(I293:J293)</f>
        <v>1100</v>
      </c>
      <c r="L293" s="66"/>
      <c r="M293" s="66">
        <f>SUM(K293:L293)</f>
        <v>1100</v>
      </c>
      <c r="N293" s="66"/>
      <c r="O293" s="66">
        <f>SUM(M293:N293)</f>
        <v>1100</v>
      </c>
      <c r="P293" s="66"/>
      <c r="Q293" s="66">
        <f>SUM(O293:P293)</f>
        <v>1100</v>
      </c>
    </row>
    <row r="294" spans="1:17" s="22" customFormat="1" ht="21" customHeight="1">
      <c r="A294" s="52"/>
      <c r="B294" s="67"/>
      <c r="C294" s="52">
        <v>4300</v>
      </c>
      <c r="D294" s="12" t="s">
        <v>81</v>
      </c>
      <c r="E294" s="56">
        <f>50986+5000</f>
        <v>55986</v>
      </c>
      <c r="F294" s="56"/>
      <c r="G294" s="66">
        <f t="shared" si="131"/>
        <v>55986</v>
      </c>
      <c r="H294" s="56"/>
      <c r="I294" s="66">
        <f>SUM(G294:H294)</f>
        <v>55986</v>
      </c>
      <c r="J294" s="56"/>
      <c r="K294" s="66">
        <f>SUM(I294:J294)</f>
        <v>55986</v>
      </c>
      <c r="L294" s="56"/>
      <c r="M294" s="66">
        <f>SUM(K294:L294)</f>
        <v>55986</v>
      </c>
      <c r="N294" s="56"/>
      <c r="O294" s="66">
        <f>SUM(M294:N294)</f>
        <v>55986</v>
      </c>
      <c r="P294" s="56"/>
      <c r="Q294" s="66">
        <f>SUM(O294:P294)</f>
        <v>55986</v>
      </c>
    </row>
    <row r="295" spans="1:17" s="22" customFormat="1" ht="21" customHeight="1">
      <c r="A295" s="52"/>
      <c r="B295" s="67"/>
      <c r="C295" s="52">
        <v>4440</v>
      </c>
      <c r="D295" s="34" t="s">
        <v>90</v>
      </c>
      <c r="E295" s="66">
        <v>174084</v>
      </c>
      <c r="F295" s="66"/>
      <c r="G295" s="66">
        <f t="shared" si="131"/>
        <v>174084</v>
      </c>
      <c r="H295" s="66"/>
      <c r="I295" s="66">
        <f>SUM(G295:H295)</f>
        <v>174084</v>
      </c>
      <c r="J295" s="66"/>
      <c r="K295" s="66">
        <f>SUM(I295:J295)</f>
        <v>174084</v>
      </c>
      <c r="L295" s="66"/>
      <c r="M295" s="66">
        <f>SUM(K295:L295)</f>
        <v>174084</v>
      </c>
      <c r="N295" s="66"/>
      <c r="O295" s="66">
        <f>SUM(M295:N295)</f>
        <v>174084</v>
      </c>
      <c r="P295" s="66"/>
      <c r="Q295" s="66">
        <f>SUM(O295:P295)</f>
        <v>174084</v>
      </c>
    </row>
    <row r="296" spans="1:17" s="5" customFormat="1" ht="21" customHeight="1">
      <c r="A296" s="29" t="s">
        <v>120</v>
      </c>
      <c r="B296" s="30"/>
      <c r="C296" s="31"/>
      <c r="D296" s="32" t="s">
        <v>54</v>
      </c>
      <c r="E296" s="33">
        <f aca="true" t="shared" si="149" ref="E296:K296">SUM(E299,E309,E297)</f>
        <v>102408</v>
      </c>
      <c r="F296" s="33">
        <f t="shared" si="149"/>
        <v>-75000</v>
      </c>
      <c r="G296" s="33">
        <f t="shared" si="149"/>
        <v>97408</v>
      </c>
      <c r="H296" s="33">
        <f t="shared" si="149"/>
        <v>64010</v>
      </c>
      <c r="I296" s="33">
        <f t="shared" si="149"/>
        <v>161418</v>
      </c>
      <c r="J296" s="33">
        <f t="shared" si="149"/>
        <v>0</v>
      </c>
      <c r="K296" s="33">
        <f t="shared" si="149"/>
        <v>161418</v>
      </c>
      <c r="L296" s="33">
        <f aca="true" t="shared" si="150" ref="L296:Q296">SUM(L299,L309,L297)</f>
        <v>0</v>
      </c>
      <c r="M296" s="33">
        <f t="shared" si="150"/>
        <v>161418</v>
      </c>
      <c r="N296" s="33">
        <f t="shared" si="150"/>
        <v>0</v>
      </c>
      <c r="O296" s="33">
        <f t="shared" si="150"/>
        <v>161418</v>
      </c>
      <c r="P296" s="33">
        <f t="shared" si="150"/>
        <v>0</v>
      </c>
      <c r="Q296" s="33">
        <f t="shared" si="150"/>
        <v>161418</v>
      </c>
    </row>
    <row r="297" spans="1:17" s="5" customFormat="1" ht="21" customHeight="1">
      <c r="A297" s="29"/>
      <c r="B297" s="72">
        <v>85153</v>
      </c>
      <c r="C297" s="71"/>
      <c r="D297" s="34" t="s">
        <v>226</v>
      </c>
      <c r="E297" s="66">
        <f aca="true" t="shared" si="151" ref="E297:Q297">SUM(E298:E298)</f>
        <v>6360</v>
      </c>
      <c r="F297" s="66">
        <f t="shared" si="151"/>
        <v>0</v>
      </c>
      <c r="G297" s="66">
        <f t="shared" si="151"/>
        <v>6360</v>
      </c>
      <c r="H297" s="66">
        <f t="shared" si="151"/>
        <v>0</v>
      </c>
      <c r="I297" s="66">
        <f t="shared" si="151"/>
        <v>6360</v>
      </c>
      <c r="J297" s="66">
        <f t="shared" si="151"/>
        <v>0</v>
      </c>
      <c r="K297" s="66">
        <f t="shared" si="151"/>
        <v>6360</v>
      </c>
      <c r="L297" s="66">
        <f t="shared" si="151"/>
        <v>0</v>
      </c>
      <c r="M297" s="66">
        <f t="shared" si="151"/>
        <v>6360</v>
      </c>
      <c r="N297" s="66">
        <f t="shared" si="151"/>
        <v>0</v>
      </c>
      <c r="O297" s="66">
        <f t="shared" si="151"/>
        <v>6360</v>
      </c>
      <c r="P297" s="66">
        <f t="shared" si="151"/>
        <v>0</v>
      </c>
      <c r="Q297" s="66">
        <f t="shared" si="151"/>
        <v>6360</v>
      </c>
    </row>
    <row r="298" spans="1:17" s="5" customFormat="1" ht="21" customHeight="1">
      <c r="A298" s="29"/>
      <c r="B298" s="72"/>
      <c r="C298" s="71">
        <v>4300</v>
      </c>
      <c r="D298" s="34" t="s">
        <v>81</v>
      </c>
      <c r="E298" s="66">
        <v>6360</v>
      </c>
      <c r="F298" s="66"/>
      <c r="G298" s="66">
        <f t="shared" si="131"/>
        <v>6360</v>
      </c>
      <c r="H298" s="66"/>
      <c r="I298" s="66">
        <f>SUM(G298:H298)</f>
        <v>6360</v>
      </c>
      <c r="J298" s="66"/>
      <c r="K298" s="66">
        <f>SUM(I298:J298)</f>
        <v>6360</v>
      </c>
      <c r="L298" s="66"/>
      <c r="M298" s="66">
        <f>SUM(K298:L298)</f>
        <v>6360</v>
      </c>
      <c r="N298" s="66"/>
      <c r="O298" s="66">
        <f>SUM(M298:N298)</f>
        <v>6360</v>
      </c>
      <c r="P298" s="66"/>
      <c r="Q298" s="66">
        <f>SUM(O298:P298)</f>
        <v>6360</v>
      </c>
    </row>
    <row r="299" spans="1:17" s="22" customFormat="1" ht="21" customHeight="1">
      <c r="A299" s="52"/>
      <c r="B299" s="67" t="s">
        <v>121</v>
      </c>
      <c r="C299" s="71"/>
      <c r="D299" s="34" t="s">
        <v>55</v>
      </c>
      <c r="E299" s="66">
        <f>SUM(E301:E308)</f>
        <v>86048</v>
      </c>
      <c r="F299" s="66">
        <f>SUM(F301:F308)</f>
        <v>-75000</v>
      </c>
      <c r="G299" s="66">
        <f aca="true" t="shared" si="152" ref="G299:M299">SUM(G300:G308)</f>
        <v>81048</v>
      </c>
      <c r="H299" s="66">
        <f t="shared" si="152"/>
        <v>64010</v>
      </c>
      <c r="I299" s="66">
        <f t="shared" si="152"/>
        <v>145058</v>
      </c>
      <c r="J299" s="66">
        <f t="shared" si="152"/>
        <v>0</v>
      </c>
      <c r="K299" s="66">
        <f t="shared" si="152"/>
        <v>145058</v>
      </c>
      <c r="L299" s="66">
        <f t="shared" si="152"/>
        <v>0</v>
      </c>
      <c r="M299" s="66">
        <f t="shared" si="152"/>
        <v>145058</v>
      </c>
      <c r="N299" s="66">
        <f>SUM(N300:N308)</f>
        <v>0</v>
      </c>
      <c r="O299" s="66">
        <f>SUM(O300:O308)</f>
        <v>145058</v>
      </c>
      <c r="P299" s="66">
        <f>SUM(P300:P308)</f>
        <v>0</v>
      </c>
      <c r="Q299" s="66">
        <f>SUM(Q300:Q308)</f>
        <v>145058</v>
      </c>
    </row>
    <row r="300" spans="1:17" s="22" customFormat="1" ht="34.5" customHeight="1">
      <c r="A300" s="52"/>
      <c r="B300" s="67"/>
      <c r="C300" s="71">
        <v>2820</v>
      </c>
      <c r="D300" s="34" t="s">
        <v>253</v>
      </c>
      <c r="E300" s="66" t="s">
        <v>253</v>
      </c>
      <c r="F300" s="66"/>
      <c r="G300" s="66">
        <v>0</v>
      </c>
      <c r="H300" s="66">
        <v>8130</v>
      </c>
      <c r="I300" s="66">
        <f aca="true" t="shared" si="153" ref="I300:I308">SUM(G300:H300)</f>
        <v>8130</v>
      </c>
      <c r="J300" s="66"/>
      <c r="K300" s="66">
        <f aca="true" t="shared" si="154" ref="K300:K308">SUM(I300:J300)</f>
        <v>8130</v>
      </c>
      <c r="L300" s="66"/>
      <c r="M300" s="66">
        <f aca="true" t="shared" si="155" ref="M300:M308">SUM(K300:L300)</f>
        <v>8130</v>
      </c>
      <c r="N300" s="66"/>
      <c r="O300" s="66">
        <f aca="true" t="shared" si="156" ref="O300:O308">SUM(M300:N300)</f>
        <v>8130</v>
      </c>
      <c r="P300" s="66"/>
      <c r="Q300" s="66">
        <f aca="true" t="shared" si="157" ref="Q300:Q308">SUM(O300:P300)</f>
        <v>8130</v>
      </c>
    </row>
    <row r="301" spans="1:17" s="22" customFormat="1" ht="58.5" customHeight="1">
      <c r="A301" s="52"/>
      <c r="B301" s="72"/>
      <c r="C301" s="71">
        <v>2830</v>
      </c>
      <c r="D301" s="34" t="s">
        <v>293</v>
      </c>
      <c r="E301" s="66" t="s">
        <v>293</v>
      </c>
      <c r="F301" s="66">
        <v>-70000</v>
      </c>
      <c r="G301" s="66">
        <v>0</v>
      </c>
      <c r="H301" s="66">
        <f>50060+5820</f>
        <v>55880</v>
      </c>
      <c r="I301" s="66">
        <f t="shared" si="153"/>
        <v>55880</v>
      </c>
      <c r="J301" s="66"/>
      <c r="K301" s="66">
        <f t="shared" si="154"/>
        <v>55880</v>
      </c>
      <c r="L301" s="66"/>
      <c r="M301" s="66">
        <f t="shared" si="155"/>
        <v>55880</v>
      </c>
      <c r="N301" s="66"/>
      <c r="O301" s="66">
        <f t="shared" si="156"/>
        <v>55880</v>
      </c>
      <c r="P301" s="66"/>
      <c r="Q301" s="66">
        <f t="shared" si="157"/>
        <v>55880</v>
      </c>
    </row>
    <row r="302" spans="1:19" s="22" customFormat="1" ht="21" customHeight="1">
      <c r="A302" s="52"/>
      <c r="B302" s="72"/>
      <c r="C302" s="71">
        <v>4110</v>
      </c>
      <c r="D302" s="12" t="s">
        <v>88</v>
      </c>
      <c r="E302" s="66">
        <v>1758</v>
      </c>
      <c r="F302" s="66"/>
      <c r="G302" s="66">
        <f t="shared" si="131"/>
        <v>1758</v>
      </c>
      <c r="H302" s="66"/>
      <c r="I302" s="66">
        <f t="shared" si="153"/>
        <v>1758</v>
      </c>
      <c r="J302" s="66"/>
      <c r="K302" s="66">
        <f t="shared" si="154"/>
        <v>1758</v>
      </c>
      <c r="L302" s="66"/>
      <c r="M302" s="66">
        <f t="shared" si="155"/>
        <v>1758</v>
      </c>
      <c r="N302" s="66"/>
      <c r="O302" s="66">
        <f t="shared" si="156"/>
        <v>1758</v>
      </c>
      <c r="P302" s="66"/>
      <c r="Q302" s="66">
        <f t="shared" si="157"/>
        <v>1758</v>
      </c>
      <c r="R302" s="97"/>
      <c r="S302" s="97"/>
    </row>
    <row r="303" spans="1:19" s="22" customFormat="1" ht="21" customHeight="1">
      <c r="A303" s="52"/>
      <c r="B303" s="72"/>
      <c r="C303" s="71">
        <v>4170</v>
      </c>
      <c r="D303" s="34" t="s">
        <v>198</v>
      </c>
      <c r="E303" s="66">
        <v>37800</v>
      </c>
      <c r="F303" s="66"/>
      <c r="G303" s="66">
        <f t="shared" si="131"/>
        <v>37800</v>
      </c>
      <c r="H303" s="66"/>
      <c r="I303" s="66">
        <f t="shared" si="153"/>
        <v>37800</v>
      </c>
      <c r="J303" s="66"/>
      <c r="K303" s="66">
        <f t="shared" si="154"/>
        <v>37800</v>
      </c>
      <c r="L303" s="66"/>
      <c r="M303" s="66">
        <f t="shared" si="155"/>
        <v>37800</v>
      </c>
      <c r="N303" s="66"/>
      <c r="O303" s="66">
        <f t="shared" si="156"/>
        <v>37800</v>
      </c>
      <c r="P303" s="66"/>
      <c r="Q303" s="66">
        <f t="shared" si="157"/>
        <v>37800</v>
      </c>
      <c r="R303" s="97"/>
      <c r="S303" s="97"/>
    </row>
    <row r="304" spans="1:17" s="22" customFormat="1" ht="21" customHeight="1">
      <c r="A304" s="52"/>
      <c r="B304" s="72"/>
      <c r="C304" s="71">
        <v>4210</v>
      </c>
      <c r="D304" s="12" t="s">
        <v>94</v>
      </c>
      <c r="E304" s="66">
        <v>8000</v>
      </c>
      <c r="F304" s="66"/>
      <c r="G304" s="66">
        <f t="shared" si="131"/>
        <v>8000</v>
      </c>
      <c r="H304" s="66"/>
      <c r="I304" s="66">
        <f t="shared" si="153"/>
        <v>8000</v>
      </c>
      <c r="J304" s="66"/>
      <c r="K304" s="66">
        <f t="shared" si="154"/>
        <v>8000</v>
      </c>
      <c r="L304" s="66"/>
      <c r="M304" s="66">
        <f t="shared" si="155"/>
        <v>8000</v>
      </c>
      <c r="N304" s="66"/>
      <c r="O304" s="66">
        <f t="shared" si="156"/>
        <v>8000</v>
      </c>
      <c r="P304" s="66"/>
      <c r="Q304" s="66">
        <f t="shared" si="157"/>
        <v>8000</v>
      </c>
    </row>
    <row r="305" spans="1:17" s="22" customFormat="1" ht="21" customHeight="1">
      <c r="A305" s="52"/>
      <c r="B305" s="72"/>
      <c r="C305" s="71">
        <v>4220</v>
      </c>
      <c r="D305" s="12" t="s">
        <v>182</v>
      </c>
      <c r="E305" s="66">
        <v>10000</v>
      </c>
      <c r="F305" s="66"/>
      <c r="G305" s="66">
        <f t="shared" si="131"/>
        <v>10000</v>
      </c>
      <c r="H305" s="66"/>
      <c r="I305" s="66">
        <f t="shared" si="153"/>
        <v>10000</v>
      </c>
      <c r="J305" s="66"/>
      <c r="K305" s="66">
        <f t="shared" si="154"/>
        <v>10000</v>
      </c>
      <c r="L305" s="66"/>
      <c r="M305" s="66">
        <f t="shared" si="155"/>
        <v>10000</v>
      </c>
      <c r="N305" s="66"/>
      <c r="O305" s="66">
        <f t="shared" si="156"/>
        <v>10000</v>
      </c>
      <c r="P305" s="66"/>
      <c r="Q305" s="66">
        <f t="shared" si="157"/>
        <v>10000</v>
      </c>
    </row>
    <row r="306" spans="1:17" s="22" customFormat="1" ht="21" customHeight="1">
      <c r="A306" s="52"/>
      <c r="B306" s="72"/>
      <c r="C306" s="71">
        <v>4300</v>
      </c>
      <c r="D306" s="34" t="s">
        <v>81</v>
      </c>
      <c r="E306" s="66">
        <f>25240+850</f>
        <v>26090</v>
      </c>
      <c r="F306" s="66">
        <v>-5000</v>
      </c>
      <c r="G306" s="66">
        <f t="shared" si="131"/>
        <v>21090</v>
      </c>
      <c r="H306" s="66"/>
      <c r="I306" s="66">
        <f t="shared" si="153"/>
        <v>21090</v>
      </c>
      <c r="J306" s="66"/>
      <c r="K306" s="66">
        <f t="shared" si="154"/>
        <v>21090</v>
      </c>
      <c r="L306" s="66"/>
      <c r="M306" s="66">
        <f t="shared" si="155"/>
        <v>21090</v>
      </c>
      <c r="N306" s="66"/>
      <c r="O306" s="66">
        <f t="shared" si="156"/>
        <v>21090</v>
      </c>
      <c r="P306" s="66"/>
      <c r="Q306" s="66">
        <f t="shared" si="157"/>
        <v>21090</v>
      </c>
    </row>
    <row r="307" spans="1:17" s="22" customFormat="1" ht="21" customHeight="1">
      <c r="A307" s="52"/>
      <c r="B307" s="72"/>
      <c r="C307" s="71">
        <v>4350</v>
      </c>
      <c r="D307" s="34" t="s">
        <v>211</v>
      </c>
      <c r="E307" s="66">
        <v>1200</v>
      </c>
      <c r="F307" s="66"/>
      <c r="G307" s="66">
        <f t="shared" si="131"/>
        <v>1200</v>
      </c>
      <c r="H307" s="66"/>
      <c r="I307" s="66">
        <f t="shared" si="153"/>
        <v>1200</v>
      </c>
      <c r="J307" s="66"/>
      <c r="K307" s="66">
        <f t="shared" si="154"/>
        <v>1200</v>
      </c>
      <c r="L307" s="66"/>
      <c r="M307" s="66">
        <f t="shared" si="155"/>
        <v>1200</v>
      </c>
      <c r="N307" s="66"/>
      <c r="O307" s="66">
        <f t="shared" si="156"/>
        <v>1200</v>
      </c>
      <c r="P307" s="66"/>
      <c r="Q307" s="66">
        <f t="shared" si="157"/>
        <v>1200</v>
      </c>
    </row>
    <row r="308" spans="1:17" s="22" customFormat="1" ht="21" customHeight="1">
      <c r="A308" s="52"/>
      <c r="B308" s="72"/>
      <c r="C308" s="71">
        <v>4410</v>
      </c>
      <c r="D308" s="34" t="s">
        <v>92</v>
      </c>
      <c r="E308" s="66">
        <v>1200</v>
      </c>
      <c r="F308" s="66"/>
      <c r="G308" s="66">
        <f t="shared" si="131"/>
        <v>1200</v>
      </c>
      <c r="H308" s="66"/>
      <c r="I308" s="66">
        <f t="shared" si="153"/>
        <v>1200</v>
      </c>
      <c r="J308" s="66"/>
      <c r="K308" s="66">
        <f t="shared" si="154"/>
        <v>1200</v>
      </c>
      <c r="L308" s="66"/>
      <c r="M308" s="66">
        <f t="shared" si="155"/>
        <v>1200</v>
      </c>
      <c r="N308" s="66"/>
      <c r="O308" s="66">
        <f t="shared" si="156"/>
        <v>1200</v>
      </c>
      <c r="P308" s="66"/>
      <c r="Q308" s="66">
        <f t="shared" si="157"/>
        <v>1200</v>
      </c>
    </row>
    <row r="309" spans="1:17" s="22" customFormat="1" ht="21" customHeight="1">
      <c r="A309" s="52"/>
      <c r="B309" s="72">
        <v>85195</v>
      </c>
      <c r="C309" s="71"/>
      <c r="D309" s="34" t="s">
        <v>6</v>
      </c>
      <c r="E309" s="66">
        <f aca="true" t="shared" si="158" ref="E309:Q309">SUM(E310)</f>
        <v>10000</v>
      </c>
      <c r="F309" s="66">
        <f t="shared" si="158"/>
        <v>0</v>
      </c>
      <c r="G309" s="66">
        <f t="shared" si="158"/>
        <v>10000</v>
      </c>
      <c r="H309" s="66">
        <f t="shared" si="158"/>
        <v>0</v>
      </c>
      <c r="I309" s="66">
        <f t="shared" si="158"/>
        <v>10000</v>
      </c>
      <c r="J309" s="66">
        <f t="shared" si="158"/>
        <v>0</v>
      </c>
      <c r="K309" s="66">
        <f t="shared" si="158"/>
        <v>10000</v>
      </c>
      <c r="L309" s="66">
        <f t="shared" si="158"/>
        <v>0</v>
      </c>
      <c r="M309" s="66">
        <f t="shared" si="158"/>
        <v>10000</v>
      </c>
      <c r="N309" s="66">
        <f t="shared" si="158"/>
        <v>0</v>
      </c>
      <c r="O309" s="66">
        <f t="shared" si="158"/>
        <v>10000</v>
      </c>
      <c r="P309" s="66">
        <f t="shared" si="158"/>
        <v>0</v>
      </c>
      <c r="Q309" s="66">
        <f t="shared" si="158"/>
        <v>10000</v>
      </c>
    </row>
    <row r="310" spans="1:17" s="22" customFormat="1" ht="21" customHeight="1">
      <c r="A310" s="52"/>
      <c r="B310" s="72"/>
      <c r="C310" s="71">
        <v>4430</v>
      </c>
      <c r="D310" s="34" t="s">
        <v>96</v>
      </c>
      <c r="E310" s="66">
        <v>10000</v>
      </c>
      <c r="F310" s="66"/>
      <c r="G310" s="66">
        <f t="shared" si="131"/>
        <v>10000</v>
      </c>
      <c r="H310" s="66"/>
      <c r="I310" s="66">
        <f>SUM(G310:H310)</f>
        <v>10000</v>
      </c>
      <c r="J310" s="66"/>
      <c r="K310" s="66">
        <f>SUM(I310:J310)</f>
        <v>10000</v>
      </c>
      <c r="L310" s="66"/>
      <c r="M310" s="66">
        <f>SUM(K310:L310)</f>
        <v>10000</v>
      </c>
      <c r="N310" s="66"/>
      <c r="O310" s="66">
        <f>SUM(M310:N310)</f>
        <v>10000</v>
      </c>
      <c r="P310" s="66"/>
      <c r="Q310" s="66">
        <f>SUM(O310:P310)</f>
        <v>10000</v>
      </c>
    </row>
    <row r="311" spans="1:17" s="5" customFormat="1" ht="24.75" customHeight="1">
      <c r="A311" s="45">
        <v>852</v>
      </c>
      <c r="B311" s="30"/>
      <c r="C311" s="31"/>
      <c r="D311" s="32" t="s">
        <v>192</v>
      </c>
      <c r="E311" s="33">
        <f aca="true" t="shared" si="159" ref="E311:K311">SUM(E312,E336,E338,E341,E343,E367,E369,)</f>
        <v>11465246</v>
      </c>
      <c r="F311" s="33">
        <f t="shared" si="159"/>
        <v>0</v>
      </c>
      <c r="G311" s="33">
        <f t="shared" si="159"/>
        <v>11465246</v>
      </c>
      <c r="H311" s="33">
        <f t="shared" si="159"/>
        <v>0</v>
      </c>
      <c r="I311" s="33">
        <f t="shared" si="159"/>
        <v>11465246</v>
      </c>
      <c r="J311" s="33">
        <f t="shared" si="159"/>
        <v>312600</v>
      </c>
      <c r="K311" s="33">
        <f t="shared" si="159"/>
        <v>11777846</v>
      </c>
      <c r="L311" s="33">
        <f aca="true" t="shared" si="160" ref="L311:Q311">SUM(L312,L336,L338,L341,L343,L367,L369,)</f>
        <v>36050</v>
      </c>
      <c r="M311" s="33">
        <f t="shared" si="160"/>
        <v>11813896</v>
      </c>
      <c r="N311" s="33">
        <f t="shared" si="160"/>
        <v>75000</v>
      </c>
      <c r="O311" s="33">
        <f t="shared" si="160"/>
        <v>11888896</v>
      </c>
      <c r="P311" s="33">
        <f t="shared" si="160"/>
        <v>0</v>
      </c>
      <c r="Q311" s="33">
        <f t="shared" si="160"/>
        <v>11888896</v>
      </c>
    </row>
    <row r="312" spans="1:17" s="22" customFormat="1" ht="48">
      <c r="A312" s="81"/>
      <c r="B312" s="37">
        <v>85212</v>
      </c>
      <c r="C312" s="64"/>
      <c r="D312" s="62" t="s">
        <v>319</v>
      </c>
      <c r="E312" s="56">
        <f aca="true" t="shared" si="161" ref="E312:K312">SUM(E313:E335)</f>
        <v>6568634</v>
      </c>
      <c r="F312" s="56">
        <f t="shared" si="161"/>
        <v>0</v>
      </c>
      <c r="G312" s="56">
        <f t="shared" si="161"/>
        <v>6568634</v>
      </c>
      <c r="H312" s="56">
        <f t="shared" si="161"/>
        <v>0</v>
      </c>
      <c r="I312" s="56">
        <f t="shared" si="161"/>
        <v>6568634</v>
      </c>
      <c r="J312" s="56">
        <f t="shared" si="161"/>
        <v>334300</v>
      </c>
      <c r="K312" s="56">
        <f t="shared" si="161"/>
        <v>6902934</v>
      </c>
      <c r="L312" s="56">
        <f aca="true" t="shared" si="162" ref="L312:Q312">SUM(L313:L335)</f>
        <v>0</v>
      </c>
      <c r="M312" s="56">
        <f t="shared" si="162"/>
        <v>6902934</v>
      </c>
      <c r="N312" s="56">
        <f t="shared" si="162"/>
        <v>0</v>
      </c>
      <c r="O312" s="56">
        <f t="shared" si="162"/>
        <v>6902934</v>
      </c>
      <c r="P312" s="56">
        <f t="shared" si="162"/>
        <v>0</v>
      </c>
      <c r="Q312" s="56">
        <f t="shared" si="162"/>
        <v>6902934</v>
      </c>
    </row>
    <row r="313" spans="1:17" s="22" customFormat="1" ht="21" customHeight="1">
      <c r="A313" s="81"/>
      <c r="B313" s="37"/>
      <c r="C313" s="64">
        <v>3020</v>
      </c>
      <c r="D313" s="34" t="s">
        <v>196</v>
      </c>
      <c r="E313" s="56">
        <v>1760</v>
      </c>
      <c r="F313" s="56"/>
      <c r="G313" s="66">
        <f t="shared" si="131"/>
        <v>1760</v>
      </c>
      <c r="H313" s="56"/>
      <c r="I313" s="66">
        <f aca="true" t="shared" si="163" ref="I313:I335">SUM(G313:H313)</f>
        <v>1760</v>
      </c>
      <c r="J313" s="56"/>
      <c r="K313" s="66">
        <f aca="true" t="shared" si="164" ref="K313:K335">SUM(I313:J313)</f>
        <v>1760</v>
      </c>
      <c r="L313" s="56"/>
      <c r="M313" s="66">
        <f aca="true" t="shared" si="165" ref="M313:M335">SUM(K313:L313)</f>
        <v>1760</v>
      </c>
      <c r="N313" s="56"/>
      <c r="O313" s="66">
        <f aca="true" t="shared" si="166" ref="O313:O335">SUM(M313:N313)</f>
        <v>1760</v>
      </c>
      <c r="P313" s="56"/>
      <c r="Q313" s="66">
        <f aca="true" t="shared" si="167" ref="Q313:Q335">SUM(O313:P313)</f>
        <v>1760</v>
      </c>
    </row>
    <row r="314" spans="1:17" s="22" customFormat="1" ht="21" customHeight="1">
      <c r="A314" s="81"/>
      <c r="B314" s="37"/>
      <c r="C314" s="64">
        <v>3110</v>
      </c>
      <c r="D314" s="62" t="s">
        <v>114</v>
      </c>
      <c r="E314" s="56">
        <f>6284727-51000</f>
        <v>6233727</v>
      </c>
      <c r="F314" s="56"/>
      <c r="G314" s="66">
        <f t="shared" si="131"/>
        <v>6233727</v>
      </c>
      <c r="H314" s="56"/>
      <c r="I314" s="66">
        <f t="shared" si="163"/>
        <v>6233727</v>
      </c>
      <c r="J314" s="56">
        <v>324271</v>
      </c>
      <c r="K314" s="66">
        <f t="shared" si="164"/>
        <v>6557998</v>
      </c>
      <c r="L314" s="56"/>
      <c r="M314" s="66">
        <f t="shared" si="165"/>
        <v>6557998</v>
      </c>
      <c r="N314" s="56"/>
      <c r="O314" s="66">
        <f t="shared" si="166"/>
        <v>6557998</v>
      </c>
      <c r="P314" s="56"/>
      <c r="Q314" s="66">
        <f t="shared" si="167"/>
        <v>6557998</v>
      </c>
    </row>
    <row r="315" spans="1:19" s="22" customFormat="1" ht="21" customHeight="1">
      <c r="A315" s="81"/>
      <c r="B315" s="37"/>
      <c r="C315" s="37">
        <v>4010</v>
      </c>
      <c r="D315" s="12" t="s">
        <v>86</v>
      </c>
      <c r="E315" s="56">
        <f>153581+24502</f>
        <v>178083</v>
      </c>
      <c r="F315" s="56"/>
      <c r="G315" s="66">
        <f t="shared" si="131"/>
        <v>178083</v>
      </c>
      <c r="H315" s="56"/>
      <c r="I315" s="66">
        <f t="shared" si="163"/>
        <v>178083</v>
      </c>
      <c r="J315" s="56">
        <v>1080</v>
      </c>
      <c r="K315" s="66">
        <f t="shared" si="164"/>
        <v>179163</v>
      </c>
      <c r="L315" s="56"/>
      <c r="M315" s="66">
        <f t="shared" si="165"/>
        <v>179163</v>
      </c>
      <c r="N315" s="56"/>
      <c r="O315" s="66">
        <f t="shared" si="166"/>
        <v>179163</v>
      </c>
      <c r="P315" s="56"/>
      <c r="Q315" s="66">
        <f t="shared" si="167"/>
        <v>179163</v>
      </c>
      <c r="R315" s="97"/>
      <c r="S315" s="97"/>
    </row>
    <row r="316" spans="1:19" s="22" customFormat="1" ht="21" customHeight="1">
      <c r="A316" s="81"/>
      <c r="B316" s="37"/>
      <c r="C316" s="37">
        <v>4040</v>
      </c>
      <c r="D316" s="12" t="s">
        <v>87</v>
      </c>
      <c r="E316" s="56">
        <v>12000</v>
      </c>
      <c r="F316" s="56"/>
      <c r="G316" s="66">
        <f t="shared" si="131"/>
        <v>12000</v>
      </c>
      <c r="H316" s="56"/>
      <c r="I316" s="66">
        <f t="shared" si="163"/>
        <v>12000</v>
      </c>
      <c r="J316" s="56">
        <v>-1406</v>
      </c>
      <c r="K316" s="66">
        <f t="shared" si="164"/>
        <v>10594</v>
      </c>
      <c r="L316" s="56"/>
      <c r="M316" s="66">
        <f t="shared" si="165"/>
        <v>10594</v>
      </c>
      <c r="N316" s="56"/>
      <c r="O316" s="66">
        <f t="shared" si="166"/>
        <v>10594</v>
      </c>
      <c r="P316" s="56"/>
      <c r="Q316" s="66">
        <f t="shared" si="167"/>
        <v>10594</v>
      </c>
      <c r="R316" s="97"/>
      <c r="S316" s="97"/>
    </row>
    <row r="317" spans="1:19" s="22" customFormat="1" ht="21" customHeight="1">
      <c r="A317" s="81"/>
      <c r="B317" s="37"/>
      <c r="C317" s="37">
        <v>4110</v>
      </c>
      <c r="D317" s="12" t="s">
        <v>88</v>
      </c>
      <c r="E317" s="56">
        <f>20612+7904+51000</f>
        <v>79516</v>
      </c>
      <c r="F317" s="56"/>
      <c r="G317" s="66">
        <f t="shared" si="131"/>
        <v>79516</v>
      </c>
      <c r="H317" s="56"/>
      <c r="I317" s="66">
        <f t="shared" si="163"/>
        <v>79516</v>
      </c>
      <c r="J317" s="56"/>
      <c r="K317" s="66">
        <f t="shared" si="164"/>
        <v>79516</v>
      </c>
      <c r="L317" s="56"/>
      <c r="M317" s="66">
        <f t="shared" si="165"/>
        <v>79516</v>
      </c>
      <c r="N317" s="56"/>
      <c r="O317" s="66">
        <f t="shared" si="166"/>
        <v>79516</v>
      </c>
      <c r="P317" s="56"/>
      <c r="Q317" s="66">
        <f t="shared" si="167"/>
        <v>79516</v>
      </c>
      <c r="R317" s="97"/>
      <c r="S317" s="97"/>
    </row>
    <row r="318" spans="1:19" s="22" customFormat="1" ht="21" customHeight="1">
      <c r="A318" s="81"/>
      <c r="B318" s="37"/>
      <c r="C318" s="37">
        <v>4120</v>
      </c>
      <c r="D318" s="12" t="s">
        <v>89</v>
      </c>
      <c r="E318" s="56">
        <f>3305+1268</f>
        <v>4573</v>
      </c>
      <c r="F318" s="56"/>
      <c r="G318" s="66">
        <f t="shared" si="131"/>
        <v>4573</v>
      </c>
      <c r="H318" s="56"/>
      <c r="I318" s="66">
        <f t="shared" si="163"/>
        <v>4573</v>
      </c>
      <c r="J318" s="56"/>
      <c r="K318" s="66">
        <f t="shared" si="164"/>
        <v>4573</v>
      </c>
      <c r="L318" s="56"/>
      <c r="M318" s="66">
        <f t="shared" si="165"/>
        <v>4573</v>
      </c>
      <c r="N318" s="56"/>
      <c r="O318" s="66">
        <f t="shared" si="166"/>
        <v>4573</v>
      </c>
      <c r="P318" s="56"/>
      <c r="Q318" s="66">
        <f t="shared" si="167"/>
        <v>4573</v>
      </c>
      <c r="R318" s="97"/>
      <c r="S318" s="97"/>
    </row>
    <row r="319" spans="1:19" s="22" customFormat="1" ht="21" customHeight="1">
      <c r="A319" s="81"/>
      <c r="B319" s="63"/>
      <c r="C319" s="37">
        <v>4170</v>
      </c>
      <c r="D319" s="34" t="s">
        <v>198</v>
      </c>
      <c r="E319" s="56">
        <v>3000</v>
      </c>
      <c r="F319" s="56"/>
      <c r="G319" s="66">
        <f t="shared" si="131"/>
        <v>3000</v>
      </c>
      <c r="H319" s="56"/>
      <c r="I319" s="66">
        <f t="shared" si="163"/>
        <v>3000</v>
      </c>
      <c r="J319" s="56"/>
      <c r="K319" s="66">
        <f t="shared" si="164"/>
        <v>3000</v>
      </c>
      <c r="L319" s="56"/>
      <c r="M319" s="66">
        <f t="shared" si="165"/>
        <v>3000</v>
      </c>
      <c r="N319" s="56"/>
      <c r="O319" s="66">
        <f t="shared" si="166"/>
        <v>3000</v>
      </c>
      <c r="P319" s="56"/>
      <c r="Q319" s="66">
        <f t="shared" si="167"/>
        <v>3000</v>
      </c>
      <c r="R319" s="97"/>
      <c r="S319" s="97"/>
    </row>
    <row r="320" spans="1:17" s="22" customFormat="1" ht="21" customHeight="1">
      <c r="A320" s="81"/>
      <c r="B320" s="63"/>
      <c r="C320" s="37">
        <v>4210</v>
      </c>
      <c r="D320" s="12" t="s">
        <v>94</v>
      </c>
      <c r="E320" s="56">
        <v>6980</v>
      </c>
      <c r="F320" s="56"/>
      <c r="G320" s="66">
        <f t="shared" si="131"/>
        <v>6980</v>
      </c>
      <c r="H320" s="56"/>
      <c r="I320" s="66">
        <f t="shared" si="163"/>
        <v>6980</v>
      </c>
      <c r="J320" s="56">
        <v>5029</v>
      </c>
      <c r="K320" s="66">
        <f t="shared" si="164"/>
        <v>12009</v>
      </c>
      <c r="L320" s="56">
        <v>-4200</v>
      </c>
      <c r="M320" s="66">
        <f t="shared" si="165"/>
        <v>7809</v>
      </c>
      <c r="N320" s="56"/>
      <c r="O320" s="66">
        <f t="shared" si="166"/>
        <v>7809</v>
      </c>
      <c r="P320" s="56"/>
      <c r="Q320" s="66">
        <f t="shared" si="167"/>
        <v>7809</v>
      </c>
    </row>
    <row r="321" spans="1:17" s="22" customFormat="1" ht="21" customHeight="1">
      <c r="A321" s="81"/>
      <c r="B321" s="63"/>
      <c r="C321" s="37">
        <v>4260</v>
      </c>
      <c r="D321" s="34" t="s">
        <v>97</v>
      </c>
      <c r="E321" s="56">
        <v>8400</v>
      </c>
      <c r="F321" s="56"/>
      <c r="G321" s="66">
        <f t="shared" si="131"/>
        <v>8400</v>
      </c>
      <c r="H321" s="56"/>
      <c r="I321" s="66">
        <f t="shared" si="163"/>
        <v>8400</v>
      </c>
      <c r="J321" s="56"/>
      <c r="K321" s="66">
        <f t="shared" si="164"/>
        <v>8400</v>
      </c>
      <c r="L321" s="56"/>
      <c r="M321" s="66">
        <f t="shared" si="165"/>
        <v>8400</v>
      </c>
      <c r="N321" s="56"/>
      <c r="O321" s="66">
        <f t="shared" si="166"/>
        <v>8400</v>
      </c>
      <c r="P321" s="56"/>
      <c r="Q321" s="66">
        <f t="shared" si="167"/>
        <v>8400</v>
      </c>
    </row>
    <row r="322" spans="1:17" s="22" customFormat="1" ht="21" customHeight="1">
      <c r="A322" s="81"/>
      <c r="B322" s="63"/>
      <c r="C322" s="37">
        <v>4270</v>
      </c>
      <c r="D322" s="34" t="s">
        <v>80</v>
      </c>
      <c r="E322" s="56">
        <v>2000</v>
      </c>
      <c r="F322" s="56"/>
      <c r="G322" s="66">
        <f t="shared" si="131"/>
        <v>2000</v>
      </c>
      <c r="H322" s="56"/>
      <c r="I322" s="66">
        <f t="shared" si="163"/>
        <v>2000</v>
      </c>
      <c r="J322" s="56"/>
      <c r="K322" s="66">
        <f t="shared" si="164"/>
        <v>2000</v>
      </c>
      <c r="L322" s="56"/>
      <c r="M322" s="66">
        <f t="shared" si="165"/>
        <v>2000</v>
      </c>
      <c r="N322" s="56"/>
      <c r="O322" s="66">
        <f t="shared" si="166"/>
        <v>2000</v>
      </c>
      <c r="P322" s="56"/>
      <c r="Q322" s="66">
        <f t="shared" si="167"/>
        <v>2000</v>
      </c>
    </row>
    <row r="323" spans="1:17" s="22" customFormat="1" ht="21" customHeight="1">
      <c r="A323" s="81"/>
      <c r="B323" s="63"/>
      <c r="C323" s="37">
        <v>4280</v>
      </c>
      <c r="D323" s="34" t="s">
        <v>203</v>
      </c>
      <c r="E323" s="56">
        <v>960</v>
      </c>
      <c r="F323" s="56"/>
      <c r="G323" s="66">
        <f t="shared" si="131"/>
        <v>960</v>
      </c>
      <c r="H323" s="56"/>
      <c r="I323" s="66">
        <f t="shared" si="163"/>
        <v>960</v>
      </c>
      <c r="J323" s="56"/>
      <c r="K323" s="66">
        <f t="shared" si="164"/>
        <v>960</v>
      </c>
      <c r="L323" s="56"/>
      <c r="M323" s="66">
        <f t="shared" si="165"/>
        <v>960</v>
      </c>
      <c r="N323" s="56"/>
      <c r="O323" s="66">
        <f t="shared" si="166"/>
        <v>960</v>
      </c>
      <c r="P323" s="56"/>
      <c r="Q323" s="66">
        <f t="shared" si="167"/>
        <v>960</v>
      </c>
    </row>
    <row r="324" spans="1:17" s="22" customFormat="1" ht="21" customHeight="1">
      <c r="A324" s="81"/>
      <c r="B324" s="63"/>
      <c r="C324" s="37">
        <v>4300</v>
      </c>
      <c r="D324" s="12" t="s">
        <v>81</v>
      </c>
      <c r="E324" s="56">
        <v>6700</v>
      </c>
      <c r="F324" s="56"/>
      <c r="G324" s="66">
        <f t="shared" si="131"/>
        <v>6700</v>
      </c>
      <c r="H324" s="56"/>
      <c r="I324" s="66">
        <f t="shared" si="163"/>
        <v>6700</v>
      </c>
      <c r="J324" s="56"/>
      <c r="K324" s="66">
        <f t="shared" si="164"/>
        <v>6700</v>
      </c>
      <c r="L324" s="56">
        <v>-2500</v>
      </c>
      <c r="M324" s="66">
        <f t="shared" si="165"/>
        <v>4200</v>
      </c>
      <c r="N324" s="56"/>
      <c r="O324" s="66">
        <f t="shared" si="166"/>
        <v>4200</v>
      </c>
      <c r="P324" s="56"/>
      <c r="Q324" s="66">
        <f t="shared" si="167"/>
        <v>4200</v>
      </c>
    </row>
    <row r="325" spans="1:17" s="22" customFormat="1" ht="21" customHeight="1">
      <c r="A325" s="81"/>
      <c r="B325" s="63"/>
      <c r="C325" s="37">
        <v>4350</v>
      </c>
      <c r="D325" s="34" t="s">
        <v>211</v>
      </c>
      <c r="E325" s="56">
        <v>3000</v>
      </c>
      <c r="F325" s="56"/>
      <c r="G325" s="66">
        <f t="shared" si="131"/>
        <v>3000</v>
      </c>
      <c r="H325" s="56"/>
      <c r="I325" s="66">
        <f t="shared" si="163"/>
        <v>3000</v>
      </c>
      <c r="J325" s="56"/>
      <c r="K325" s="66">
        <f t="shared" si="164"/>
        <v>3000</v>
      </c>
      <c r="L325" s="56"/>
      <c r="M325" s="66">
        <f t="shared" si="165"/>
        <v>3000</v>
      </c>
      <c r="N325" s="56"/>
      <c r="O325" s="66">
        <f t="shared" si="166"/>
        <v>3000</v>
      </c>
      <c r="P325" s="56"/>
      <c r="Q325" s="66">
        <f t="shared" si="167"/>
        <v>3000</v>
      </c>
    </row>
    <row r="326" spans="1:17" s="22" customFormat="1" ht="24">
      <c r="A326" s="81"/>
      <c r="B326" s="63"/>
      <c r="C326" s="37">
        <v>4360</v>
      </c>
      <c r="D326" s="34" t="s">
        <v>234</v>
      </c>
      <c r="E326" s="56">
        <v>960</v>
      </c>
      <c r="F326" s="56"/>
      <c r="G326" s="66">
        <f t="shared" si="131"/>
        <v>960</v>
      </c>
      <c r="H326" s="56"/>
      <c r="I326" s="66">
        <f t="shared" si="163"/>
        <v>960</v>
      </c>
      <c r="J326" s="56"/>
      <c r="K326" s="66">
        <f t="shared" si="164"/>
        <v>960</v>
      </c>
      <c r="L326" s="56"/>
      <c r="M326" s="66">
        <f t="shared" si="165"/>
        <v>960</v>
      </c>
      <c r="N326" s="56"/>
      <c r="O326" s="66">
        <f t="shared" si="166"/>
        <v>960</v>
      </c>
      <c r="P326" s="56"/>
      <c r="Q326" s="66">
        <f t="shared" si="167"/>
        <v>960</v>
      </c>
    </row>
    <row r="327" spans="1:17" s="22" customFormat="1" ht="24">
      <c r="A327" s="81"/>
      <c r="B327" s="63"/>
      <c r="C327" s="37">
        <v>4370</v>
      </c>
      <c r="D327" s="34" t="s">
        <v>231</v>
      </c>
      <c r="E327" s="56">
        <v>2000</v>
      </c>
      <c r="F327" s="56"/>
      <c r="G327" s="66">
        <f t="shared" si="131"/>
        <v>2000</v>
      </c>
      <c r="H327" s="56"/>
      <c r="I327" s="66">
        <f t="shared" si="163"/>
        <v>2000</v>
      </c>
      <c r="J327" s="56"/>
      <c r="K327" s="66">
        <f t="shared" si="164"/>
        <v>2000</v>
      </c>
      <c r="L327" s="56"/>
      <c r="M327" s="66">
        <f t="shared" si="165"/>
        <v>2000</v>
      </c>
      <c r="N327" s="56"/>
      <c r="O327" s="66">
        <f t="shared" si="166"/>
        <v>2000</v>
      </c>
      <c r="P327" s="56"/>
      <c r="Q327" s="66">
        <f t="shared" si="167"/>
        <v>2000</v>
      </c>
    </row>
    <row r="328" spans="1:17" s="22" customFormat="1" ht="21" customHeight="1">
      <c r="A328" s="81"/>
      <c r="B328" s="63"/>
      <c r="C328" s="37">
        <v>4410</v>
      </c>
      <c r="D328" s="34" t="s">
        <v>92</v>
      </c>
      <c r="E328" s="56">
        <v>4000</v>
      </c>
      <c r="F328" s="56"/>
      <c r="G328" s="66">
        <f t="shared" si="131"/>
        <v>4000</v>
      </c>
      <c r="H328" s="56"/>
      <c r="I328" s="66">
        <f t="shared" si="163"/>
        <v>4000</v>
      </c>
      <c r="J328" s="56">
        <v>2000</v>
      </c>
      <c r="K328" s="66">
        <f t="shared" si="164"/>
        <v>6000</v>
      </c>
      <c r="L328" s="56"/>
      <c r="M328" s="66">
        <f t="shared" si="165"/>
        <v>6000</v>
      </c>
      <c r="N328" s="56"/>
      <c r="O328" s="66">
        <f t="shared" si="166"/>
        <v>6000</v>
      </c>
      <c r="P328" s="56"/>
      <c r="Q328" s="66">
        <f t="shared" si="167"/>
        <v>6000</v>
      </c>
    </row>
    <row r="329" spans="1:17" s="22" customFormat="1" ht="21" customHeight="1">
      <c r="A329" s="81"/>
      <c r="B329" s="63"/>
      <c r="C329" s="37">
        <v>4430</v>
      </c>
      <c r="D329" s="34" t="s">
        <v>96</v>
      </c>
      <c r="E329" s="56">
        <v>7800</v>
      </c>
      <c r="F329" s="56"/>
      <c r="G329" s="66">
        <f t="shared" si="131"/>
        <v>7800</v>
      </c>
      <c r="H329" s="56"/>
      <c r="I329" s="66">
        <f t="shared" si="163"/>
        <v>7800</v>
      </c>
      <c r="J329" s="56">
        <v>1000</v>
      </c>
      <c r="K329" s="66">
        <f t="shared" si="164"/>
        <v>8800</v>
      </c>
      <c r="L329" s="56"/>
      <c r="M329" s="66">
        <f t="shared" si="165"/>
        <v>8800</v>
      </c>
      <c r="N329" s="56"/>
      <c r="O329" s="66">
        <f t="shared" si="166"/>
        <v>8800</v>
      </c>
      <c r="P329" s="56"/>
      <c r="Q329" s="66">
        <f t="shared" si="167"/>
        <v>8800</v>
      </c>
    </row>
    <row r="330" spans="1:17" s="22" customFormat="1" ht="24">
      <c r="A330" s="81"/>
      <c r="B330" s="63"/>
      <c r="C330" s="37">
        <v>4440</v>
      </c>
      <c r="D330" s="12" t="s">
        <v>90</v>
      </c>
      <c r="E330" s="56">
        <v>4875</v>
      </c>
      <c r="F330" s="56"/>
      <c r="G330" s="66">
        <f t="shared" si="131"/>
        <v>4875</v>
      </c>
      <c r="H330" s="56"/>
      <c r="I330" s="66">
        <f t="shared" si="163"/>
        <v>4875</v>
      </c>
      <c r="J330" s="56">
        <v>126</v>
      </c>
      <c r="K330" s="66">
        <f t="shared" si="164"/>
        <v>5001</v>
      </c>
      <c r="L330" s="56"/>
      <c r="M330" s="66">
        <f t="shared" si="165"/>
        <v>5001</v>
      </c>
      <c r="N330" s="56"/>
      <c r="O330" s="66">
        <f t="shared" si="166"/>
        <v>5001</v>
      </c>
      <c r="P330" s="56"/>
      <c r="Q330" s="66">
        <f t="shared" si="167"/>
        <v>5001</v>
      </c>
    </row>
    <row r="331" spans="1:17" s="22" customFormat="1" ht="21" customHeight="1">
      <c r="A331" s="81"/>
      <c r="B331" s="63"/>
      <c r="C331" s="37">
        <v>4580</v>
      </c>
      <c r="D331" s="12" t="s">
        <v>11</v>
      </c>
      <c r="E331" s="56"/>
      <c r="F331" s="56"/>
      <c r="G331" s="66"/>
      <c r="H331" s="56"/>
      <c r="I331" s="66">
        <v>0</v>
      </c>
      <c r="J331" s="56">
        <v>200</v>
      </c>
      <c r="K331" s="66">
        <f t="shared" si="164"/>
        <v>200</v>
      </c>
      <c r="L331" s="56"/>
      <c r="M331" s="66">
        <f t="shared" si="165"/>
        <v>200</v>
      </c>
      <c r="N331" s="56"/>
      <c r="O331" s="66">
        <f t="shared" si="166"/>
        <v>200</v>
      </c>
      <c r="P331" s="56"/>
      <c r="Q331" s="66">
        <f t="shared" si="167"/>
        <v>200</v>
      </c>
    </row>
    <row r="332" spans="1:17" s="22" customFormat="1" ht="24">
      <c r="A332" s="81"/>
      <c r="B332" s="63"/>
      <c r="C332" s="37">
        <v>4610</v>
      </c>
      <c r="D332" s="34" t="s">
        <v>185</v>
      </c>
      <c r="E332" s="56">
        <v>1000</v>
      </c>
      <c r="F332" s="56"/>
      <c r="G332" s="66">
        <f t="shared" si="131"/>
        <v>1000</v>
      </c>
      <c r="H332" s="56"/>
      <c r="I332" s="66">
        <f t="shared" si="163"/>
        <v>1000</v>
      </c>
      <c r="J332" s="56"/>
      <c r="K332" s="66">
        <f t="shared" si="164"/>
        <v>1000</v>
      </c>
      <c r="L332" s="56"/>
      <c r="M332" s="66">
        <f t="shared" si="165"/>
        <v>1000</v>
      </c>
      <c r="N332" s="56"/>
      <c r="O332" s="66">
        <f t="shared" si="166"/>
        <v>1000</v>
      </c>
      <c r="P332" s="56"/>
      <c r="Q332" s="66">
        <f t="shared" si="167"/>
        <v>1000</v>
      </c>
    </row>
    <row r="333" spans="1:17" s="22" customFormat="1" ht="24">
      <c r="A333" s="81"/>
      <c r="B333" s="63"/>
      <c r="C333" s="37">
        <v>4700</v>
      </c>
      <c r="D333" s="34" t="s">
        <v>246</v>
      </c>
      <c r="E333" s="56">
        <v>3300</v>
      </c>
      <c r="F333" s="56"/>
      <c r="G333" s="66">
        <f aca="true" t="shared" si="168" ref="G333:G398">SUM(E333:F333)</f>
        <v>3300</v>
      </c>
      <c r="H333" s="56"/>
      <c r="I333" s="66">
        <f t="shared" si="163"/>
        <v>3300</v>
      </c>
      <c r="J333" s="56"/>
      <c r="K333" s="66">
        <f t="shared" si="164"/>
        <v>3300</v>
      </c>
      <c r="L333" s="56"/>
      <c r="M333" s="66">
        <f t="shared" si="165"/>
        <v>3300</v>
      </c>
      <c r="N333" s="56"/>
      <c r="O333" s="66">
        <f t="shared" si="166"/>
        <v>3300</v>
      </c>
      <c r="P333" s="56"/>
      <c r="Q333" s="66">
        <f t="shared" si="167"/>
        <v>3300</v>
      </c>
    </row>
    <row r="334" spans="1:17" s="22" customFormat="1" ht="27.75" customHeight="1">
      <c r="A334" s="81"/>
      <c r="B334" s="63"/>
      <c r="C334" s="37">
        <v>4740</v>
      </c>
      <c r="D334" s="34" t="s">
        <v>232</v>
      </c>
      <c r="E334" s="56">
        <v>2000</v>
      </c>
      <c r="F334" s="56"/>
      <c r="G334" s="66">
        <f t="shared" si="168"/>
        <v>2000</v>
      </c>
      <c r="H334" s="56"/>
      <c r="I334" s="66">
        <f t="shared" si="163"/>
        <v>2000</v>
      </c>
      <c r="J334" s="56">
        <v>1000</v>
      </c>
      <c r="K334" s="66">
        <f t="shared" si="164"/>
        <v>3000</v>
      </c>
      <c r="L334" s="56"/>
      <c r="M334" s="66">
        <f t="shared" si="165"/>
        <v>3000</v>
      </c>
      <c r="N334" s="56"/>
      <c r="O334" s="66">
        <f t="shared" si="166"/>
        <v>3000</v>
      </c>
      <c r="P334" s="56"/>
      <c r="Q334" s="66">
        <f t="shared" si="167"/>
        <v>3000</v>
      </c>
    </row>
    <row r="335" spans="1:17" s="22" customFormat="1" ht="24">
      <c r="A335" s="81"/>
      <c r="B335" s="63"/>
      <c r="C335" s="37">
        <v>4750</v>
      </c>
      <c r="D335" s="34" t="s">
        <v>252</v>
      </c>
      <c r="E335" s="56">
        <v>2000</v>
      </c>
      <c r="F335" s="56"/>
      <c r="G335" s="66">
        <f t="shared" si="168"/>
        <v>2000</v>
      </c>
      <c r="H335" s="56"/>
      <c r="I335" s="66">
        <f t="shared" si="163"/>
        <v>2000</v>
      </c>
      <c r="J335" s="56">
        <v>1000</v>
      </c>
      <c r="K335" s="66">
        <f t="shared" si="164"/>
        <v>3000</v>
      </c>
      <c r="L335" s="56">
        <v>6700</v>
      </c>
      <c r="M335" s="66">
        <f t="shared" si="165"/>
        <v>9700</v>
      </c>
      <c r="N335" s="56"/>
      <c r="O335" s="66">
        <f t="shared" si="166"/>
        <v>9700</v>
      </c>
      <c r="P335" s="56"/>
      <c r="Q335" s="66">
        <f t="shared" si="167"/>
        <v>9700</v>
      </c>
    </row>
    <row r="336" spans="1:17" s="22" customFormat="1" ht="60">
      <c r="A336" s="52"/>
      <c r="B336" s="72">
        <v>85213</v>
      </c>
      <c r="C336" s="71"/>
      <c r="D336" s="62" t="s">
        <v>270</v>
      </c>
      <c r="E336" s="66">
        <f aca="true" t="shared" si="169" ref="E336:Q336">SUM(E337)</f>
        <v>59100</v>
      </c>
      <c r="F336" s="66">
        <f t="shared" si="169"/>
        <v>0</v>
      </c>
      <c r="G336" s="66">
        <f t="shared" si="169"/>
        <v>59100</v>
      </c>
      <c r="H336" s="66">
        <f t="shared" si="169"/>
        <v>0</v>
      </c>
      <c r="I336" s="66">
        <f t="shared" si="169"/>
        <v>59100</v>
      </c>
      <c r="J336" s="66">
        <f t="shared" si="169"/>
        <v>-4100</v>
      </c>
      <c r="K336" s="66">
        <f t="shared" si="169"/>
        <v>55000</v>
      </c>
      <c r="L336" s="66">
        <f t="shared" si="169"/>
        <v>0</v>
      </c>
      <c r="M336" s="66">
        <f t="shared" si="169"/>
        <v>55000</v>
      </c>
      <c r="N336" s="66">
        <f t="shared" si="169"/>
        <v>0</v>
      </c>
      <c r="O336" s="66">
        <f t="shared" si="169"/>
        <v>55000</v>
      </c>
      <c r="P336" s="66">
        <f t="shared" si="169"/>
        <v>0</v>
      </c>
      <c r="Q336" s="66">
        <f t="shared" si="169"/>
        <v>55000</v>
      </c>
    </row>
    <row r="337" spans="1:17" s="22" customFormat="1" ht="21" customHeight="1">
      <c r="A337" s="52"/>
      <c r="B337" s="72"/>
      <c r="C337" s="71">
        <v>4130</v>
      </c>
      <c r="D337" s="34" t="s">
        <v>122</v>
      </c>
      <c r="E337" s="56">
        <v>59100</v>
      </c>
      <c r="F337" s="56"/>
      <c r="G337" s="66">
        <f t="shared" si="168"/>
        <v>59100</v>
      </c>
      <c r="H337" s="56"/>
      <c r="I337" s="66">
        <f>SUM(G337:H337)</f>
        <v>59100</v>
      </c>
      <c r="J337" s="56">
        <v>-4100</v>
      </c>
      <c r="K337" s="66">
        <f>SUM(I337:J337)</f>
        <v>55000</v>
      </c>
      <c r="L337" s="56"/>
      <c r="M337" s="66">
        <f>SUM(K337:L337)</f>
        <v>55000</v>
      </c>
      <c r="N337" s="56"/>
      <c r="O337" s="66">
        <f>SUM(M337:N337)</f>
        <v>55000</v>
      </c>
      <c r="P337" s="56"/>
      <c r="Q337" s="66">
        <f>SUM(O337:P337)</f>
        <v>55000</v>
      </c>
    </row>
    <row r="338" spans="1:17" s="22" customFormat="1" ht="24">
      <c r="A338" s="52"/>
      <c r="B338" s="67">
        <v>85214</v>
      </c>
      <c r="C338" s="71"/>
      <c r="D338" s="34" t="s">
        <v>210</v>
      </c>
      <c r="E338" s="66">
        <f aca="true" t="shared" si="170" ref="E338:K338">SUM(E339:E340)</f>
        <v>1686100</v>
      </c>
      <c r="F338" s="66">
        <f t="shared" si="170"/>
        <v>0</v>
      </c>
      <c r="G338" s="66">
        <f t="shared" si="170"/>
        <v>1686100</v>
      </c>
      <c r="H338" s="66">
        <f t="shared" si="170"/>
        <v>0</v>
      </c>
      <c r="I338" s="66">
        <f t="shared" si="170"/>
        <v>1686100</v>
      </c>
      <c r="J338" s="66">
        <f t="shared" si="170"/>
        <v>-17600</v>
      </c>
      <c r="K338" s="66">
        <f t="shared" si="170"/>
        <v>1668500</v>
      </c>
      <c r="L338" s="66">
        <f aca="true" t="shared" si="171" ref="L338:Q338">SUM(L339:L340)</f>
        <v>0</v>
      </c>
      <c r="M338" s="66">
        <f t="shared" si="171"/>
        <v>1668500</v>
      </c>
      <c r="N338" s="66">
        <f t="shared" si="171"/>
        <v>0</v>
      </c>
      <c r="O338" s="66">
        <f t="shared" si="171"/>
        <v>1668500</v>
      </c>
      <c r="P338" s="66">
        <f t="shared" si="171"/>
        <v>0</v>
      </c>
      <c r="Q338" s="66">
        <f t="shared" si="171"/>
        <v>1668500</v>
      </c>
    </row>
    <row r="339" spans="1:17" s="22" customFormat="1" ht="21" customHeight="1">
      <c r="A339" s="52"/>
      <c r="B339" s="67"/>
      <c r="C339" s="71">
        <v>3110</v>
      </c>
      <c r="D339" s="34" t="s">
        <v>114</v>
      </c>
      <c r="E339" s="66">
        <f>466900+656100+562000</f>
        <v>1685000</v>
      </c>
      <c r="F339" s="66"/>
      <c r="G339" s="66">
        <f t="shared" si="168"/>
        <v>1685000</v>
      </c>
      <c r="H339" s="66"/>
      <c r="I339" s="66">
        <f>SUM(G339:H339)</f>
        <v>1685000</v>
      </c>
      <c r="J339" s="66">
        <f>-68300+50700</f>
        <v>-17600</v>
      </c>
      <c r="K339" s="66">
        <f>SUM(I339:J339)</f>
        <v>1667400</v>
      </c>
      <c r="L339" s="66"/>
      <c r="M339" s="66">
        <f>SUM(K339:L339)</f>
        <v>1667400</v>
      </c>
      <c r="N339" s="66"/>
      <c r="O339" s="66">
        <f>SUM(M339:N339)</f>
        <v>1667400</v>
      </c>
      <c r="P339" s="66"/>
      <c r="Q339" s="66">
        <f>SUM(O339:P339)</f>
        <v>1667400</v>
      </c>
    </row>
    <row r="340" spans="1:19" s="22" customFormat="1" ht="21" customHeight="1">
      <c r="A340" s="52"/>
      <c r="B340" s="67"/>
      <c r="C340" s="37">
        <v>4110</v>
      </c>
      <c r="D340" s="12" t="s">
        <v>88</v>
      </c>
      <c r="E340" s="66">
        <v>1100</v>
      </c>
      <c r="F340" s="66"/>
      <c r="G340" s="66">
        <f t="shared" si="168"/>
        <v>1100</v>
      </c>
      <c r="H340" s="66"/>
      <c r="I340" s="66">
        <f>SUM(G340:H340)</f>
        <v>1100</v>
      </c>
      <c r="J340" s="66"/>
      <c r="K340" s="66">
        <f>SUM(I340:J340)</f>
        <v>1100</v>
      </c>
      <c r="L340" s="66"/>
      <c r="M340" s="66">
        <f>SUM(K340:L340)</f>
        <v>1100</v>
      </c>
      <c r="N340" s="66"/>
      <c r="O340" s="66">
        <f>SUM(M340:N340)</f>
        <v>1100</v>
      </c>
      <c r="P340" s="66"/>
      <c r="Q340" s="66">
        <f>SUM(O340:P340)</f>
        <v>1100</v>
      </c>
      <c r="R340" s="97"/>
      <c r="S340" s="97"/>
    </row>
    <row r="341" spans="1:17" s="22" customFormat="1" ht="21" customHeight="1">
      <c r="A341" s="52"/>
      <c r="B341" s="67">
        <v>85215</v>
      </c>
      <c r="C341" s="71"/>
      <c r="D341" s="34" t="s">
        <v>58</v>
      </c>
      <c r="E341" s="66">
        <f aca="true" t="shared" si="172" ref="E341:Q341">SUM(E342)</f>
        <v>900000</v>
      </c>
      <c r="F341" s="66">
        <f t="shared" si="172"/>
        <v>0</v>
      </c>
      <c r="G341" s="66">
        <f t="shared" si="172"/>
        <v>900000</v>
      </c>
      <c r="H341" s="66">
        <f t="shared" si="172"/>
        <v>0</v>
      </c>
      <c r="I341" s="66">
        <f t="shared" si="172"/>
        <v>900000</v>
      </c>
      <c r="J341" s="66">
        <f t="shared" si="172"/>
        <v>0</v>
      </c>
      <c r="K341" s="66">
        <f t="shared" si="172"/>
        <v>900000</v>
      </c>
      <c r="L341" s="66">
        <f t="shared" si="172"/>
        <v>0</v>
      </c>
      <c r="M341" s="66">
        <f t="shared" si="172"/>
        <v>900000</v>
      </c>
      <c r="N341" s="66">
        <f t="shared" si="172"/>
        <v>0</v>
      </c>
      <c r="O341" s="66">
        <f t="shared" si="172"/>
        <v>900000</v>
      </c>
      <c r="P341" s="66">
        <f t="shared" si="172"/>
        <v>0</v>
      </c>
      <c r="Q341" s="66">
        <f t="shared" si="172"/>
        <v>900000</v>
      </c>
    </row>
    <row r="342" spans="1:17" s="22" customFormat="1" ht="21" customHeight="1">
      <c r="A342" s="52"/>
      <c r="B342" s="67"/>
      <c r="C342" s="71">
        <v>3110</v>
      </c>
      <c r="D342" s="34" t="s">
        <v>114</v>
      </c>
      <c r="E342" s="66">
        <v>900000</v>
      </c>
      <c r="F342" s="66"/>
      <c r="G342" s="66">
        <f t="shared" si="168"/>
        <v>900000</v>
      </c>
      <c r="H342" s="66"/>
      <c r="I342" s="66">
        <f>SUM(G342:H342)</f>
        <v>900000</v>
      </c>
      <c r="J342" s="66"/>
      <c r="K342" s="66">
        <f>SUM(I342:J342)</f>
        <v>900000</v>
      </c>
      <c r="L342" s="66"/>
      <c r="M342" s="66">
        <f>SUM(K342:L342)</f>
        <v>900000</v>
      </c>
      <c r="N342" s="66"/>
      <c r="O342" s="66">
        <f>SUM(M342:N342)</f>
        <v>900000</v>
      </c>
      <c r="P342" s="66"/>
      <c r="Q342" s="66">
        <f>SUM(O342:P342)</f>
        <v>900000</v>
      </c>
    </row>
    <row r="343" spans="1:17" s="22" customFormat="1" ht="21" customHeight="1">
      <c r="A343" s="52"/>
      <c r="B343" s="67">
        <v>85219</v>
      </c>
      <c r="C343" s="71"/>
      <c r="D343" s="34" t="s">
        <v>59</v>
      </c>
      <c r="E343" s="66">
        <f aca="true" t="shared" si="173" ref="E343:K343">SUM(E344:E366)</f>
        <v>1337592</v>
      </c>
      <c r="F343" s="66">
        <f t="shared" si="173"/>
        <v>0</v>
      </c>
      <c r="G343" s="66">
        <f t="shared" si="173"/>
        <v>1337592</v>
      </c>
      <c r="H343" s="66">
        <f t="shared" si="173"/>
        <v>0</v>
      </c>
      <c r="I343" s="66">
        <f t="shared" si="173"/>
        <v>1337592</v>
      </c>
      <c r="J343" s="66">
        <f t="shared" si="173"/>
        <v>0</v>
      </c>
      <c r="K343" s="66">
        <f t="shared" si="173"/>
        <v>1337592</v>
      </c>
      <c r="L343" s="66">
        <f aca="true" t="shared" si="174" ref="L343:Q343">SUM(L344:L366)</f>
        <v>36050</v>
      </c>
      <c r="M343" s="66">
        <f t="shared" si="174"/>
        <v>1373642</v>
      </c>
      <c r="N343" s="66">
        <f t="shared" si="174"/>
        <v>0</v>
      </c>
      <c r="O343" s="66">
        <f t="shared" si="174"/>
        <v>1373642</v>
      </c>
      <c r="P343" s="66">
        <f t="shared" si="174"/>
        <v>0</v>
      </c>
      <c r="Q343" s="66">
        <f t="shared" si="174"/>
        <v>1373642</v>
      </c>
    </row>
    <row r="344" spans="1:17" s="22" customFormat="1" ht="24">
      <c r="A344" s="52"/>
      <c r="B344" s="67"/>
      <c r="C344" s="71">
        <v>3020</v>
      </c>
      <c r="D344" s="34" t="s">
        <v>215</v>
      </c>
      <c r="E344" s="66">
        <v>3218</v>
      </c>
      <c r="F344" s="66"/>
      <c r="G344" s="66">
        <f t="shared" si="168"/>
        <v>3218</v>
      </c>
      <c r="H344" s="66"/>
      <c r="I344" s="66">
        <f aca="true" t="shared" si="175" ref="I344:I366">SUM(G344:H344)</f>
        <v>3218</v>
      </c>
      <c r="J344" s="66"/>
      <c r="K344" s="66">
        <f aca="true" t="shared" si="176" ref="K344:K366">SUM(I344:J344)</f>
        <v>3218</v>
      </c>
      <c r="L344" s="66"/>
      <c r="M344" s="66">
        <f aca="true" t="shared" si="177" ref="M344:M366">SUM(K344:L344)</f>
        <v>3218</v>
      </c>
      <c r="N344" s="66"/>
      <c r="O344" s="66">
        <f aca="true" t="shared" si="178" ref="O344:O366">SUM(M344:N344)</f>
        <v>3218</v>
      </c>
      <c r="P344" s="66"/>
      <c r="Q344" s="66">
        <f aca="true" t="shared" si="179" ref="Q344:Q366">SUM(O344:P344)</f>
        <v>3218</v>
      </c>
    </row>
    <row r="345" spans="1:19" s="22" customFormat="1" ht="21" customHeight="1">
      <c r="A345" s="52"/>
      <c r="B345" s="67"/>
      <c r="C345" s="71">
        <v>4010</v>
      </c>
      <c r="D345" s="34" t="s">
        <v>86</v>
      </c>
      <c r="E345" s="66">
        <f>28577+467500+141137+61197</f>
        <v>698411</v>
      </c>
      <c r="F345" s="66"/>
      <c r="G345" s="66">
        <f t="shared" si="168"/>
        <v>698411</v>
      </c>
      <c r="H345" s="66"/>
      <c r="I345" s="66">
        <f t="shared" si="175"/>
        <v>698411</v>
      </c>
      <c r="J345" s="66"/>
      <c r="K345" s="66">
        <f t="shared" si="176"/>
        <v>698411</v>
      </c>
      <c r="L345" s="66">
        <f>20500+13050</f>
        <v>33550</v>
      </c>
      <c r="M345" s="66">
        <f t="shared" si="177"/>
        <v>731961</v>
      </c>
      <c r="N345" s="66"/>
      <c r="O345" s="66">
        <f t="shared" si="178"/>
        <v>731961</v>
      </c>
      <c r="P345" s="66"/>
      <c r="Q345" s="66">
        <f t="shared" si="179"/>
        <v>731961</v>
      </c>
      <c r="R345" s="97"/>
      <c r="S345" s="97"/>
    </row>
    <row r="346" spans="1:19" s="22" customFormat="1" ht="21" customHeight="1">
      <c r="A346" s="52"/>
      <c r="B346" s="67"/>
      <c r="C346" s="71">
        <v>4040</v>
      </c>
      <c r="D346" s="34" t="s">
        <v>87</v>
      </c>
      <c r="E346" s="66">
        <f>2774+32000+12500+4300</f>
        <v>51574</v>
      </c>
      <c r="F346" s="66"/>
      <c r="G346" s="66">
        <f t="shared" si="168"/>
        <v>51574</v>
      </c>
      <c r="H346" s="66"/>
      <c r="I346" s="66">
        <f t="shared" si="175"/>
        <v>51574</v>
      </c>
      <c r="J346" s="66"/>
      <c r="K346" s="66">
        <f t="shared" si="176"/>
        <v>51574</v>
      </c>
      <c r="L346" s="66"/>
      <c r="M346" s="66">
        <f t="shared" si="177"/>
        <v>51574</v>
      </c>
      <c r="N346" s="66"/>
      <c r="O346" s="66">
        <f t="shared" si="178"/>
        <v>51574</v>
      </c>
      <c r="P346" s="66"/>
      <c r="Q346" s="66">
        <f t="shared" si="179"/>
        <v>51574</v>
      </c>
      <c r="R346" s="97"/>
      <c r="S346" s="97"/>
    </row>
    <row r="347" spans="1:19" s="22" customFormat="1" ht="21" customHeight="1">
      <c r="A347" s="52"/>
      <c r="B347" s="67"/>
      <c r="C347" s="71">
        <v>4110</v>
      </c>
      <c r="D347" s="34" t="s">
        <v>88</v>
      </c>
      <c r="E347" s="66">
        <f>5234+72050+29130+10129</f>
        <v>116543</v>
      </c>
      <c r="F347" s="66"/>
      <c r="G347" s="66">
        <f t="shared" si="168"/>
        <v>116543</v>
      </c>
      <c r="H347" s="66"/>
      <c r="I347" s="66">
        <f t="shared" si="175"/>
        <v>116543</v>
      </c>
      <c r="J347" s="66"/>
      <c r="K347" s="66">
        <f t="shared" si="176"/>
        <v>116543</v>
      </c>
      <c r="L347" s="66">
        <v>2180</v>
      </c>
      <c r="M347" s="66">
        <f t="shared" si="177"/>
        <v>118723</v>
      </c>
      <c r="N347" s="66"/>
      <c r="O347" s="66">
        <f t="shared" si="178"/>
        <v>118723</v>
      </c>
      <c r="P347" s="66"/>
      <c r="Q347" s="66">
        <f t="shared" si="179"/>
        <v>118723</v>
      </c>
      <c r="R347" s="97"/>
      <c r="S347" s="97"/>
    </row>
    <row r="348" spans="1:19" s="22" customFormat="1" ht="21" customHeight="1">
      <c r="A348" s="52"/>
      <c r="B348" s="67"/>
      <c r="C348" s="71">
        <v>4120</v>
      </c>
      <c r="D348" s="34" t="s">
        <v>89</v>
      </c>
      <c r="E348" s="66">
        <f>768+11250+4399+1578</f>
        <v>17995</v>
      </c>
      <c r="F348" s="66"/>
      <c r="G348" s="66">
        <f t="shared" si="168"/>
        <v>17995</v>
      </c>
      <c r="H348" s="66"/>
      <c r="I348" s="66">
        <f t="shared" si="175"/>
        <v>17995</v>
      </c>
      <c r="J348" s="66"/>
      <c r="K348" s="66">
        <f t="shared" si="176"/>
        <v>17995</v>
      </c>
      <c r="L348" s="66">
        <v>320</v>
      </c>
      <c r="M348" s="66">
        <f t="shared" si="177"/>
        <v>18315</v>
      </c>
      <c r="N348" s="66"/>
      <c r="O348" s="66">
        <f t="shared" si="178"/>
        <v>18315</v>
      </c>
      <c r="P348" s="66"/>
      <c r="Q348" s="66">
        <f t="shared" si="179"/>
        <v>18315</v>
      </c>
      <c r="R348" s="97"/>
      <c r="S348" s="97"/>
    </row>
    <row r="349" spans="1:19" s="22" customFormat="1" ht="21" customHeight="1">
      <c r="A349" s="52"/>
      <c r="B349" s="67"/>
      <c r="C349" s="71">
        <v>4170</v>
      </c>
      <c r="D349" s="34" t="s">
        <v>198</v>
      </c>
      <c r="E349" s="66">
        <f>13200+6240</f>
        <v>19440</v>
      </c>
      <c r="F349" s="66"/>
      <c r="G349" s="66">
        <f t="shared" si="168"/>
        <v>19440</v>
      </c>
      <c r="H349" s="66"/>
      <c r="I349" s="66">
        <f t="shared" si="175"/>
        <v>19440</v>
      </c>
      <c r="J349" s="66"/>
      <c r="K349" s="66">
        <f t="shared" si="176"/>
        <v>19440</v>
      </c>
      <c r="L349" s="66"/>
      <c r="M349" s="66">
        <f t="shared" si="177"/>
        <v>19440</v>
      </c>
      <c r="N349" s="66"/>
      <c r="O349" s="66">
        <f t="shared" si="178"/>
        <v>19440</v>
      </c>
      <c r="P349" s="66"/>
      <c r="Q349" s="66">
        <f t="shared" si="179"/>
        <v>19440</v>
      </c>
      <c r="R349" s="97"/>
      <c r="S349" s="97"/>
    </row>
    <row r="350" spans="1:17" s="22" customFormat="1" ht="21" customHeight="1">
      <c r="A350" s="52"/>
      <c r="B350" s="67"/>
      <c r="C350" s="71">
        <v>4210</v>
      </c>
      <c r="D350" s="34" t="s">
        <v>94</v>
      </c>
      <c r="E350" s="66">
        <f>2800+22500+11100</f>
        <v>36400</v>
      </c>
      <c r="F350" s="66"/>
      <c r="G350" s="66">
        <f t="shared" si="168"/>
        <v>36400</v>
      </c>
      <c r="H350" s="66"/>
      <c r="I350" s="66">
        <f t="shared" si="175"/>
        <v>36400</v>
      </c>
      <c r="J350" s="66"/>
      <c r="K350" s="66">
        <f t="shared" si="176"/>
        <v>36400</v>
      </c>
      <c r="L350" s="66"/>
      <c r="M350" s="66">
        <f t="shared" si="177"/>
        <v>36400</v>
      </c>
      <c r="N350" s="66"/>
      <c r="O350" s="66">
        <f t="shared" si="178"/>
        <v>36400</v>
      </c>
      <c r="P350" s="66"/>
      <c r="Q350" s="66">
        <f t="shared" si="179"/>
        <v>36400</v>
      </c>
    </row>
    <row r="351" spans="1:17" s="22" customFormat="1" ht="21" customHeight="1">
      <c r="A351" s="52"/>
      <c r="B351" s="67"/>
      <c r="C351" s="71">
        <v>4220</v>
      </c>
      <c r="D351" s="34" t="s">
        <v>182</v>
      </c>
      <c r="E351" s="66">
        <v>150000</v>
      </c>
      <c r="F351" s="66"/>
      <c r="G351" s="66">
        <f t="shared" si="168"/>
        <v>150000</v>
      </c>
      <c r="H351" s="66"/>
      <c r="I351" s="66">
        <f t="shared" si="175"/>
        <v>150000</v>
      </c>
      <c r="J351" s="66"/>
      <c r="K351" s="66">
        <f t="shared" si="176"/>
        <v>150000</v>
      </c>
      <c r="L351" s="66"/>
      <c r="M351" s="66">
        <f t="shared" si="177"/>
        <v>150000</v>
      </c>
      <c r="N351" s="66"/>
      <c r="O351" s="66">
        <f t="shared" si="178"/>
        <v>150000</v>
      </c>
      <c r="P351" s="66"/>
      <c r="Q351" s="66">
        <f t="shared" si="179"/>
        <v>150000</v>
      </c>
    </row>
    <row r="352" spans="1:17" s="22" customFormat="1" ht="21" customHeight="1">
      <c r="A352" s="52"/>
      <c r="B352" s="67"/>
      <c r="C352" s="71">
        <v>4260</v>
      </c>
      <c r="D352" s="34" t="s">
        <v>97</v>
      </c>
      <c r="E352" s="66">
        <f>4700+9855</f>
        <v>14555</v>
      </c>
      <c r="F352" s="66"/>
      <c r="G352" s="66">
        <f t="shared" si="168"/>
        <v>14555</v>
      </c>
      <c r="H352" s="66"/>
      <c r="I352" s="66">
        <f t="shared" si="175"/>
        <v>14555</v>
      </c>
      <c r="J352" s="66"/>
      <c r="K352" s="66">
        <f t="shared" si="176"/>
        <v>14555</v>
      </c>
      <c r="L352" s="66"/>
      <c r="M352" s="66">
        <f t="shared" si="177"/>
        <v>14555</v>
      </c>
      <c r="N352" s="66"/>
      <c r="O352" s="66">
        <f t="shared" si="178"/>
        <v>14555</v>
      </c>
      <c r="P352" s="66"/>
      <c r="Q352" s="66">
        <f t="shared" si="179"/>
        <v>14555</v>
      </c>
    </row>
    <row r="353" spans="1:17" s="22" customFormat="1" ht="21" customHeight="1">
      <c r="A353" s="52"/>
      <c r="B353" s="67"/>
      <c r="C353" s="71">
        <v>4270</v>
      </c>
      <c r="D353" s="34" t="s">
        <v>80</v>
      </c>
      <c r="E353" s="66">
        <f>2000+2000</f>
        <v>4000</v>
      </c>
      <c r="F353" s="66"/>
      <c r="G353" s="66">
        <f t="shared" si="168"/>
        <v>4000</v>
      </c>
      <c r="H353" s="66"/>
      <c r="I353" s="66">
        <f t="shared" si="175"/>
        <v>4000</v>
      </c>
      <c r="J353" s="66"/>
      <c r="K353" s="66">
        <f t="shared" si="176"/>
        <v>4000</v>
      </c>
      <c r="L353" s="66"/>
      <c r="M353" s="66">
        <f t="shared" si="177"/>
        <v>4000</v>
      </c>
      <c r="N353" s="66"/>
      <c r="O353" s="66">
        <f t="shared" si="178"/>
        <v>4000</v>
      </c>
      <c r="P353" s="66"/>
      <c r="Q353" s="66">
        <f t="shared" si="179"/>
        <v>4000</v>
      </c>
    </row>
    <row r="354" spans="1:17" s="22" customFormat="1" ht="21" customHeight="1">
      <c r="A354" s="52"/>
      <c r="B354" s="67"/>
      <c r="C354" s="71">
        <v>4280</v>
      </c>
      <c r="D354" s="34" t="s">
        <v>203</v>
      </c>
      <c r="E354" s="66">
        <f>1000+350</f>
        <v>1350</v>
      </c>
      <c r="F354" s="66"/>
      <c r="G354" s="66">
        <f t="shared" si="168"/>
        <v>1350</v>
      </c>
      <c r="H354" s="66"/>
      <c r="I354" s="66">
        <f t="shared" si="175"/>
        <v>1350</v>
      </c>
      <c r="J354" s="66"/>
      <c r="K354" s="66">
        <f t="shared" si="176"/>
        <v>1350</v>
      </c>
      <c r="L354" s="66"/>
      <c r="M354" s="66">
        <f t="shared" si="177"/>
        <v>1350</v>
      </c>
      <c r="N354" s="66"/>
      <c r="O354" s="66">
        <f t="shared" si="178"/>
        <v>1350</v>
      </c>
      <c r="P354" s="66"/>
      <c r="Q354" s="66">
        <f t="shared" si="179"/>
        <v>1350</v>
      </c>
    </row>
    <row r="355" spans="1:17" s="22" customFormat="1" ht="21" customHeight="1">
      <c r="A355" s="52"/>
      <c r="B355" s="67"/>
      <c r="C355" s="71">
        <v>4300</v>
      </c>
      <c r="D355" s="34" t="s">
        <v>81</v>
      </c>
      <c r="E355" s="66">
        <f>42600+32639+10790</f>
        <v>86029</v>
      </c>
      <c r="F355" s="66"/>
      <c r="G355" s="66">
        <f t="shared" si="168"/>
        <v>86029</v>
      </c>
      <c r="H355" s="66"/>
      <c r="I355" s="66">
        <f t="shared" si="175"/>
        <v>86029</v>
      </c>
      <c r="J355" s="66"/>
      <c r="K355" s="66">
        <f t="shared" si="176"/>
        <v>86029</v>
      </c>
      <c r="L355" s="66"/>
      <c r="M355" s="66">
        <f t="shared" si="177"/>
        <v>86029</v>
      </c>
      <c r="N355" s="66"/>
      <c r="O355" s="66">
        <f t="shared" si="178"/>
        <v>86029</v>
      </c>
      <c r="P355" s="66"/>
      <c r="Q355" s="66">
        <f t="shared" si="179"/>
        <v>86029</v>
      </c>
    </row>
    <row r="356" spans="1:17" s="22" customFormat="1" ht="21" customHeight="1">
      <c r="A356" s="52"/>
      <c r="B356" s="67"/>
      <c r="C356" s="71">
        <v>4350</v>
      </c>
      <c r="D356" s="34" t="s">
        <v>211</v>
      </c>
      <c r="E356" s="66">
        <f>550+627</f>
        <v>1177</v>
      </c>
      <c r="F356" s="66"/>
      <c r="G356" s="66">
        <f t="shared" si="168"/>
        <v>1177</v>
      </c>
      <c r="H356" s="66"/>
      <c r="I356" s="66">
        <f t="shared" si="175"/>
        <v>1177</v>
      </c>
      <c r="J356" s="66"/>
      <c r="K356" s="66">
        <f t="shared" si="176"/>
        <v>1177</v>
      </c>
      <c r="L356" s="66"/>
      <c r="M356" s="66">
        <f t="shared" si="177"/>
        <v>1177</v>
      </c>
      <c r="N356" s="66"/>
      <c r="O356" s="66">
        <f t="shared" si="178"/>
        <v>1177</v>
      </c>
      <c r="P356" s="66"/>
      <c r="Q356" s="66">
        <f t="shared" si="179"/>
        <v>1177</v>
      </c>
    </row>
    <row r="357" spans="1:17" s="22" customFormat="1" ht="27" customHeight="1">
      <c r="A357" s="52"/>
      <c r="B357" s="67"/>
      <c r="C357" s="71">
        <v>4360</v>
      </c>
      <c r="D357" s="34" t="s">
        <v>234</v>
      </c>
      <c r="E357" s="66">
        <v>732</v>
      </c>
      <c r="F357" s="66"/>
      <c r="G357" s="66">
        <f t="shared" si="168"/>
        <v>732</v>
      </c>
      <c r="H357" s="66"/>
      <c r="I357" s="66">
        <f t="shared" si="175"/>
        <v>732</v>
      </c>
      <c r="J357" s="66"/>
      <c r="K357" s="66">
        <f t="shared" si="176"/>
        <v>732</v>
      </c>
      <c r="L357" s="66"/>
      <c r="M357" s="66">
        <f t="shared" si="177"/>
        <v>732</v>
      </c>
      <c r="N357" s="66"/>
      <c r="O357" s="66">
        <f t="shared" si="178"/>
        <v>732</v>
      </c>
      <c r="P357" s="66"/>
      <c r="Q357" s="66">
        <f t="shared" si="179"/>
        <v>732</v>
      </c>
    </row>
    <row r="358" spans="1:17" s="22" customFormat="1" ht="27" customHeight="1">
      <c r="A358" s="52"/>
      <c r="B358" s="67"/>
      <c r="C358" s="71">
        <v>4370</v>
      </c>
      <c r="D358" s="34" t="s">
        <v>231</v>
      </c>
      <c r="E358" s="66">
        <f>2500+7800+480</f>
        <v>10780</v>
      </c>
      <c r="F358" s="66"/>
      <c r="G358" s="66">
        <f t="shared" si="168"/>
        <v>10780</v>
      </c>
      <c r="H358" s="66"/>
      <c r="I358" s="66">
        <f t="shared" si="175"/>
        <v>10780</v>
      </c>
      <c r="J358" s="66"/>
      <c r="K358" s="66">
        <f t="shared" si="176"/>
        <v>10780</v>
      </c>
      <c r="L358" s="66"/>
      <c r="M358" s="66">
        <f t="shared" si="177"/>
        <v>10780</v>
      </c>
      <c r="N358" s="66"/>
      <c r="O358" s="66">
        <f t="shared" si="178"/>
        <v>10780</v>
      </c>
      <c r="P358" s="66"/>
      <c r="Q358" s="66">
        <f t="shared" si="179"/>
        <v>10780</v>
      </c>
    </row>
    <row r="359" spans="1:17" s="22" customFormat="1" ht="27" customHeight="1">
      <c r="A359" s="52"/>
      <c r="B359" s="67"/>
      <c r="C359" s="71">
        <v>4400</v>
      </c>
      <c r="D359" s="34" t="s">
        <v>238</v>
      </c>
      <c r="E359" s="66">
        <f>2104+58671+12501</f>
        <v>73276</v>
      </c>
      <c r="F359" s="66"/>
      <c r="G359" s="66">
        <f t="shared" si="168"/>
        <v>73276</v>
      </c>
      <c r="H359" s="66"/>
      <c r="I359" s="66">
        <f t="shared" si="175"/>
        <v>73276</v>
      </c>
      <c r="J359" s="66"/>
      <c r="K359" s="66">
        <f t="shared" si="176"/>
        <v>73276</v>
      </c>
      <c r="L359" s="66"/>
      <c r="M359" s="66">
        <f t="shared" si="177"/>
        <v>73276</v>
      </c>
      <c r="N359" s="66"/>
      <c r="O359" s="66">
        <f t="shared" si="178"/>
        <v>73276</v>
      </c>
      <c r="P359" s="66"/>
      <c r="Q359" s="66">
        <f t="shared" si="179"/>
        <v>73276</v>
      </c>
    </row>
    <row r="360" spans="1:17" s="22" customFormat="1" ht="21" customHeight="1">
      <c r="A360" s="52"/>
      <c r="B360" s="67"/>
      <c r="C360" s="71">
        <v>4410</v>
      </c>
      <c r="D360" s="34" t="s">
        <v>92</v>
      </c>
      <c r="E360" s="66">
        <f>447+11015</f>
        <v>11462</v>
      </c>
      <c r="F360" s="66"/>
      <c r="G360" s="66">
        <f t="shared" si="168"/>
        <v>11462</v>
      </c>
      <c r="H360" s="66"/>
      <c r="I360" s="66">
        <f t="shared" si="175"/>
        <v>11462</v>
      </c>
      <c r="J360" s="66"/>
      <c r="K360" s="66">
        <f t="shared" si="176"/>
        <v>11462</v>
      </c>
      <c r="L360" s="66"/>
      <c r="M360" s="66">
        <f t="shared" si="177"/>
        <v>11462</v>
      </c>
      <c r="N360" s="66"/>
      <c r="O360" s="66">
        <f t="shared" si="178"/>
        <v>11462</v>
      </c>
      <c r="P360" s="66"/>
      <c r="Q360" s="66">
        <f t="shared" si="179"/>
        <v>11462</v>
      </c>
    </row>
    <row r="361" spans="1:17" s="22" customFormat="1" ht="21" customHeight="1">
      <c r="A361" s="52"/>
      <c r="B361" s="67"/>
      <c r="C361" s="71">
        <v>4430</v>
      </c>
      <c r="D361" s="34" t="s">
        <v>96</v>
      </c>
      <c r="E361" s="66">
        <f>2430</f>
        <v>2430</v>
      </c>
      <c r="F361" s="66"/>
      <c r="G361" s="66">
        <f t="shared" si="168"/>
        <v>2430</v>
      </c>
      <c r="H361" s="66"/>
      <c r="I361" s="66">
        <f t="shared" si="175"/>
        <v>2430</v>
      </c>
      <c r="J361" s="66"/>
      <c r="K361" s="66">
        <f t="shared" si="176"/>
        <v>2430</v>
      </c>
      <c r="L361" s="66"/>
      <c r="M361" s="66">
        <f t="shared" si="177"/>
        <v>2430</v>
      </c>
      <c r="N361" s="66"/>
      <c r="O361" s="66">
        <f t="shared" si="178"/>
        <v>2430</v>
      </c>
      <c r="P361" s="66"/>
      <c r="Q361" s="66">
        <f t="shared" si="179"/>
        <v>2430</v>
      </c>
    </row>
    <row r="362" spans="1:17" s="22" customFormat="1" ht="21" customHeight="1">
      <c r="A362" s="52"/>
      <c r="B362" s="67"/>
      <c r="C362" s="71">
        <v>4440</v>
      </c>
      <c r="D362" s="34" t="s">
        <v>90</v>
      </c>
      <c r="E362" s="66">
        <f>1138+15000+5171+3007</f>
        <v>24316</v>
      </c>
      <c r="F362" s="66"/>
      <c r="G362" s="66">
        <f t="shared" si="168"/>
        <v>24316</v>
      </c>
      <c r="H362" s="66"/>
      <c r="I362" s="66">
        <f t="shared" si="175"/>
        <v>24316</v>
      </c>
      <c r="J362" s="66"/>
      <c r="K362" s="66">
        <f t="shared" si="176"/>
        <v>24316</v>
      </c>
      <c r="L362" s="66"/>
      <c r="M362" s="66">
        <f t="shared" si="177"/>
        <v>24316</v>
      </c>
      <c r="N362" s="66"/>
      <c r="O362" s="66">
        <f t="shared" si="178"/>
        <v>24316</v>
      </c>
      <c r="P362" s="66"/>
      <c r="Q362" s="66">
        <f t="shared" si="179"/>
        <v>24316</v>
      </c>
    </row>
    <row r="363" spans="1:17" s="22" customFormat="1" ht="21" customHeight="1">
      <c r="A363" s="52"/>
      <c r="B363" s="67"/>
      <c r="C363" s="71">
        <v>4610</v>
      </c>
      <c r="D363" s="34" t="s">
        <v>185</v>
      </c>
      <c r="E363" s="66">
        <v>800</v>
      </c>
      <c r="F363" s="66"/>
      <c r="G363" s="66">
        <f t="shared" si="168"/>
        <v>800</v>
      </c>
      <c r="H363" s="66"/>
      <c r="I363" s="66">
        <f t="shared" si="175"/>
        <v>800</v>
      </c>
      <c r="J363" s="66"/>
      <c r="K363" s="66">
        <f t="shared" si="176"/>
        <v>800</v>
      </c>
      <c r="L363" s="66"/>
      <c r="M363" s="66">
        <f t="shared" si="177"/>
        <v>800</v>
      </c>
      <c r="N363" s="66"/>
      <c r="O363" s="66">
        <f t="shared" si="178"/>
        <v>800</v>
      </c>
      <c r="P363" s="66"/>
      <c r="Q363" s="66">
        <f t="shared" si="179"/>
        <v>800</v>
      </c>
    </row>
    <row r="364" spans="1:17" s="22" customFormat="1" ht="27" customHeight="1">
      <c r="A364" s="52"/>
      <c r="B364" s="67"/>
      <c r="C364" s="71">
        <v>4700</v>
      </c>
      <c r="D364" s="34" t="s">
        <v>246</v>
      </c>
      <c r="E364" s="66">
        <v>6000</v>
      </c>
      <c r="F364" s="66"/>
      <c r="G364" s="66">
        <f t="shared" si="168"/>
        <v>6000</v>
      </c>
      <c r="H364" s="66"/>
      <c r="I364" s="66">
        <f t="shared" si="175"/>
        <v>6000</v>
      </c>
      <c r="J364" s="66"/>
      <c r="K364" s="66">
        <f t="shared" si="176"/>
        <v>6000</v>
      </c>
      <c r="L364" s="66"/>
      <c r="M364" s="66">
        <f t="shared" si="177"/>
        <v>6000</v>
      </c>
      <c r="N364" s="66"/>
      <c r="O364" s="66">
        <f t="shared" si="178"/>
        <v>6000</v>
      </c>
      <c r="P364" s="66"/>
      <c r="Q364" s="66">
        <f t="shared" si="179"/>
        <v>6000</v>
      </c>
    </row>
    <row r="365" spans="1:17" s="22" customFormat="1" ht="27" customHeight="1">
      <c r="A365" s="52"/>
      <c r="B365" s="67"/>
      <c r="C365" s="71">
        <v>4740</v>
      </c>
      <c r="D365" s="34" t="s">
        <v>232</v>
      </c>
      <c r="E365" s="66">
        <f>300+1804</f>
        <v>2104</v>
      </c>
      <c r="F365" s="66"/>
      <c r="G365" s="66">
        <f t="shared" si="168"/>
        <v>2104</v>
      </c>
      <c r="H365" s="66"/>
      <c r="I365" s="66">
        <f t="shared" si="175"/>
        <v>2104</v>
      </c>
      <c r="J365" s="66"/>
      <c r="K365" s="66">
        <f t="shared" si="176"/>
        <v>2104</v>
      </c>
      <c r="L365" s="66"/>
      <c r="M365" s="66">
        <f t="shared" si="177"/>
        <v>2104</v>
      </c>
      <c r="N365" s="66"/>
      <c r="O365" s="66">
        <f t="shared" si="178"/>
        <v>2104</v>
      </c>
      <c r="P365" s="66"/>
      <c r="Q365" s="66">
        <f t="shared" si="179"/>
        <v>2104</v>
      </c>
    </row>
    <row r="366" spans="1:17" s="22" customFormat="1" ht="24">
      <c r="A366" s="52"/>
      <c r="B366" s="67"/>
      <c r="C366" s="71">
        <v>4750</v>
      </c>
      <c r="D366" s="34" t="s">
        <v>252</v>
      </c>
      <c r="E366" s="66">
        <v>5000</v>
      </c>
      <c r="F366" s="66"/>
      <c r="G366" s="66">
        <f t="shared" si="168"/>
        <v>5000</v>
      </c>
      <c r="H366" s="66"/>
      <c r="I366" s="66">
        <f t="shared" si="175"/>
        <v>5000</v>
      </c>
      <c r="J366" s="66"/>
      <c r="K366" s="66">
        <f t="shared" si="176"/>
        <v>5000</v>
      </c>
      <c r="L366" s="66"/>
      <c r="M366" s="66">
        <f t="shared" si="177"/>
        <v>5000</v>
      </c>
      <c r="N366" s="66"/>
      <c r="O366" s="66">
        <f t="shared" si="178"/>
        <v>5000</v>
      </c>
      <c r="P366" s="66"/>
      <c r="Q366" s="66">
        <f t="shared" si="179"/>
        <v>5000</v>
      </c>
    </row>
    <row r="367" spans="1:17" s="22" customFormat="1" ht="24">
      <c r="A367" s="52"/>
      <c r="B367" s="67">
        <v>85228</v>
      </c>
      <c r="C367" s="71"/>
      <c r="D367" s="34" t="s">
        <v>123</v>
      </c>
      <c r="E367" s="66">
        <f aca="true" t="shared" si="180" ref="E367:Q367">SUM(E368)</f>
        <v>150000</v>
      </c>
      <c r="F367" s="66">
        <f t="shared" si="180"/>
        <v>0</v>
      </c>
      <c r="G367" s="66">
        <f t="shared" si="180"/>
        <v>150000</v>
      </c>
      <c r="H367" s="66">
        <f t="shared" si="180"/>
        <v>0</v>
      </c>
      <c r="I367" s="66">
        <f t="shared" si="180"/>
        <v>150000</v>
      </c>
      <c r="J367" s="66">
        <f t="shared" si="180"/>
        <v>0</v>
      </c>
      <c r="K367" s="66">
        <f t="shared" si="180"/>
        <v>150000</v>
      </c>
      <c r="L367" s="66">
        <f t="shared" si="180"/>
        <v>0</v>
      </c>
      <c r="M367" s="66">
        <f t="shared" si="180"/>
        <v>150000</v>
      </c>
      <c r="N367" s="66">
        <f t="shared" si="180"/>
        <v>0</v>
      </c>
      <c r="O367" s="66">
        <f t="shared" si="180"/>
        <v>150000</v>
      </c>
      <c r="P367" s="66">
        <f t="shared" si="180"/>
        <v>0</v>
      </c>
      <c r="Q367" s="66">
        <f t="shared" si="180"/>
        <v>150000</v>
      </c>
    </row>
    <row r="368" spans="1:17" s="22" customFormat="1" ht="21" customHeight="1">
      <c r="A368" s="52"/>
      <c r="B368" s="67"/>
      <c r="C368" s="71">
        <v>4300</v>
      </c>
      <c r="D368" s="34" t="s">
        <v>81</v>
      </c>
      <c r="E368" s="66">
        <v>150000</v>
      </c>
      <c r="F368" s="66"/>
      <c r="G368" s="66">
        <f t="shared" si="168"/>
        <v>150000</v>
      </c>
      <c r="H368" s="66"/>
      <c r="I368" s="66">
        <f>SUM(G368:H368)</f>
        <v>150000</v>
      </c>
      <c r="J368" s="66"/>
      <c r="K368" s="66">
        <f>SUM(I368:J368)</f>
        <v>150000</v>
      </c>
      <c r="L368" s="66"/>
      <c r="M368" s="66">
        <f>SUM(K368:L368)</f>
        <v>150000</v>
      </c>
      <c r="N368" s="66"/>
      <c r="O368" s="66">
        <f>SUM(M368:N368)</f>
        <v>150000</v>
      </c>
      <c r="P368" s="66"/>
      <c r="Q368" s="66">
        <f>SUM(O368:P368)</f>
        <v>150000</v>
      </c>
    </row>
    <row r="369" spans="1:17" s="22" customFormat="1" ht="21" customHeight="1">
      <c r="A369" s="52"/>
      <c r="B369" s="67" t="s">
        <v>159</v>
      </c>
      <c r="C369" s="71"/>
      <c r="D369" s="34" t="s">
        <v>6</v>
      </c>
      <c r="E369" s="66">
        <f aca="true" t="shared" si="181" ref="E369:K369">SUM(E370:E371)</f>
        <v>763820</v>
      </c>
      <c r="F369" s="66">
        <f t="shared" si="181"/>
        <v>0</v>
      </c>
      <c r="G369" s="66">
        <f t="shared" si="181"/>
        <v>763820</v>
      </c>
      <c r="H369" s="66">
        <f t="shared" si="181"/>
        <v>0</v>
      </c>
      <c r="I369" s="66">
        <f t="shared" si="181"/>
        <v>763820</v>
      </c>
      <c r="J369" s="66">
        <f t="shared" si="181"/>
        <v>0</v>
      </c>
      <c r="K369" s="66">
        <f t="shared" si="181"/>
        <v>763820</v>
      </c>
      <c r="L369" s="66">
        <f aca="true" t="shared" si="182" ref="L369:Q369">SUM(L370:L371)</f>
        <v>0</v>
      </c>
      <c r="M369" s="66">
        <f t="shared" si="182"/>
        <v>763820</v>
      </c>
      <c r="N369" s="66">
        <f t="shared" si="182"/>
        <v>75000</v>
      </c>
      <c r="O369" s="66">
        <f t="shared" si="182"/>
        <v>838820</v>
      </c>
      <c r="P369" s="66">
        <f t="shared" si="182"/>
        <v>0</v>
      </c>
      <c r="Q369" s="66">
        <f t="shared" si="182"/>
        <v>838820</v>
      </c>
    </row>
    <row r="370" spans="1:17" s="22" customFormat="1" ht="21" customHeight="1">
      <c r="A370" s="52"/>
      <c r="B370" s="67"/>
      <c r="C370" s="71">
        <v>3110</v>
      </c>
      <c r="D370" s="34" t="s">
        <v>114</v>
      </c>
      <c r="E370" s="56">
        <f>541300+217000</f>
        <v>758300</v>
      </c>
      <c r="F370" s="56"/>
      <c r="G370" s="66">
        <f t="shared" si="168"/>
        <v>758300</v>
      </c>
      <c r="H370" s="56"/>
      <c r="I370" s="66">
        <f>SUM(G370:H370)</f>
        <v>758300</v>
      </c>
      <c r="J370" s="56"/>
      <c r="K370" s="66">
        <f>SUM(I370:J370)</f>
        <v>758300</v>
      </c>
      <c r="L370" s="56"/>
      <c r="M370" s="66">
        <f>SUM(K370:L370)</f>
        <v>758300</v>
      </c>
      <c r="N370" s="56">
        <v>75000</v>
      </c>
      <c r="O370" s="66">
        <f>SUM(M370:N370)</f>
        <v>833300</v>
      </c>
      <c r="P370" s="56"/>
      <c r="Q370" s="66">
        <f>SUM(O370:P370)</f>
        <v>833300</v>
      </c>
    </row>
    <row r="371" spans="1:17" s="22" customFormat="1" ht="21" customHeight="1">
      <c r="A371" s="52"/>
      <c r="B371" s="67"/>
      <c r="C371" s="71">
        <v>4430</v>
      </c>
      <c r="D371" s="34" t="s">
        <v>96</v>
      </c>
      <c r="E371" s="66">
        <v>5520</v>
      </c>
      <c r="F371" s="66"/>
      <c r="G371" s="66">
        <f t="shared" si="168"/>
        <v>5520</v>
      </c>
      <c r="H371" s="66"/>
      <c r="I371" s="66">
        <f>SUM(G371:H371)</f>
        <v>5520</v>
      </c>
      <c r="J371" s="66"/>
      <c r="K371" s="66">
        <f>SUM(I371:J371)</f>
        <v>5520</v>
      </c>
      <c r="L371" s="66"/>
      <c r="M371" s="66">
        <f>SUM(K371:L371)</f>
        <v>5520</v>
      </c>
      <c r="N371" s="66"/>
      <c r="O371" s="66">
        <f>SUM(M371:N371)</f>
        <v>5520</v>
      </c>
      <c r="P371" s="66"/>
      <c r="Q371" s="66">
        <f>SUM(O371:P371)</f>
        <v>5520</v>
      </c>
    </row>
    <row r="372" spans="1:17" s="130" customFormat="1" ht="24">
      <c r="A372" s="125">
        <v>853</v>
      </c>
      <c r="B372" s="126"/>
      <c r="C372" s="127"/>
      <c r="D372" s="128" t="s">
        <v>261</v>
      </c>
      <c r="E372" s="129">
        <f aca="true" t="shared" si="183" ref="E372:Q373">E373</f>
        <v>10800</v>
      </c>
      <c r="F372" s="129">
        <f t="shared" si="183"/>
        <v>0</v>
      </c>
      <c r="G372" s="129">
        <f t="shared" si="183"/>
        <v>10800</v>
      </c>
      <c r="H372" s="129">
        <f t="shared" si="183"/>
        <v>0</v>
      </c>
      <c r="I372" s="129">
        <f t="shared" si="183"/>
        <v>10800</v>
      </c>
      <c r="J372" s="129">
        <f t="shared" si="183"/>
        <v>0</v>
      </c>
      <c r="K372" s="129">
        <f t="shared" si="183"/>
        <v>10800</v>
      </c>
      <c r="L372" s="129">
        <f t="shared" si="183"/>
        <v>0</v>
      </c>
      <c r="M372" s="129">
        <f t="shared" si="183"/>
        <v>10800</v>
      </c>
      <c r="N372" s="129">
        <f t="shared" si="183"/>
        <v>0</v>
      </c>
      <c r="O372" s="129">
        <f t="shared" si="183"/>
        <v>10800</v>
      </c>
      <c r="P372" s="129">
        <f t="shared" si="183"/>
        <v>0</v>
      </c>
      <c r="Q372" s="129">
        <f t="shared" si="183"/>
        <v>10800</v>
      </c>
    </row>
    <row r="373" spans="1:17" s="22" customFormat="1" ht="21" customHeight="1">
      <c r="A373" s="52"/>
      <c r="B373" s="67">
        <v>85311</v>
      </c>
      <c r="C373" s="71"/>
      <c r="D373" s="34" t="s">
        <v>262</v>
      </c>
      <c r="E373" s="66">
        <f t="shared" si="183"/>
        <v>10800</v>
      </c>
      <c r="F373" s="66">
        <f t="shared" si="183"/>
        <v>0</v>
      </c>
      <c r="G373" s="66">
        <f t="shared" si="183"/>
        <v>10800</v>
      </c>
      <c r="H373" s="66">
        <f t="shared" si="183"/>
        <v>0</v>
      </c>
      <c r="I373" s="66">
        <f t="shared" si="183"/>
        <v>10800</v>
      </c>
      <c r="J373" s="66">
        <f t="shared" si="183"/>
        <v>0</v>
      </c>
      <c r="K373" s="66">
        <f t="shared" si="183"/>
        <v>10800</v>
      </c>
      <c r="L373" s="66">
        <f t="shared" si="183"/>
        <v>0</v>
      </c>
      <c r="M373" s="66">
        <f t="shared" si="183"/>
        <v>10800</v>
      </c>
      <c r="N373" s="66">
        <f t="shared" si="183"/>
        <v>0</v>
      </c>
      <c r="O373" s="66">
        <f t="shared" si="183"/>
        <v>10800</v>
      </c>
      <c r="P373" s="66">
        <f t="shared" si="183"/>
        <v>0</v>
      </c>
      <c r="Q373" s="66">
        <f t="shared" si="183"/>
        <v>10800</v>
      </c>
    </row>
    <row r="374" spans="1:17" s="22" customFormat="1" ht="48">
      <c r="A374" s="52"/>
      <c r="B374" s="67"/>
      <c r="C374" s="71">
        <v>2710</v>
      </c>
      <c r="D374" s="34" t="s">
        <v>271</v>
      </c>
      <c r="E374" s="66">
        <v>10800</v>
      </c>
      <c r="F374" s="66"/>
      <c r="G374" s="66">
        <f t="shared" si="168"/>
        <v>10800</v>
      </c>
      <c r="H374" s="66"/>
      <c r="I374" s="66">
        <f>SUM(G374:H374)</f>
        <v>10800</v>
      </c>
      <c r="J374" s="66"/>
      <c r="K374" s="66">
        <f>SUM(I374:J374)</f>
        <v>10800</v>
      </c>
      <c r="L374" s="66"/>
      <c r="M374" s="66">
        <f>SUM(K374:L374)</f>
        <v>10800</v>
      </c>
      <c r="N374" s="66"/>
      <c r="O374" s="66">
        <f>SUM(M374:N374)</f>
        <v>10800</v>
      </c>
      <c r="P374" s="66"/>
      <c r="Q374" s="66">
        <f>SUM(O374:P374)</f>
        <v>10800</v>
      </c>
    </row>
    <row r="375" spans="1:17" s="6" customFormat="1" ht="21" customHeight="1">
      <c r="A375" s="29" t="s">
        <v>124</v>
      </c>
      <c r="B375" s="30"/>
      <c r="C375" s="31"/>
      <c r="D375" s="32" t="s">
        <v>60</v>
      </c>
      <c r="E375" s="33">
        <f aca="true" t="shared" si="184" ref="E375:K375">SUM(E376,E386,E397,E393,E391)</f>
        <v>995031</v>
      </c>
      <c r="F375" s="33">
        <f t="shared" si="184"/>
        <v>-35000</v>
      </c>
      <c r="G375" s="33">
        <f t="shared" si="184"/>
        <v>960031</v>
      </c>
      <c r="H375" s="33">
        <f t="shared" si="184"/>
        <v>252163</v>
      </c>
      <c r="I375" s="33">
        <f t="shared" si="184"/>
        <v>1212194</v>
      </c>
      <c r="J375" s="33">
        <f t="shared" si="184"/>
        <v>4462</v>
      </c>
      <c r="K375" s="33">
        <f t="shared" si="184"/>
        <v>1216656</v>
      </c>
      <c r="L375" s="33">
        <f aca="true" t="shared" si="185" ref="L375:Q375">SUM(L376,L386,L397,L393,L391)</f>
        <v>0</v>
      </c>
      <c r="M375" s="33">
        <f t="shared" si="185"/>
        <v>1216656</v>
      </c>
      <c r="N375" s="33">
        <f t="shared" si="185"/>
        <v>0</v>
      </c>
      <c r="O375" s="33">
        <f t="shared" si="185"/>
        <v>1216656</v>
      </c>
      <c r="P375" s="33">
        <f t="shared" si="185"/>
        <v>0</v>
      </c>
      <c r="Q375" s="33">
        <f t="shared" si="185"/>
        <v>1216656</v>
      </c>
    </row>
    <row r="376" spans="1:17" s="22" customFormat="1" ht="21" customHeight="1">
      <c r="A376" s="52"/>
      <c r="B376" s="67">
        <v>85401</v>
      </c>
      <c r="C376" s="71"/>
      <c r="D376" s="34" t="s">
        <v>61</v>
      </c>
      <c r="E376" s="66">
        <f aca="true" t="shared" si="186" ref="E376:K376">SUM(E377:E385)</f>
        <v>522477</v>
      </c>
      <c r="F376" s="66">
        <f t="shared" si="186"/>
        <v>0</v>
      </c>
      <c r="G376" s="66">
        <f t="shared" si="186"/>
        <v>522477</v>
      </c>
      <c r="H376" s="66">
        <f t="shared" si="186"/>
        <v>0</v>
      </c>
      <c r="I376" s="66">
        <f t="shared" si="186"/>
        <v>522477</v>
      </c>
      <c r="J376" s="66">
        <f t="shared" si="186"/>
        <v>4462</v>
      </c>
      <c r="K376" s="66">
        <f t="shared" si="186"/>
        <v>526939</v>
      </c>
      <c r="L376" s="66">
        <f aca="true" t="shared" si="187" ref="L376:Q376">SUM(L377:L385)</f>
        <v>0</v>
      </c>
      <c r="M376" s="66">
        <f t="shared" si="187"/>
        <v>526939</v>
      </c>
      <c r="N376" s="66">
        <f t="shared" si="187"/>
        <v>0</v>
      </c>
      <c r="O376" s="66">
        <f t="shared" si="187"/>
        <v>526939</v>
      </c>
      <c r="P376" s="66">
        <f t="shared" si="187"/>
        <v>0</v>
      </c>
      <c r="Q376" s="66">
        <f t="shared" si="187"/>
        <v>526939</v>
      </c>
    </row>
    <row r="377" spans="1:17" s="22" customFormat="1" ht="21" customHeight="1">
      <c r="A377" s="52"/>
      <c r="B377" s="67"/>
      <c r="C377" s="71">
        <v>3020</v>
      </c>
      <c r="D377" s="34" t="s">
        <v>215</v>
      </c>
      <c r="E377" s="66">
        <v>10339</v>
      </c>
      <c r="F377" s="66"/>
      <c r="G377" s="66">
        <f t="shared" si="168"/>
        <v>10339</v>
      </c>
      <c r="H377" s="66"/>
      <c r="I377" s="66">
        <f aca="true" t="shared" si="188" ref="I377:I385">SUM(G377:H377)</f>
        <v>10339</v>
      </c>
      <c r="J377" s="66"/>
      <c r="K377" s="66">
        <f aca="true" t="shared" si="189" ref="K377:K385">SUM(I377:J377)</f>
        <v>10339</v>
      </c>
      <c r="L377" s="66"/>
      <c r="M377" s="66">
        <f aca="true" t="shared" si="190" ref="M377:M385">SUM(K377:L377)</f>
        <v>10339</v>
      </c>
      <c r="N377" s="66"/>
      <c r="O377" s="66">
        <f aca="true" t="shared" si="191" ref="O377:O385">SUM(M377:N377)</f>
        <v>10339</v>
      </c>
      <c r="P377" s="66"/>
      <c r="Q377" s="66">
        <f aca="true" t="shared" si="192" ref="Q377:Q385">SUM(O377:P377)</f>
        <v>10339</v>
      </c>
    </row>
    <row r="378" spans="1:19" s="22" customFormat="1" ht="21" customHeight="1">
      <c r="A378" s="52"/>
      <c r="B378" s="67"/>
      <c r="C378" s="71">
        <v>4010</v>
      </c>
      <c r="D378" s="34" t="s">
        <v>86</v>
      </c>
      <c r="E378" s="66">
        <v>371545</v>
      </c>
      <c r="F378" s="66"/>
      <c r="G378" s="66">
        <f t="shared" si="168"/>
        <v>371545</v>
      </c>
      <c r="H378" s="66"/>
      <c r="I378" s="66">
        <f t="shared" si="188"/>
        <v>371545</v>
      </c>
      <c r="J378" s="66">
        <v>613</v>
      </c>
      <c r="K378" s="66">
        <f t="shared" si="189"/>
        <v>372158</v>
      </c>
      <c r="L378" s="66"/>
      <c r="M378" s="66">
        <f t="shared" si="190"/>
        <v>372158</v>
      </c>
      <c r="N378" s="66"/>
      <c r="O378" s="66">
        <f t="shared" si="191"/>
        <v>372158</v>
      </c>
      <c r="P378" s="66"/>
      <c r="Q378" s="66">
        <f t="shared" si="192"/>
        <v>372158</v>
      </c>
      <c r="R378" s="97"/>
      <c r="S378" s="97"/>
    </row>
    <row r="379" spans="1:19" s="22" customFormat="1" ht="21" customHeight="1">
      <c r="A379" s="52"/>
      <c r="B379" s="67"/>
      <c r="C379" s="71">
        <v>4040</v>
      </c>
      <c r="D379" s="34" t="s">
        <v>87</v>
      </c>
      <c r="E379" s="66">
        <v>23840</v>
      </c>
      <c r="F379" s="66"/>
      <c r="G379" s="66">
        <f t="shared" si="168"/>
        <v>23840</v>
      </c>
      <c r="H379" s="66"/>
      <c r="I379" s="66">
        <f t="shared" si="188"/>
        <v>23840</v>
      </c>
      <c r="J379" s="66">
        <v>3849</v>
      </c>
      <c r="K379" s="66">
        <f t="shared" si="189"/>
        <v>27689</v>
      </c>
      <c r="L379" s="66"/>
      <c r="M379" s="66">
        <f t="shared" si="190"/>
        <v>27689</v>
      </c>
      <c r="N379" s="66"/>
      <c r="O379" s="66">
        <f t="shared" si="191"/>
        <v>27689</v>
      </c>
      <c r="P379" s="66"/>
      <c r="Q379" s="66">
        <f t="shared" si="192"/>
        <v>27689</v>
      </c>
      <c r="R379" s="97"/>
      <c r="S379" s="97"/>
    </row>
    <row r="380" spans="1:19" s="22" customFormat="1" ht="21" customHeight="1">
      <c r="A380" s="52"/>
      <c r="B380" s="67"/>
      <c r="C380" s="71">
        <v>4110</v>
      </c>
      <c r="D380" s="34" t="s">
        <v>88</v>
      </c>
      <c r="E380" s="66">
        <v>58485</v>
      </c>
      <c r="F380" s="66"/>
      <c r="G380" s="66">
        <f t="shared" si="168"/>
        <v>58485</v>
      </c>
      <c r="H380" s="66"/>
      <c r="I380" s="66">
        <f t="shared" si="188"/>
        <v>58485</v>
      </c>
      <c r="J380" s="66"/>
      <c r="K380" s="66">
        <f t="shared" si="189"/>
        <v>58485</v>
      </c>
      <c r="L380" s="66"/>
      <c r="M380" s="66">
        <f t="shared" si="190"/>
        <v>58485</v>
      </c>
      <c r="N380" s="66"/>
      <c r="O380" s="66">
        <f t="shared" si="191"/>
        <v>58485</v>
      </c>
      <c r="P380" s="66"/>
      <c r="Q380" s="66">
        <f t="shared" si="192"/>
        <v>58485</v>
      </c>
      <c r="R380" s="97"/>
      <c r="S380" s="97"/>
    </row>
    <row r="381" spans="1:19" s="22" customFormat="1" ht="21" customHeight="1">
      <c r="A381" s="52"/>
      <c r="B381" s="67"/>
      <c r="C381" s="71">
        <v>4120</v>
      </c>
      <c r="D381" s="34" t="s">
        <v>89</v>
      </c>
      <c r="E381" s="66">
        <v>10075</v>
      </c>
      <c r="F381" s="66"/>
      <c r="G381" s="66">
        <f t="shared" si="168"/>
        <v>10075</v>
      </c>
      <c r="H381" s="66"/>
      <c r="I381" s="66">
        <f t="shared" si="188"/>
        <v>10075</v>
      </c>
      <c r="J381" s="66"/>
      <c r="K381" s="66">
        <f t="shared" si="189"/>
        <v>10075</v>
      </c>
      <c r="L381" s="66"/>
      <c r="M381" s="66">
        <f t="shared" si="190"/>
        <v>10075</v>
      </c>
      <c r="N381" s="66"/>
      <c r="O381" s="66">
        <f t="shared" si="191"/>
        <v>10075</v>
      </c>
      <c r="P381" s="66"/>
      <c r="Q381" s="66">
        <f t="shared" si="192"/>
        <v>10075</v>
      </c>
      <c r="R381" s="97"/>
      <c r="S381" s="97"/>
    </row>
    <row r="382" spans="1:17" s="22" customFormat="1" ht="21" customHeight="1">
      <c r="A382" s="52"/>
      <c r="B382" s="67"/>
      <c r="C382" s="71">
        <v>4210</v>
      </c>
      <c r="D382" s="34" t="s">
        <v>94</v>
      </c>
      <c r="E382" s="66">
        <v>9950</v>
      </c>
      <c r="F382" s="66"/>
      <c r="G382" s="66">
        <f t="shared" si="168"/>
        <v>9950</v>
      </c>
      <c r="H382" s="66"/>
      <c r="I382" s="66">
        <f t="shared" si="188"/>
        <v>9950</v>
      </c>
      <c r="J382" s="66"/>
      <c r="K382" s="66">
        <f t="shared" si="189"/>
        <v>9950</v>
      </c>
      <c r="L382" s="66"/>
      <c r="M382" s="66">
        <f t="shared" si="190"/>
        <v>9950</v>
      </c>
      <c r="N382" s="66"/>
      <c r="O382" s="66">
        <f t="shared" si="191"/>
        <v>9950</v>
      </c>
      <c r="P382" s="66"/>
      <c r="Q382" s="66">
        <f t="shared" si="192"/>
        <v>9950</v>
      </c>
    </row>
    <row r="383" spans="1:17" s="22" customFormat="1" ht="24">
      <c r="A383" s="52"/>
      <c r="B383" s="67"/>
      <c r="C383" s="71">
        <v>4240</v>
      </c>
      <c r="D383" s="34" t="s">
        <v>125</v>
      </c>
      <c r="E383" s="66">
        <v>8000</v>
      </c>
      <c r="F383" s="66"/>
      <c r="G383" s="66">
        <f t="shared" si="168"/>
        <v>8000</v>
      </c>
      <c r="H383" s="66"/>
      <c r="I383" s="66">
        <f t="shared" si="188"/>
        <v>8000</v>
      </c>
      <c r="J383" s="66"/>
      <c r="K383" s="66">
        <f t="shared" si="189"/>
        <v>8000</v>
      </c>
      <c r="L383" s="66"/>
      <c r="M383" s="66">
        <f t="shared" si="190"/>
        <v>8000</v>
      </c>
      <c r="N383" s="66"/>
      <c r="O383" s="66">
        <f t="shared" si="191"/>
        <v>8000</v>
      </c>
      <c r="P383" s="66"/>
      <c r="Q383" s="66">
        <f t="shared" si="192"/>
        <v>8000</v>
      </c>
    </row>
    <row r="384" spans="1:17" s="22" customFormat="1" ht="21" customHeight="1">
      <c r="A384" s="52"/>
      <c r="B384" s="67"/>
      <c r="C384" s="71">
        <v>4280</v>
      </c>
      <c r="D384" s="34" t="s">
        <v>203</v>
      </c>
      <c r="E384" s="66">
        <v>600</v>
      </c>
      <c r="F384" s="66"/>
      <c r="G384" s="66">
        <f t="shared" si="168"/>
        <v>600</v>
      </c>
      <c r="H384" s="66"/>
      <c r="I384" s="66">
        <f t="shared" si="188"/>
        <v>600</v>
      </c>
      <c r="J384" s="66"/>
      <c r="K384" s="66">
        <f t="shared" si="189"/>
        <v>600</v>
      </c>
      <c r="L384" s="66"/>
      <c r="M384" s="66">
        <f t="shared" si="190"/>
        <v>600</v>
      </c>
      <c r="N384" s="66"/>
      <c r="O384" s="66">
        <f t="shared" si="191"/>
        <v>600</v>
      </c>
      <c r="P384" s="66"/>
      <c r="Q384" s="66">
        <f t="shared" si="192"/>
        <v>600</v>
      </c>
    </row>
    <row r="385" spans="1:17" s="22" customFormat="1" ht="24">
      <c r="A385" s="52"/>
      <c r="B385" s="67"/>
      <c r="C385" s="71">
        <v>4440</v>
      </c>
      <c r="D385" s="34" t="s">
        <v>90</v>
      </c>
      <c r="E385" s="66">
        <v>29643</v>
      </c>
      <c r="F385" s="66"/>
      <c r="G385" s="66">
        <f t="shared" si="168"/>
        <v>29643</v>
      </c>
      <c r="H385" s="66"/>
      <c r="I385" s="66">
        <f t="shared" si="188"/>
        <v>29643</v>
      </c>
      <c r="J385" s="66"/>
      <c r="K385" s="66">
        <f t="shared" si="189"/>
        <v>29643</v>
      </c>
      <c r="L385" s="66"/>
      <c r="M385" s="66">
        <f t="shared" si="190"/>
        <v>29643</v>
      </c>
      <c r="N385" s="66"/>
      <c r="O385" s="66">
        <f t="shared" si="191"/>
        <v>29643</v>
      </c>
      <c r="P385" s="66"/>
      <c r="Q385" s="66">
        <f t="shared" si="192"/>
        <v>29643</v>
      </c>
    </row>
    <row r="386" spans="1:17" s="22" customFormat="1" ht="36">
      <c r="A386" s="52"/>
      <c r="B386" s="67" t="s">
        <v>128</v>
      </c>
      <c r="C386" s="71"/>
      <c r="D386" s="34" t="s">
        <v>160</v>
      </c>
      <c r="E386" s="66">
        <f aca="true" t="shared" si="193" ref="E386:K386">SUM(E387:E390)</f>
        <v>140890</v>
      </c>
      <c r="F386" s="66">
        <f t="shared" si="193"/>
        <v>-35000</v>
      </c>
      <c r="G386" s="66">
        <f t="shared" si="193"/>
        <v>105890</v>
      </c>
      <c r="H386" s="66">
        <f t="shared" si="193"/>
        <v>0</v>
      </c>
      <c r="I386" s="66">
        <f t="shared" si="193"/>
        <v>105890</v>
      </c>
      <c r="J386" s="66">
        <f t="shared" si="193"/>
        <v>0</v>
      </c>
      <c r="K386" s="66">
        <f t="shared" si="193"/>
        <v>105890</v>
      </c>
      <c r="L386" s="66">
        <f aca="true" t="shared" si="194" ref="L386:Q386">SUM(L387:L390)</f>
        <v>0</v>
      </c>
      <c r="M386" s="66">
        <f t="shared" si="194"/>
        <v>105890</v>
      </c>
      <c r="N386" s="66">
        <f t="shared" si="194"/>
        <v>0</v>
      </c>
      <c r="O386" s="66">
        <f t="shared" si="194"/>
        <v>105890</v>
      </c>
      <c r="P386" s="66">
        <f t="shared" si="194"/>
        <v>0</v>
      </c>
      <c r="Q386" s="66">
        <f t="shared" si="194"/>
        <v>105890</v>
      </c>
    </row>
    <row r="387" spans="1:17" s="22" customFormat="1" ht="36">
      <c r="A387" s="52"/>
      <c r="B387" s="67"/>
      <c r="C387" s="71">
        <v>2630</v>
      </c>
      <c r="D387" s="34" t="s">
        <v>272</v>
      </c>
      <c r="E387" s="66">
        <v>65000</v>
      </c>
      <c r="F387" s="66">
        <v>-65000</v>
      </c>
      <c r="G387" s="66">
        <f t="shared" si="168"/>
        <v>0</v>
      </c>
      <c r="H387" s="66"/>
      <c r="I387" s="66">
        <f>SUM(G387:H387)</f>
        <v>0</v>
      </c>
      <c r="J387" s="66"/>
      <c r="K387" s="66">
        <f>SUM(I387:J387)</f>
        <v>0</v>
      </c>
      <c r="L387" s="66"/>
      <c r="M387" s="66">
        <f>SUM(K387:L387)</f>
        <v>0</v>
      </c>
      <c r="N387" s="66"/>
      <c r="O387" s="66">
        <f>SUM(M387:N387)</f>
        <v>0</v>
      </c>
      <c r="P387" s="66"/>
      <c r="Q387" s="66">
        <f>SUM(O387:P387)</f>
        <v>0</v>
      </c>
    </row>
    <row r="388" spans="1:17" s="22" customFormat="1" ht="21" customHeight="1">
      <c r="A388" s="52"/>
      <c r="B388" s="67"/>
      <c r="C388" s="71">
        <v>4210</v>
      </c>
      <c r="D388" s="34" t="s">
        <v>94</v>
      </c>
      <c r="E388" s="66">
        <v>2390</v>
      </c>
      <c r="F388" s="66"/>
      <c r="G388" s="66">
        <f t="shared" si="168"/>
        <v>2390</v>
      </c>
      <c r="H388" s="66"/>
      <c r="I388" s="66">
        <f>SUM(G388:H388)</f>
        <v>2390</v>
      </c>
      <c r="J388" s="66"/>
      <c r="K388" s="66">
        <f>SUM(I388:J388)</f>
        <v>2390</v>
      </c>
      <c r="L388" s="66"/>
      <c r="M388" s="66">
        <f>SUM(K388:L388)</f>
        <v>2390</v>
      </c>
      <c r="N388" s="66"/>
      <c r="O388" s="66">
        <f>SUM(M388:N388)</f>
        <v>2390</v>
      </c>
      <c r="P388" s="66"/>
      <c r="Q388" s="66">
        <f>SUM(O388:P388)</f>
        <v>2390</v>
      </c>
    </row>
    <row r="389" spans="1:17" s="22" customFormat="1" ht="21" customHeight="1">
      <c r="A389" s="71"/>
      <c r="B389" s="72"/>
      <c r="C389" s="71">
        <v>4300</v>
      </c>
      <c r="D389" s="34" t="s">
        <v>81</v>
      </c>
      <c r="E389" s="66">
        <v>7500</v>
      </c>
      <c r="F389" s="66">
        <v>30000</v>
      </c>
      <c r="G389" s="66">
        <f t="shared" si="168"/>
        <v>37500</v>
      </c>
      <c r="H389" s="66"/>
      <c r="I389" s="66">
        <f>SUM(G389:H389)</f>
        <v>37500</v>
      </c>
      <c r="J389" s="66"/>
      <c r="K389" s="66">
        <f>SUM(I389:J389)</f>
        <v>37500</v>
      </c>
      <c r="L389" s="66"/>
      <c r="M389" s="66">
        <f>SUM(K389:L389)</f>
        <v>37500</v>
      </c>
      <c r="N389" s="66"/>
      <c r="O389" s="66">
        <f>SUM(M389:N389)</f>
        <v>37500</v>
      </c>
      <c r="P389" s="66"/>
      <c r="Q389" s="66">
        <f>SUM(O389:P389)</f>
        <v>37500</v>
      </c>
    </row>
    <row r="390" spans="1:17" s="22" customFormat="1" ht="21" customHeight="1">
      <c r="A390" s="71"/>
      <c r="B390" s="72"/>
      <c r="C390" s="71">
        <v>6050</v>
      </c>
      <c r="D390" s="34" t="s">
        <v>75</v>
      </c>
      <c r="E390" s="66">
        <f>50000+16000</f>
        <v>66000</v>
      </c>
      <c r="F390" s="66"/>
      <c r="G390" s="66">
        <f t="shared" si="168"/>
        <v>66000</v>
      </c>
      <c r="H390" s="66"/>
      <c r="I390" s="66">
        <f>SUM(G390:H390)</f>
        <v>66000</v>
      </c>
      <c r="J390" s="66"/>
      <c r="K390" s="66">
        <f>SUM(I390:J390)</f>
        <v>66000</v>
      </c>
      <c r="L390" s="66"/>
      <c r="M390" s="66">
        <f>SUM(K390:L390)</f>
        <v>66000</v>
      </c>
      <c r="N390" s="66"/>
      <c r="O390" s="66">
        <f>SUM(M390:N390)</f>
        <v>66000</v>
      </c>
      <c r="P390" s="66"/>
      <c r="Q390" s="66">
        <f>SUM(O390:P390)</f>
        <v>66000</v>
      </c>
    </row>
    <row r="391" spans="1:17" s="22" customFormat="1" ht="21" customHeight="1">
      <c r="A391" s="71"/>
      <c r="B391" s="72">
        <v>85415</v>
      </c>
      <c r="C391" s="71"/>
      <c r="D391" s="34" t="s">
        <v>235</v>
      </c>
      <c r="E391" s="66">
        <f aca="true" t="shared" si="195" ref="E391:Q391">SUM(E392)</f>
        <v>100000</v>
      </c>
      <c r="F391" s="66">
        <f t="shared" si="195"/>
        <v>0</v>
      </c>
      <c r="G391" s="66">
        <f t="shared" si="195"/>
        <v>100000</v>
      </c>
      <c r="H391" s="66">
        <f t="shared" si="195"/>
        <v>252163</v>
      </c>
      <c r="I391" s="66">
        <f t="shared" si="195"/>
        <v>352163</v>
      </c>
      <c r="J391" s="66">
        <f t="shared" si="195"/>
        <v>0</v>
      </c>
      <c r="K391" s="66">
        <f t="shared" si="195"/>
        <v>352163</v>
      </c>
      <c r="L391" s="66">
        <f t="shared" si="195"/>
        <v>0</v>
      </c>
      <c r="M391" s="66">
        <f t="shared" si="195"/>
        <v>352163</v>
      </c>
      <c r="N391" s="66">
        <f t="shared" si="195"/>
        <v>0</v>
      </c>
      <c r="O391" s="66">
        <f t="shared" si="195"/>
        <v>352163</v>
      </c>
      <c r="P391" s="66">
        <f t="shared" si="195"/>
        <v>0</v>
      </c>
      <c r="Q391" s="66">
        <f t="shared" si="195"/>
        <v>352163</v>
      </c>
    </row>
    <row r="392" spans="1:17" s="22" customFormat="1" ht="21" customHeight="1">
      <c r="A392" s="71"/>
      <c r="B392" s="72"/>
      <c r="C392" s="71">
        <v>3240</v>
      </c>
      <c r="D392" s="34" t="s">
        <v>236</v>
      </c>
      <c r="E392" s="66">
        <v>100000</v>
      </c>
      <c r="F392" s="66"/>
      <c r="G392" s="66">
        <f t="shared" si="168"/>
        <v>100000</v>
      </c>
      <c r="H392" s="66">
        <v>252163</v>
      </c>
      <c r="I392" s="66">
        <f>SUM(G392:H392)</f>
        <v>352163</v>
      </c>
      <c r="J392" s="66"/>
      <c r="K392" s="66">
        <f>SUM(I392:J392)</f>
        <v>352163</v>
      </c>
      <c r="L392" s="66"/>
      <c r="M392" s="66">
        <f>SUM(K392:L392)</f>
        <v>352163</v>
      </c>
      <c r="N392" s="66"/>
      <c r="O392" s="66">
        <f>SUM(M392:N392)</f>
        <v>352163</v>
      </c>
      <c r="P392" s="66"/>
      <c r="Q392" s="66">
        <f>SUM(O392:P392)</f>
        <v>352163</v>
      </c>
    </row>
    <row r="393" spans="1:17" s="22" customFormat="1" ht="21" customHeight="1">
      <c r="A393" s="71"/>
      <c r="B393" s="72">
        <v>85446</v>
      </c>
      <c r="C393" s="71"/>
      <c r="D393" s="34" t="s">
        <v>149</v>
      </c>
      <c r="E393" s="66">
        <f>SUM(E394:E394)</f>
        <v>3813</v>
      </c>
      <c r="F393" s="66">
        <f>SUM(F394:F394)</f>
        <v>0</v>
      </c>
      <c r="G393" s="66">
        <f>SUM(G394:G394)</f>
        <v>3813</v>
      </c>
      <c r="H393" s="66">
        <f>SUM(H394:H394)</f>
        <v>0</v>
      </c>
      <c r="I393" s="66">
        <f aca="true" t="shared" si="196" ref="I393:O393">SUM(I394:I396)</f>
        <v>3813</v>
      </c>
      <c r="J393" s="66">
        <f t="shared" si="196"/>
        <v>0</v>
      </c>
      <c r="K393" s="66">
        <f t="shared" si="196"/>
        <v>3813</v>
      </c>
      <c r="L393" s="66">
        <f t="shared" si="196"/>
        <v>0</v>
      </c>
      <c r="M393" s="66">
        <f t="shared" si="196"/>
        <v>3813</v>
      </c>
      <c r="N393" s="66">
        <f t="shared" si="196"/>
        <v>0</v>
      </c>
      <c r="O393" s="66">
        <f t="shared" si="196"/>
        <v>3813</v>
      </c>
      <c r="P393" s="66">
        <f>SUM(P394:P396)</f>
        <v>0</v>
      </c>
      <c r="Q393" s="66">
        <f>SUM(Q394:Q396)</f>
        <v>3813</v>
      </c>
    </row>
    <row r="394" spans="1:17" s="22" customFormat="1" ht="21" customHeight="1">
      <c r="A394" s="71"/>
      <c r="B394" s="72"/>
      <c r="C394" s="71">
        <v>4300</v>
      </c>
      <c r="D394" s="34" t="s">
        <v>81</v>
      </c>
      <c r="E394" s="66">
        <v>3813</v>
      </c>
      <c r="F394" s="66"/>
      <c r="G394" s="66">
        <f t="shared" si="168"/>
        <v>3813</v>
      </c>
      <c r="H394" s="66"/>
      <c r="I394" s="66">
        <f>SUM(G394:H394)</f>
        <v>3813</v>
      </c>
      <c r="J394" s="66">
        <f>-1825-1158</f>
        <v>-2983</v>
      </c>
      <c r="K394" s="66">
        <f>SUM(I394:J394)</f>
        <v>830</v>
      </c>
      <c r="L394" s="66"/>
      <c r="M394" s="66">
        <f>SUM(K394:L394)</f>
        <v>830</v>
      </c>
      <c r="N394" s="66"/>
      <c r="O394" s="66">
        <f>SUM(M394:N394)</f>
        <v>830</v>
      </c>
      <c r="P394" s="66"/>
      <c r="Q394" s="66">
        <f>SUM(O394:P394)</f>
        <v>830</v>
      </c>
    </row>
    <row r="395" spans="1:17" s="22" customFormat="1" ht="21" customHeight="1">
      <c r="A395" s="71"/>
      <c r="B395" s="72"/>
      <c r="C395" s="71">
        <v>4410</v>
      </c>
      <c r="D395" s="34" t="s">
        <v>92</v>
      </c>
      <c r="E395" s="66"/>
      <c r="F395" s="66"/>
      <c r="G395" s="66"/>
      <c r="H395" s="66"/>
      <c r="I395" s="66">
        <v>0</v>
      </c>
      <c r="J395" s="66">
        <v>1158</v>
      </c>
      <c r="K395" s="66">
        <f>SUM(I395:J395)</f>
        <v>1158</v>
      </c>
      <c r="L395" s="66"/>
      <c r="M395" s="66">
        <f>SUM(K395:L395)</f>
        <v>1158</v>
      </c>
      <c r="N395" s="66"/>
      <c r="O395" s="66">
        <f>SUM(M395:N395)</f>
        <v>1158</v>
      </c>
      <c r="P395" s="66"/>
      <c r="Q395" s="66">
        <f>SUM(O395:P395)</f>
        <v>1158</v>
      </c>
    </row>
    <row r="396" spans="1:17" s="22" customFormat="1" ht="24">
      <c r="A396" s="71"/>
      <c r="B396" s="72"/>
      <c r="C396" s="71">
        <v>4700</v>
      </c>
      <c r="D396" s="34" t="s">
        <v>246</v>
      </c>
      <c r="E396" s="66"/>
      <c r="F396" s="66"/>
      <c r="G396" s="66"/>
      <c r="H396" s="66"/>
      <c r="I396" s="66">
        <v>0</v>
      </c>
      <c r="J396" s="66">
        <v>1825</v>
      </c>
      <c r="K396" s="66">
        <f>SUM(I396:J396)</f>
        <v>1825</v>
      </c>
      <c r="L396" s="66"/>
      <c r="M396" s="66">
        <f>SUM(K396:L396)</f>
        <v>1825</v>
      </c>
      <c r="N396" s="66"/>
      <c r="O396" s="66">
        <f>SUM(M396:N396)</f>
        <v>1825</v>
      </c>
      <c r="P396" s="66"/>
      <c r="Q396" s="66">
        <f>SUM(O396:P396)</f>
        <v>1825</v>
      </c>
    </row>
    <row r="397" spans="1:17" s="22" customFormat="1" ht="21" customHeight="1">
      <c r="A397" s="71"/>
      <c r="B397" s="72">
        <v>85495</v>
      </c>
      <c r="C397" s="71"/>
      <c r="D397" s="34" t="s">
        <v>6</v>
      </c>
      <c r="E397" s="66">
        <f aca="true" t="shared" si="197" ref="E397:Q397">SUM(E398:E398)</f>
        <v>227851</v>
      </c>
      <c r="F397" s="66">
        <f t="shared" si="197"/>
        <v>0</v>
      </c>
      <c r="G397" s="66">
        <f t="shared" si="197"/>
        <v>227851</v>
      </c>
      <c r="H397" s="66">
        <f t="shared" si="197"/>
        <v>0</v>
      </c>
      <c r="I397" s="66">
        <f t="shared" si="197"/>
        <v>227851</v>
      </c>
      <c r="J397" s="66">
        <f t="shared" si="197"/>
        <v>0</v>
      </c>
      <c r="K397" s="66">
        <f t="shared" si="197"/>
        <v>227851</v>
      </c>
      <c r="L397" s="66">
        <f t="shared" si="197"/>
        <v>0</v>
      </c>
      <c r="M397" s="66">
        <f t="shared" si="197"/>
        <v>227851</v>
      </c>
      <c r="N397" s="66">
        <f t="shared" si="197"/>
        <v>0</v>
      </c>
      <c r="O397" s="66">
        <f t="shared" si="197"/>
        <v>227851</v>
      </c>
      <c r="P397" s="66">
        <f t="shared" si="197"/>
        <v>0</v>
      </c>
      <c r="Q397" s="66">
        <f t="shared" si="197"/>
        <v>227851</v>
      </c>
    </row>
    <row r="398" spans="1:17" s="22" customFormat="1" ht="48">
      <c r="A398" s="71"/>
      <c r="B398" s="72"/>
      <c r="C398" s="71">
        <v>2320</v>
      </c>
      <c r="D398" s="34" t="s">
        <v>152</v>
      </c>
      <c r="E398" s="66">
        <v>227851</v>
      </c>
      <c r="F398" s="66"/>
      <c r="G398" s="66">
        <f t="shared" si="168"/>
        <v>227851</v>
      </c>
      <c r="H398" s="66"/>
      <c r="I398" s="66">
        <f>SUM(G398:H398)</f>
        <v>227851</v>
      </c>
      <c r="J398" s="66"/>
      <c r="K398" s="66">
        <f>SUM(I398:J398)</f>
        <v>227851</v>
      </c>
      <c r="L398" s="66"/>
      <c r="M398" s="66">
        <f>SUM(K398:L398)</f>
        <v>227851</v>
      </c>
      <c r="N398" s="66"/>
      <c r="O398" s="66">
        <f>SUM(M398:N398)</f>
        <v>227851</v>
      </c>
      <c r="P398" s="66"/>
      <c r="Q398" s="66">
        <f>SUM(O398:P398)</f>
        <v>227851</v>
      </c>
    </row>
    <row r="399" spans="1:17" s="6" customFormat="1" ht="24">
      <c r="A399" s="29" t="s">
        <v>129</v>
      </c>
      <c r="B399" s="30"/>
      <c r="C399" s="31"/>
      <c r="D399" s="32" t="s">
        <v>62</v>
      </c>
      <c r="E399" s="33">
        <f aca="true" t="shared" si="198" ref="E399:K399">SUM(E400,E407,E409,E413,E415,E421,E405)</f>
        <v>5872910</v>
      </c>
      <c r="F399" s="33">
        <f t="shared" si="198"/>
        <v>-2310000</v>
      </c>
      <c r="G399" s="33">
        <f t="shared" si="198"/>
        <v>3562910</v>
      </c>
      <c r="H399" s="33">
        <f t="shared" si="198"/>
        <v>0</v>
      </c>
      <c r="I399" s="33">
        <f t="shared" si="198"/>
        <v>3562910</v>
      </c>
      <c r="J399" s="33">
        <f t="shared" si="198"/>
        <v>-44881</v>
      </c>
      <c r="K399" s="33">
        <f t="shared" si="198"/>
        <v>3518029</v>
      </c>
      <c r="L399" s="33">
        <f aca="true" t="shared" si="199" ref="L399:Q399">SUM(L400,L407,L409,L413,L415,L421,L405)</f>
        <v>-50500</v>
      </c>
      <c r="M399" s="33">
        <f t="shared" si="199"/>
        <v>3467529</v>
      </c>
      <c r="N399" s="33">
        <f t="shared" si="199"/>
        <v>0</v>
      </c>
      <c r="O399" s="33">
        <f t="shared" si="199"/>
        <v>3467529</v>
      </c>
      <c r="P399" s="33">
        <f t="shared" si="199"/>
        <v>0</v>
      </c>
      <c r="Q399" s="33">
        <f t="shared" si="199"/>
        <v>3467529</v>
      </c>
    </row>
    <row r="400" spans="1:17" s="22" customFormat="1" ht="21" customHeight="1">
      <c r="A400" s="52"/>
      <c r="B400" s="67" t="s">
        <v>130</v>
      </c>
      <c r="C400" s="71"/>
      <c r="D400" s="34" t="s">
        <v>63</v>
      </c>
      <c r="E400" s="66">
        <f aca="true" t="shared" si="200" ref="E400:K400">SUM(E401:E404)</f>
        <v>2615000</v>
      </c>
      <c r="F400" s="66">
        <f t="shared" si="200"/>
        <v>-1320000</v>
      </c>
      <c r="G400" s="66">
        <f t="shared" si="200"/>
        <v>1295000</v>
      </c>
      <c r="H400" s="66">
        <f t="shared" si="200"/>
        <v>0</v>
      </c>
      <c r="I400" s="66">
        <f t="shared" si="200"/>
        <v>1295000</v>
      </c>
      <c r="J400" s="66">
        <f t="shared" si="200"/>
        <v>119</v>
      </c>
      <c r="K400" s="66">
        <f t="shared" si="200"/>
        <v>1295119</v>
      </c>
      <c r="L400" s="66">
        <f aca="true" t="shared" si="201" ref="L400:Q400">SUM(L401:L404)</f>
        <v>-71500</v>
      </c>
      <c r="M400" s="66">
        <f t="shared" si="201"/>
        <v>1223619</v>
      </c>
      <c r="N400" s="66">
        <f t="shared" si="201"/>
        <v>0</v>
      </c>
      <c r="O400" s="66">
        <f t="shared" si="201"/>
        <v>1223619</v>
      </c>
      <c r="P400" s="66">
        <f t="shared" si="201"/>
        <v>0</v>
      </c>
      <c r="Q400" s="66">
        <f t="shared" si="201"/>
        <v>1223619</v>
      </c>
    </row>
    <row r="401" spans="1:17" s="22" customFormat="1" ht="21" customHeight="1">
      <c r="A401" s="52"/>
      <c r="B401" s="67"/>
      <c r="C401" s="52">
        <v>4300</v>
      </c>
      <c r="D401" s="34" t="s">
        <v>81</v>
      </c>
      <c r="E401" s="66">
        <v>145000</v>
      </c>
      <c r="F401" s="66"/>
      <c r="G401" s="66">
        <f aca="true" t="shared" si="202" ref="G401:G458">SUM(E401:F401)</f>
        <v>145000</v>
      </c>
      <c r="H401" s="66">
        <v>-150</v>
      </c>
      <c r="I401" s="66">
        <f>SUM(G401:H401)</f>
        <v>144850</v>
      </c>
      <c r="J401" s="66"/>
      <c r="K401" s="66">
        <f>SUM(I401:J401)</f>
        <v>144850</v>
      </c>
      <c r="L401" s="66"/>
      <c r="M401" s="66">
        <f>SUM(K401:L401)</f>
        <v>144850</v>
      </c>
      <c r="N401" s="66"/>
      <c r="O401" s="66">
        <f>SUM(M401:N401)</f>
        <v>144850</v>
      </c>
      <c r="P401" s="66"/>
      <c r="Q401" s="66">
        <f>SUM(O401:P401)</f>
        <v>144850</v>
      </c>
    </row>
    <row r="402" spans="1:17" s="22" customFormat="1" ht="21" customHeight="1">
      <c r="A402" s="52"/>
      <c r="B402" s="67"/>
      <c r="C402" s="52">
        <v>4430</v>
      </c>
      <c r="D402" s="34" t="s">
        <v>294</v>
      </c>
      <c r="E402" s="66"/>
      <c r="F402" s="66"/>
      <c r="G402" s="66">
        <v>0</v>
      </c>
      <c r="H402" s="66">
        <v>150</v>
      </c>
      <c r="I402" s="66">
        <f>SUM(G402:H402)</f>
        <v>150</v>
      </c>
      <c r="J402" s="66"/>
      <c r="K402" s="66">
        <f>SUM(I402:J402)</f>
        <v>150</v>
      </c>
      <c r="L402" s="66"/>
      <c r="M402" s="66">
        <f>SUM(K402:L402)</f>
        <v>150</v>
      </c>
      <c r="N402" s="66"/>
      <c r="O402" s="66">
        <f>SUM(M402:N402)</f>
        <v>150</v>
      </c>
      <c r="P402" s="66"/>
      <c r="Q402" s="66">
        <f>SUM(O402:P402)</f>
        <v>150</v>
      </c>
    </row>
    <row r="403" spans="1:17" s="22" customFormat="1" ht="57" customHeight="1">
      <c r="A403" s="52"/>
      <c r="B403" s="67"/>
      <c r="C403" s="52">
        <v>6010</v>
      </c>
      <c r="D403" s="34" t="s">
        <v>265</v>
      </c>
      <c r="E403" s="66"/>
      <c r="F403" s="66"/>
      <c r="G403" s="66"/>
      <c r="H403" s="66"/>
      <c r="I403" s="66">
        <v>0</v>
      </c>
      <c r="J403" s="66">
        <v>119</v>
      </c>
      <c r="K403" s="66">
        <f>SUM(I403:J403)</f>
        <v>119</v>
      </c>
      <c r="L403" s="66"/>
      <c r="M403" s="66">
        <f>SUM(K403:L403)</f>
        <v>119</v>
      </c>
      <c r="N403" s="66"/>
      <c r="O403" s="66">
        <f>SUM(M403:N403)</f>
        <v>119</v>
      </c>
      <c r="P403" s="66"/>
      <c r="Q403" s="66">
        <f>SUM(O403:P403)</f>
        <v>119</v>
      </c>
    </row>
    <row r="404" spans="1:17" s="22" customFormat="1" ht="21" customHeight="1">
      <c r="A404" s="52"/>
      <c r="B404" s="67"/>
      <c r="C404" s="52">
        <v>6050</v>
      </c>
      <c r="D404" s="34" t="s">
        <v>75</v>
      </c>
      <c r="E404" s="66">
        <v>2470000</v>
      </c>
      <c r="F404" s="66">
        <f>-760000-290000-280000+10000</f>
        <v>-1320000</v>
      </c>
      <c r="G404" s="66">
        <f t="shared" si="202"/>
        <v>1150000</v>
      </c>
      <c r="H404" s="66"/>
      <c r="I404" s="66">
        <f>SUM(G404:H404)</f>
        <v>1150000</v>
      </c>
      <c r="J404" s="66"/>
      <c r="K404" s="66">
        <f>SUM(I404:J404)</f>
        <v>1150000</v>
      </c>
      <c r="L404" s="66">
        <f>-87000+15500</f>
        <v>-71500</v>
      </c>
      <c r="M404" s="66">
        <f>SUM(K404:L404)</f>
        <v>1078500</v>
      </c>
      <c r="N404" s="66"/>
      <c r="O404" s="66">
        <f>SUM(M404:N404)</f>
        <v>1078500</v>
      </c>
      <c r="P404" s="66"/>
      <c r="Q404" s="66">
        <f>SUM(O404:P404)</f>
        <v>1078500</v>
      </c>
    </row>
    <row r="405" spans="1:17" s="22" customFormat="1" ht="21" customHeight="1">
      <c r="A405" s="52"/>
      <c r="B405" s="67">
        <v>90002</v>
      </c>
      <c r="C405" s="52"/>
      <c r="D405" s="34" t="s">
        <v>260</v>
      </c>
      <c r="E405" s="66">
        <f aca="true" t="shared" si="203" ref="E405:Q405">SUM(E406)</f>
        <v>90000</v>
      </c>
      <c r="F405" s="66">
        <f t="shared" si="203"/>
        <v>0</v>
      </c>
      <c r="G405" s="66">
        <f t="shared" si="203"/>
        <v>90000</v>
      </c>
      <c r="H405" s="66">
        <f t="shared" si="203"/>
        <v>0</v>
      </c>
      <c r="I405" s="66">
        <f t="shared" si="203"/>
        <v>90000</v>
      </c>
      <c r="J405" s="66">
        <f t="shared" si="203"/>
        <v>0</v>
      </c>
      <c r="K405" s="66">
        <f t="shared" si="203"/>
        <v>90000</v>
      </c>
      <c r="L405" s="66">
        <f t="shared" si="203"/>
        <v>0</v>
      </c>
      <c r="M405" s="66">
        <f t="shared" si="203"/>
        <v>90000</v>
      </c>
      <c r="N405" s="66">
        <f t="shared" si="203"/>
        <v>0</v>
      </c>
      <c r="O405" s="66">
        <f t="shared" si="203"/>
        <v>90000</v>
      </c>
      <c r="P405" s="66">
        <f t="shared" si="203"/>
        <v>0</v>
      </c>
      <c r="Q405" s="66">
        <f t="shared" si="203"/>
        <v>90000</v>
      </c>
    </row>
    <row r="406" spans="1:17" s="22" customFormat="1" ht="21" customHeight="1">
      <c r="A406" s="52"/>
      <c r="B406" s="67"/>
      <c r="C406" s="52">
        <v>6050</v>
      </c>
      <c r="D406" s="34" t="s">
        <v>75</v>
      </c>
      <c r="E406" s="66">
        <v>90000</v>
      </c>
      <c r="F406" s="66"/>
      <c r="G406" s="66">
        <f t="shared" si="202"/>
        <v>90000</v>
      </c>
      <c r="H406" s="66"/>
      <c r="I406" s="66">
        <f>SUM(G406:H406)</f>
        <v>90000</v>
      </c>
      <c r="J406" s="66"/>
      <c r="K406" s="66">
        <f>SUM(I406:J406)</f>
        <v>90000</v>
      </c>
      <c r="L406" s="66"/>
      <c r="M406" s="66">
        <f>SUM(K406:L406)</f>
        <v>90000</v>
      </c>
      <c r="N406" s="66"/>
      <c r="O406" s="66">
        <f>SUM(M406:N406)</f>
        <v>90000</v>
      </c>
      <c r="P406" s="66"/>
      <c r="Q406" s="66">
        <f>SUM(O406:P406)</f>
        <v>90000</v>
      </c>
    </row>
    <row r="407" spans="1:17" s="22" customFormat="1" ht="21" customHeight="1">
      <c r="A407" s="52"/>
      <c r="B407" s="67" t="s">
        <v>131</v>
      </c>
      <c r="C407" s="71"/>
      <c r="D407" s="34" t="s">
        <v>132</v>
      </c>
      <c r="E407" s="66">
        <f aca="true" t="shared" si="204" ref="E407:Q407">SUM(E408:E408)</f>
        <v>744670</v>
      </c>
      <c r="F407" s="66">
        <f t="shared" si="204"/>
        <v>0</v>
      </c>
      <c r="G407" s="66">
        <f t="shared" si="204"/>
        <v>744670</v>
      </c>
      <c r="H407" s="66">
        <f t="shared" si="204"/>
        <v>0</v>
      </c>
      <c r="I407" s="66">
        <f t="shared" si="204"/>
        <v>744670</v>
      </c>
      <c r="J407" s="66">
        <f t="shared" si="204"/>
        <v>0</v>
      </c>
      <c r="K407" s="66">
        <f t="shared" si="204"/>
        <v>744670</v>
      </c>
      <c r="L407" s="66">
        <f t="shared" si="204"/>
        <v>0</v>
      </c>
      <c r="M407" s="66">
        <f t="shared" si="204"/>
        <v>744670</v>
      </c>
      <c r="N407" s="66">
        <f t="shared" si="204"/>
        <v>250</v>
      </c>
      <c r="O407" s="66">
        <f t="shared" si="204"/>
        <v>744920</v>
      </c>
      <c r="P407" s="66">
        <f t="shared" si="204"/>
        <v>0</v>
      </c>
      <c r="Q407" s="66">
        <f t="shared" si="204"/>
        <v>744920</v>
      </c>
    </row>
    <row r="408" spans="1:17" s="22" customFormat="1" ht="21" customHeight="1">
      <c r="A408" s="52"/>
      <c r="B408" s="67"/>
      <c r="C408" s="71">
        <v>4300</v>
      </c>
      <c r="D408" s="75" t="s">
        <v>81</v>
      </c>
      <c r="E408" s="66">
        <f>2240+742430</f>
        <v>744670</v>
      </c>
      <c r="F408" s="66"/>
      <c r="G408" s="66">
        <f t="shared" si="202"/>
        <v>744670</v>
      </c>
      <c r="H408" s="66"/>
      <c r="I408" s="66">
        <f>SUM(G408:H408)</f>
        <v>744670</v>
      </c>
      <c r="J408" s="66"/>
      <c r="K408" s="66">
        <f>SUM(I408:J408)</f>
        <v>744670</v>
      </c>
      <c r="L408" s="66"/>
      <c r="M408" s="66">
        <f>SUM(K408:L408)</f>
        <v>744670</v>
      </c>
      <c r="N408" s="66">
        <v>250</v>
      </c>
      <c r="O408" s="66">
        <f>SUM(M408:N408)</f>
        <v>744920</v>
      </c>
      <c r="P408" s="66"/>
      <c r="Q408" s="66">
        <f>SUM(O408:P408)</f>
        <v>744920</v>
      </c>
    </row>
    <row r="409" spans="1:17" s="22" customFormat="1" ht="21" customHeight="1">
      <c r="A409" s="52"/>
      <c r="B409" s="67" t="s">
        <v>133</v>
      </c>
      <c r="C409" s="71"/>
      <c r="D409" s="34" t="s">
        <v>154</v>
      </c>
      <c r="E409" s="66">
        <f aca="true" t="shared" si="205" ref="E409:K409">SUM(E410:E412)</f>
        <v>249240</v>
      </c>
      <c r="F409" s="66">
        <f t="shared" si="205"/>
        <v>0</v>
      </c>
      <c r="G409" s="66">
        <f t="shared" si="205"/>
        <v>249240</v>
      </c>
      <c r="H409" s="66">
        <f t="shared" si="205"/>
        <v>0</v>
      </c>
      <c r="I409" s="66">
        <f t="shared" si="205"/>
        <v>249240</v>
      </c>
      <c r="J409" s="66">
        <f t="shared" si="205"/>
        <v>0</v>
      </c>
      <c r="K409" s="66">
        <f t="shared" si="205"/>
        <v>249240</v>
      </c>
      <c r="L409" s="66">
        <f aca="true" t="shared" si="206" ref="L409:Q409">SUM(L410:L412)</f>
        <v>0</v>
      </c>
      <c r="M409" s="66">
        <f t="shared" si="206"/>
        <v>249240</v>
      </c>
      <c r="N409" s="66">
        <f t="shared" si="206"/>
        <v>-250</v>
      </c>
      <c r="O409" s="66">
        <f t="shared" si="206"/>
        <v>248990</v>
      </c>
      <c r="P409" s="66">
        <f t="shared" si="206"/>
        <v>0</v>
      </c>
      <c r="Q409" s="66">
        <f t="shared" si="206"/>
        <v>248990</v>
      </c>
    </row>
    <row r="410" spans="1:17" s="22" customFormat="1" ht="21" customHeight="1">
      <c r="A410" s="52"/>
      <c r="B410" s="67"/>
      <c r="C410" s="52">
        <v>4210</v>
      </c>
      <c r="D410" s="34" t="s">
        <v>94</v>
      </c>
      <c r="E410" s="66">
        <f>26220+18000+6000+12000</f>
        <v>62220</v>
      </c>
      <c r="F410" s="66"/>
      <c r="G410" s="66">
        <f t="shared" si="202"/>
        <v>62220</v>
      </c>
      <c r="H410" s="66"/>
      <c r="I410" s="66">
        <f>SUM(G410:H410)</f>
        <v>62220</v>
      </c>
      <c r="J410" s="66"/>
      <c r="K410" s="66">
        <f>SUM(I410:J410)</f>
        <v>62220</v>
      </c>
      <c r="L410" s="66"/>
      <c r="M410" s="66">
        <f>SUM(K410:L410)</f>
        <v>62220</v>
      </c>
      <c r="N410" s="66">
        <v>-250</v>
      </c>
      <c r="O410" s="66">
        <f>SUM(M410:N410)</f>
        <v>61970</v>
      </c>
      <c r="P410" s="66"/>
      <c r="Q410" s="66">
        <f>SUM(O410:P410)</f>
        <v>61970</v>
      </c>
    </row>
    <row r="411" spans="1:17" s="22" customFormat="1" ht="21" customHeight="1">
      <c r="A411" s="52"/>
      <c r="B411" s="67"/>
      <c r="C411" s="52">
        <v>4270</v>
      </c>
      <c r="D411" s="34" t="s">
        <v>80</v>
      </c>
      <c r="E411" s="66">
        <v>5000</v>
      </c>
      <c r="F411" s="66"/>
      <c r="G411" s="66">
        <f t="shared" si="202"/>
        <v>5000</v>
      </c>
      <c r="H411" s="66"/>
      <c r="I411" s="66">
        <f>SUM(G411:H411)</f>
        <v>5000</v>
      </c>
      <c r="J411" s="66"/>
      <c r="K411" s="66">
        <f>SUM(I411:J411)</f>
        <v>5000</v>
      </c>
      <c r="L411" s="66"/>
      <c r="M411" s="66">
        <f>SUM(K411:L411)</f>
        <v>5000</v>
      </c>
      <c r="N411" s="66"/>
      <c r="O411" s="66">
        <f>SUM(M411:N411)</f>
        <v>5000</v>
      </c>
      <c r="P411" s="66"/>
      <c r="Q411" s="66">
        <f>SUM(O411:P411)</f>
        <v>5000</v>
      </c>
    </row>
    <row r="412" spans="1:17" s="22" customFormat="1" ht="21" customHeight="1">
      <c r="A412" s="52"/>
      <c r="B412" s="67"/>
      <c r="C412" s="52">
        <v>4300</v>
      </c>
      <c r="D412" s="34" t="s">
        <v>81</v>
      </c>
      <c r="E412" s="66">
        <f>6200+92820+32000+11000+20000+20000</f>
        <v>182020</v>
      </c>
      <c r="F412" s="66"/>
      <c r="G412" s="66">
        <f t="shared" si="202"/>
        <v>182020</v>
      </c>
      <c r="H412" s="66"/>
      <c r="I412" s="66">
        <f>SUM(G412:H412)</f>
        <v>182020</v>
      </c>
      <c r="J412" s="66"/>
      <c r="K412" s="66">
        <f>SUM(I412:J412)</f>
        <v>182020</v>
      </c>
      <c r="L412" s="66"/>
      <c r="M412" s="66">
        <f>SUM(K412:L412)</f>
        <v>182020</v>
      </c>
      <c r="N412" s="66"/>
      <c r="O412" s="66">
        <f>SUM(M412:N412)</f>
        <v>182020</v>
      </c>
      <c r="P412" s="66"/>
      <c r="Q412" s="66">
        <f>SUM(O412:P412)</f>
        <v>182020</v>
      </c>
    </row>
    <row r="413" spans="1:17" s="22" customFormat="1" ht="21" customHeight="1">
      <c r="A413" s="52"/>
      <c r="B413" s="67" t="s">
        <v>134</v>
      </c>
      <c r="C413" s="71"/>
      <c r="D413" s="34" t="s">
        <v>135</v>
      </c>
      <c r="E413" s="66">
        <f aca="true" t="shared" si="207" ref="E413:Q413">SUM(E414)</f>
        <v>100000</v>
      </c>
      <c r="F413" s="66">
        <f t="shared" si="207"/>
        <v>10000</v>
      </c>
      <c r="G413" s="66">
        <f t="shared" si="207"/>
        <v>110000</v>
      </c>
      <c r="H413" s="66">
        <f t="shared" si="207"/>
        <v>0</v>
      </c>
      <c r="I413" s="66">
        <f t="shared" si="207"/>
        <v>110000</v>
      </c>
      <c r="J413" s="66">
        <f t="shared" si="207"/>
        <v>0</v>
      </c>
      <c r="K413" s="66">
        <f t="shared" si="207"/>
        <v>110000</v>
      </c>
      <c r="L413" s="66">
        <f t="shared" si="207"/>
        <v>21000</v>
      </c>
      <c r="M413" s="66">
        <f t="shared" si="207"/>
        <v>131000</v>
      </c>
      <c r="N413" s="66">
        <f t="shared" si="207"/>
        <v>0</v>
      </c>
      <c r="O413" s="66">
        <f t="shared" si="207"/>
        <v>131000</v>
      </c>
      <c r="P413" s="66">
        <f t="shared" si="207"/>
        <v>0</v>
      </c>
      <c r="Q413" s="66">
        <f t="shared" si="207"/>
        <v>131000</v>
      </c>
    </row>
    <row r="414" spans="1:17" s="22" customFormat="1" ht="21" customHeight="1">
      <c r="A414" s="52"/>
      <c r="B414" s="67"/>
      <c r="C414" s="71">
        <v>4300</v>
      </c>
      <c r="D414" s="75" t="s">
        <v>81</v>
      </c>
      <c r="E414" s="66">
        <v>100000</v>
      </c>
      <c r="F414" s="66">
        <v>10000</v>
      </c>
      <c r="G414" s="66">
        <f t="shared" si="202"/>
        <v>110000</v>
      </c>
      <c r="H414" s="66"/>
      <c r="I414" s="66">
        <f>SUM(G414:H414)</f>
        <v>110000</v>
      </c>
      <c r="J414" s="66"/>
      <c r="K414" s="66">
        <f>SUM(I414:J414)</f>
        <v>110000</v>
      </c>
      <c r="L414" s="66">
        <v>21000</v>
      </c>
      <c r="M414" s="66">
        <f>SUM(K414:L414)</f>
        <v>131000</v>
      </c>
      <c r="N414" s="66"/>
      <c r="O414" s="66">
        <f>SUM(M414:N414)</f>
        <v>131000</v>
      </c>
      <c r="P414" s="66"/>
      <c r="Q414" s="66">
        <f>SUM(O414:P414)</f>
        <v>131000</v>
      </c>
    </row>
    <row r="415" spans="1:17" s="22" customFormat="1" ht="21" customHeight="1">
      <c r="A415" s="52"/>
      <c r="B415" s="67" t="s">
        <v>136</v>
      </c>
      <c r="C415" s="71"/>
      <c r="D415" s="34" t="s">
        <v>137</v>
      </c>
      <c r="E415" s="66">
        <f aca="true" t="shared" si="208" ref="E415:J415">SUM(E417:E420)</f>
        <v>1986000</v>
      </c>
      <c r="F415" s="66">
        <f t="shared" si="208"/>
        <v>-1000000</v>
      </c>
      <c r="G415" s="66">
        <f t="shared" si="208"/>
        <v>986000</v>
      </c>
      <c r="H415" s="66">
        <f t="shared" si="208"/>
        <v>0</v>
      </c>
      <c r="I415" s="66">
        <f t="shared" si="208"/>
        <v>986000</v>
      </c>
      <c r="J415" s="66">
        <f t="shared" si="208"/>
        <v>0</v>
      </c>
      <c r="K415" s="66">
        <f aca="true" t="shared" si="209" ref="K415:Q415">SUM(K416:K420)</f>
        <v>986000</v>
      </c>
      <c r="L415" s="66">
        <f t="shared" si="209"/>
        <v>0</v>
      </c>
      <c r="M415" s="66">
        <f t="shared" si="209"/>
        <v>986000</v>
      </c>
      <c r="N415" s="66">
        <f t="shared" si="209"/>
        <v>0</v>
      </c>
      <c r="O415" s="66">
        <f t="shared" si="209"/>
        <v>986000</v>
      </c>
      <c r="P415" s="66">
        <f t="shared" si="209"/>
        <v>0</v>
      </c>
      <c r="Q415" s="66">
        <f t="shared" si="209"/>
        <v>986000</v>
      </c>
    </row>
    <row r="416" spans="1:19" s="22" customFormat="1" ht="21" customHeight="1">
      <c r="A416" s="52"/>
      <c r="B416" s="67"/>
      <c r="C416" s="71">
        <v>4170</v>
      </c>
      <c r="D416" s="34" t="s">
        <v>198</v>
      </c>
      <c r="E416" s="66"/>
      <c r="F416" s="66"/>
      <c r="G416" s="66"/>
      <c r="H416" s="66"/>
      <c r="I416" s="66"/>
      <c r="J416" s="66"/>
      <c r="K416" s="66">
        <v>0</v>
      </c>
      <c r="L416" s="66">
        <v>1500</v>
      </c>
      <c r="M416" s="66">
        <f>SUM(K416:L416)</f>
        <v>1500</v>
      </c>
      <c r="N416" s="66"/>
      <c r="O416" s="66">
        <f>SUM(M416:N416)</f>
        <v>1500</v>
      </c>
      <c r="P416" s="66"/>
      <c r="Q416" s="66">
        <f>SUM(O416:P416)</f>
        <v>1500</v>
      </c>
      <c r="R416" s="97"/>
      <c r="S416" s="97"/>
    </row>
    <row r="417" spans="1:17" s="22" customFormat="1" ht="21" customHeight="1">
      <c r="A417" s="52"/>
      <c r="B417" s="72"/>
      <c r="C417" s="52">
        <v>4260</v>
      </c>
      <c r="D417" s="34" t="s">
        <v>97</v>
      </c>
      <c r="E417" s="66">
        <v>750000</v>
      </c>
      <c r="F417" s="66">
        <v>-200000</v>
      </c>
      <c r="G417" s="66">
        <f t="shared" si="202"/>
        <v>550000</v>
      </c>
      <c r="H417" s="66"/>
      <c r="I417" s="66">
        <f>SUM(G417:H417)</f>
        <v>550000</v>
      </c>
      <c r="J417" s="66"/>
      <c r="K417" s="66">
        <f>SUM(I417:J417)</f>
        <v>550000</v>
      </c>
      <c r="L417" s="66">
        <v>-110</v>
      </c>
      <c r="M417" s="66">
        <f>SUM(K417:L417)</f>
        <v>549890</v>
      </c>
      <c r="N417" s="66"/>
      <c r="O417" s="66">
        <f>SUM(M417:N417)</f>
        <v>549890</v>
      </c>
      <c r="P417" s="66"/>
      <c r="Q417" s="66">
        <f>SUM(O417:P417)</f>
        <v>549890</v>
      </c>
    </row>
    <row r="418" spans="1:17" s="22" customFormat="1" ht="21" customHeight="1">
      <c r="A418" s="52"/>
      <c r="B418" s="72"/>
      <c r="C418" s="52">
        <v>4270</v>
      </c>
      <c r="D418" s="34" t="s">
        <v>80</v>
      </c>
      <c r="E418" s="66">
        <v>210000</v>
      </c>
      <c r="F418" s="66">
        <v>-20000</v>
      </c>
      <c r="G418" s="66">
        <f t="shared" si="202"/>
        <v>190000</v>
      </c>
      <c r="H418" s="66"/>
      <c r="I418" s="66">
        <f>SUM(G418:H418)</f>
        <v>190000</v>
      </c>
      <c r="J418" s="66"/>
      <c r="K418" s="66">
        <f>SUM(I418:J418)</f>
        <v>190000</v>
      </c>
      <c r="L418" s="66">
        <v>-1500</v>
      </c>
      <c r="M418" s="66">
        <f>SUM(K418:L418)</f>
        <v>188500</v>
      </c>
      <c r="N418" s="66"/>
      <c r="O418" s="66">
        <f>SUM(M418:N418)</f>
        <v>188500</v>
      </c>
      <c r="P418" s="66"/>
      <c r="Q418" s="66">
        <f>SUM(O418:P418)</f>
        <v>188500</v>
      </c>
    </row>
    <row r="419" spans="1:17" s="22" customFormat="1" ht="21" customHeight="1">
      <c r="A419" s="52"/>
      <c r="B419" s="72"/>
      <c r="C419" s="52">
        <v>4300</v>
      </c>
      <c r="D419" s="34" t="s">
        <v>81</v>
      </c>
      <c r="E419" s="66">
        <f>3000+50000</f>
        <v>53000</v>
      </c>
      <c r="F419" s="66">
        <v>-20000</v>
      </c>
      <c r="G419" s="66">
        <f t="shared" si="202"/>
        <v>33000</v>
      </c>
      <c r="H419" s="66"/>
      <c r="I419" s="66">
        <f>SUM(G419:H419)</f>
        <v>33000</v>
      </c>
      <c r="J419" s="66"/>
      <c r="K419" s="66">
        <f>SUM(I419:J419)</f>
        <v>33000</v>
      </c>
      <c r="L419" s="66"/>
      <c r="M419" s="66">
        <f>SUM(K419:L419)</f>
        <v>33000</v>
      </c>
      <c r="N419" s="66"/>
      <c r="O419" s="66">
        <f>SUM(M419:N419)</f>
        <v>33000</v>
      </c>
      <c r="P419" s="66"/>
      <c r="Q419" s="66">
        <f>SUM(O419:P419)</f>
        <v>33000</v>
      </c>
    </row>
    <row r="420" spans="1:17" s="22" customFormat="1" ht="21" customHeight="1">
      <c r="A420" s="52"/>
      <c r="B420" s="72"/>
      <c r="C420" s="52">
        <v>6050</v>
      </c>
      <c r="D420" s="34" t="s">
        <v>75</v>
      </c>
      <c r="E420" s="66">
        <v>973000</v>
      </c>
      <c r="F420" s="66">
        <f>-115000-520000-65000-50000-50000+20000+20000</f>
        <v>-760000</v>
      </c>
      <c r="G420" s="66">
        <f t="shared" si="202"/>
        <v>213000</v>
      </c>
      <c r="H420" s="66"/>
      <c r="I420" s="66">
        <f>SUM(G420:H420)</f>
        <v>213000</v>
      </c>
      <c r="J420" s="66"/>
      <c r="K420" s="66">
        <f>SUM(I420:J420)</f>
        <v>213000</v>
      </c>
      <c r="L420" s="66">
        <f>110-7900+7900</f>
        <v>110</v>
      </c>
      <c r="M420" s="66">
        <f>SUM(K420:L420)</f>
        <v>213110</v>
      </c>
      <c r="N420" s="66"/>
      <c r="O420" s="66">
        <f>SUM(M420:N420)</f>
        <v>213110</v>
      </c>
      <c r="P420" s="66"/>
      <c r="Q420" s="66">
        <f>SUM(O420:P420)</f>
        <v>213110</v>
      </c>
    </row>
    <row r="421" spans="1:17" s="22" customFormat="1" ht="21" customHeight="1">
      <c r="A421" s="52"/>
      <c r="B421" s="67" t="s">
        <v>138</v>
      </c>
      <c r="C421" s="71"/>
      <c r="D421" s="34" t="s">
        <v>6</v>
      </c>
      <c r="E421" s="66">
        <f aca="true" t="shared" si="210" ref="E421:K421">SUM(E422:E424)</f>
        <v>88000</v>
      </c>
      <c r="F421" s="66">
        <f t="shared" si="210"/>
        <v>0</v>
      </c>
      <c r="G421" s="66">
        <f t="shared" si="210"/>
        <v>88000</v>
      </c>
      <c r="H421" s="66">
        <f t="shared" si="210"/>
        <v>0</v>
      </c>
      <c r="I421" s="66">
        <f t="shared" si="210"/>
        <v>88000</v>
      </c>
      <c r="J421" s="66">
        <f t="shared" si="210"/>
        <v>-45000</v>
      </c>
      <c r="K421" s="66">
        <f t="shared" si="210"/>
        <v>43000</v>
      </c>
      <c r="L421" s="66">
        <f aca="true" t="shared" si="211" ref="L421:Q421">SUM(L422:L424)</f>
        <v>0</v>
      </c>
      <c r="M421" s="66">
        <f t="shared" si="211"/>
        <v>43000</v>
      </c>
      <c r="N421" s="66">
        <f t="shared" si="211"/>
        <v>0</v>
      </c>
      <c r="O421" s="66">
        <f t="shared" si="211"/>
        <v>43000</v>
      </c>
      <c r="P421" s="66">
        <f t="shared" si="211"/>
        <v>0</v>
      </c>
      <c r="Q421" s="66">
        <f t="shared" si="211"/>
        <v>43000</v>
      </c>
    </row>
    <row r="422" spans="1:17" s="22" customFormat="1" ht="21" customHeight="1">
      <c r="A422" s="52"/>
      <c r="B422" s="72"/>
      <c r="C422" s="52">
        <v>4260</v>
      </c>
      <c r="D422" s="34" t="s">
        <v>97</v>
      </c>
      <c r="E422" s="66">
        <v>7000</v>
      </c>
      <c r="F422" s="66"/>
      <c r="G422" s="66">
        <f t="shared" si="202"/>
        <v>7000</v>
      </c>
      <c r="H422" s="66"/>
      <c r="I422" s="66">
        <f>SUM(G422:H422)</f>
        <v>7000</v>
      </c>
      <c r="J422" s="66"/>
      <c r="K422" s="66">
        <f>SUM(I422:J422)</f>
        <v>7000</v>
      </c>
      <c r="L422" s="66"/>
      <c r="M422" s="66">
        <f>SUM(K422:L422)</f>
        <v>7000</v>
      </c>
      <c r="N422" s="66"/>
      <c r="O422" s="66">
        <f>SUM(M422:N422)</f>
        <v>7000</v>
      </c>
      <c r="P422" s="66"/>
      <c r="Q422" s="66">
        <f>SUM(O422:P422)</f>
        <v>7000</v>
      </c>
    </row>
    <row r="423" spans="1:17" s="22" customFormat="1" ht="21" customHeight="1">
      <c r="A423" s="52"/>
      <c r="B423" s="72"/>
      <c r="C423" s="71">
        <v>4300</v>
      </c>
      <c r="D423" s="75" t="s">
        <v>81</v>
      </c>
      <c r="E423" s="66">
        <f>45000+8000+26000</f>
        <v>79000</v>
      </c>
      <c r="F423" s="66"/>
      <c r="G423" s="66">
        <f t="shared" si="202"/>
        <v>79000</v>
      </c>
      <c r="H423" s="66"/>
      <c r="I423" s="66">
        <f>SUM(G423:H423)</f>
        <v>79000</v>
      </c>
      <c r="J423" s="66">
        <v>-45000</v>
      </c>
      <c r="K423" s="66">
        <f>SUM(I423:J423)</f>
        <v>34000</v>
      </c>
      <c r="L423" s="66"/>
      <c r="M423" s="66">
        <f>SUM(K423:L423)</f>
        <v>34000</v>
      </c>
      <c r="N423" s="66"/>
      <c r="O423" s="66">
        <f>SUM(M423:N423)</f>
        <v>34000</v>
      </c>
      <c r="P423" s="66"/>
      <c r="Q423" s="66">
        <f>SUM(O423:P423)</f>
        <v>34000</v>
      </c>
    </row>
    <row r="424" spans="1:17" s="22" customFormat="1" ht="24">
      <c r="A424" s="52"/>
      <c r="B424" s="72"/>
      <c r="C424" s="71">
        <v>4390</v>
      </c>
      <c r="D424" s="34" t="s">
        <v>256</v>
      </c>
      <c r="E424" s="66">
        <v>2000</v>
      </c>
      <c r="F424" s="66"/>
      <c r="G424" s="66">
        <f t="shared" si="202"/>
        <v>2000</v>
      </c>
      <c r="H424" s="66"/>
      <c r="I424" s="66">
        <f>SUM(G424:H424)</f>
        <v>2000</v>
      </c>
      <c r="J424" s="66"/>
      <c r="K424" s="66">
        <f>SUM(I424:J424)</f>
        <v>2000</v>
      </c>
      <c r="L424" s="66"/>
      <c r="M424" s="66">
        <f>SUM(K424:L424)</f>
        <v>2000</v>
      </c>
      <c r="N424" s="66"/>
      <c r="O424" s="66">
        <f>SUM(M424:N424)</f>
        <v>2000</v>
      </c>
      <c r="P424" s="66"/>
      <c r="Q424" s="66">
        <f>SUM(O424:P424)</f>
        <v>2000</v>
      </c>
    </row>
    <row r="425" spans="1:17" s="5" customFormat="1" ht="25.5" customHeight="1">
      <c r="A425" s="29" t="s">
        <v>64</v>
      </c>
      <c r="B425" s="30"/>
      <c r="C425" s="31"/>
      <c r="D425" s="32" t="s">
        <v>139</v>
      </c>
      <c r="E425" s="33">
        <f aca="true" t="shared" si="212" ref="E425:K425">SUM(E426,E433,E435,E437,E439)</f>
        <v>2653147</v>
      </c>
      <c r="F425" s="33">
        <f t="shared" si="212"/>
        <v>128000</v>
      </c>
      <c r="G425" s="33">
        <f t="shared" si="212"/>
        <v>2781147</v>
      </c>
      <c r="H425" s="33">
        <f t="shared" si="212"/>
        <v>0</v>
      </c>
      <c r="I425" s="33">
        <f t="shared" si="212"/>
        <v>2781147</v>
      </c>
      <c r="J425" s="33">
        <f t="shared" si="212"/>
        <v>7400</v>
      </c>
      <c r="K425" s="33">
        <f t="shared" si="212"/>
        <v>2788547</v>
      </c>
      <c r="L425" s="33">
        <f aca="true" t="shared" si="213" ref="L425:Q425">SUM(L426,L433,L435,L437,L439)</f>
        <v>2500</v>
      </c>
      <c r="M425" s="33">
        <f t="shared" si="213"/>
        <v>2791047</v>
      </c>
      <c r="N425" s="33">
        <f t="shared" si="213"/>
        <v>0</v>
      </c>
      <c r="O425" s="33">
        <f t="shared" si="213"/>
        <v>2791047</v>
      </c>
      <c r="P425" s="33">
        <f t="shared" si="213"/>
        <v>0</v>
      </c>
      <c r="Q425" s="33">
        <f t="shared" si="213"/>
        <v>2791047</v>
      </c>
    </row>
    <row r="426" spans="1:17" s="22" customFormat="1" ht="21.75" customHeight="1">
      <c r="A426" s="52"/>
      <c r="B426" s="67" t="s">
        <v>140</v>
      </c>
      <c r="C426" s="71"/>
      <c r="D426" s="34" t="s">
        <v>153</v>
      </c>
      <c r="E426" s="66">
        <f aca="true" t="shared" si="214" ref="E426:K426">SUM(E427:E432)</f>
        <v>838410</v>
      </c>
      <c r="F426" s="66">
        <f t="shared" si="214"/>
        <v>128000</v>
      </c>
      <c r="G426" s="66">
        <f t="shared" si="214"/>
        <v>966410</v>
      </c>
      <c r="H426" s="66">
        <f t="shared" si="214"/>
        <v>0</v>
      </c>
      <c r="I426" s="66">
        <f t="shared" si="214"/>
        <v>966410</v>
      </c>
      <c r="J426" s="66">
        <f t="shared" si="214"/>
        <v>4000</v>
      </c>
      <c r="K426" s="66">
        <f t="shared" si="214"/>
        <v>970410</v>
      </c>
      <c r="L426" s="66">
        <f aca="true" t="shared" si="215" ref="L426:Q426">SUM(L427:L432)</f>
        <v>2500</v>
      </c>
      <c r="M426" s="66">
        <f t="shared" si="215"/>
        <v>972910</v>
      </c>
      <c r="N426" s="66">
        <f t="shared" si="215"/>
        <v>0</v>
      </c>
      <c r="O426" s="66">
        <f t="shared" si="215"/>
        <v>972910</v>
      </c>
      <c r="P426" s="66">
        <f t="shared" si="215"/>
        <v>0</v>
      </c>
      <c r="Q426" s="66">
        <f t="shared" si="215"/>
        <v>972910</v>
      </c>
    </row>
    <row r="427" spans="1:17" s="22" customFormat="1" ht="24">
      <c r="A427" s="52"/>
      <c r="B427" s="67"/>
      <c r="C427" s="71">
        <v>2480</v>
      </c>
      <c r="D427" s="34" t="s">
        <v>195</v>
      </c>
      <c r="E427" s="66">
        <v>725435</v>
      </c>
      <c r="F427" s="66">
        <f>-10000-5000-10000-10000-15000+83000-5000</f>
        <v>28000</v>
      </c>
      <c r="G427" s="66">
        <f t="shared" si="202"/>
        <v>753435</v>
      </c>
      <c r="H427" s="66"/>
      <c r="I427" s="66">
        <f aca="true" t="shared" si="216" ref="I427:I432">SUM(G427:H427)</f>
        <v>753435</v>
      </c>
      <c r="J427" s="66">
        <v>4000</v>
      </c>
      <c r="K427" s="66">
        <f aca="true" t="shared" si="217" ref="K427:K432">SUM(I427:J427)</f>
        <v>757435</v>
      </c>
      <c r="L427" s="66"/>
      <c r="M427" s="66">
        <f aca="true" t="shared" si="218" ref="M427:M432">SUM(K427:L427)</f>
        <v>757435</v>
      </c>
      <c r="N427" s="66"/>
      <c r="O427" s="66">
        <f aca="true" t="shared" si="219" ref="O427:O432">SUM(M427:N427)</f>
        <v>757435</v>
      </c>
      <c r="P427" s="66"/>
      <c r="Q427" s="66">
        <f aca="true" t="shared" si="220" ref="Q427:Q432">SUM(O427:P427)</f>
        <v>757435</v>
      </c>
    </row>
    <row r="428" spans="1:17" s="22" customFormat="1" ht="21" customHeight="1">
      <c r="A428" s="52"/>
      <c r="B428" s="67"/>
      <c r="C428" s="52">
        <v>4210</v>
      </c>
      <c r="D428" s="34" t="s">
        <v>94</v>
      </c>
      <c r="E428" s="66">
        <v>33580</v>
      </c>
      <c r="F428" s="66"/>
      <c r="G428" s="66">
        <f t="shared" si="202"/>
        <v>33580</v>
      </c>
      <c r="H428" s="66"/>
      <c r="I428" s="66">
        <f t="shared" si="216"/>
        <v>33580</v>
      </c>
      <c r="J428" s="66"/>
      <c r="K428" s="66">
        <f t="shared" si="217"/>
        <v>33580</v>
      </c>
      <c r="L428" s="66"/>
      <c r="M428" s="66">
        <f t="shared" si="218"/>
        <v>33580</v>
      </c>
      <c r="N428" s="66">
        <v>50</v>
      </c>
      <c r="O428" s="66">
        <f t="shared" si="219"/>
        <v>33630</v>
      </c>
      <c r="P428" s="66"/>
      <c r="Q428" s="66">
        <f t="shared" si="220"/>
        <v>33630</v>
      </c>
    </row>
    <row r="429" spans="1:17" s="22" customFormat="1" ht="21" customHeight="1">
      <c r="A429" s="52"/>
      <c r="B429" s="67"/>
      <c r="C429" s="52">
        <v>4260</v>
      </c>
      <c r="D429" s="34" t="s">
        <v>97</v>
      </c>
      <c r="E429" s="66">
        <v>12650</v>
      </c>
      <c r="F429" s="66"/>
      <c r="G429" s="66">
        <f t="shared" si="202"/>
        <v>12650</v>
      </c>
      <c r="H429" s="66"/>
      <c r="I429" s="66">
        <f t="shared" si="216"/>
        <v>12650</v>
      </c>
      <c r="J429" s="66"/>
      <c r="K429" s="66">
        <f t="shared" si="217"/>
        <v>12650</v>
      </c>
      <c r="L429" s="66"/>
      <c r="M429" s="66">
        <f t="shared" si="218"/>
        <v>12650</v>
      </c>
      <c r="N429" s="66">
        <f>-50+1990</f>
        <v>1940</v>
      </c>
      <c r="O429" s="66">
        <f t="shared" si="219"/>
        <v>14590</v>
      </c>
      <c r="P429" s="66"/>
      <c r="Q429" s="66">
        <f t="shared" si="220"/>
        <v>14590</v>
      </c>
    </row>
    <row r="430" spans="1:17" s="22" customFormat="1" ht="21" customHeight="1">
      <c r="A430" s="52"/>
      <c r="B430" s="67"/>
      <c r="C430" s="52">
        <v>4270</v>
      </c>
      <c r="D430" s="34" t="s">
        <v>80</v>
      </c>
      <c r="E430" s="66">
        <v>56770</v>
      </c>
      <c r="F430" s="66">
        <v>100000</v>
      </c>
      <c r="G430" s="66">
        <f t="shared" si="202"/>
        <v>156770</v>
      </c>
      <c r="H430" s="66"/>
      <c r="I430" s="66">
        <f t="shared" si="216"/>
        <v>156770</v>
      </c>
      <c r="J430" s="66"/>
      <c r="K430" s="66">
        <f t="shared" si="217"/>
        <v>156770</v>
      </c>
      <c r="L430" s="66">
        <v>2500</v>
      </c>
      <c r="M430" s="66">
        <f t="shared" si="218"/>
        <v>159270</v>
      </c>
      <c r="N430" s="66">
        <v>-1990</v>
      </c>
      <c r="O430" s="66">
        <f t="shared" si="219"/>
        <v>157280</v>
      </c>
      <c r="P430" s="66"/>
      <c r="Q430" s="66">
        <f t="shared" si="220"/>
        <v>157280</v>
      </c>
    </row>
    <row r="431" spans="1:17" s="22" customFormat="1" ht="21" customHeight="1">
      <c r="A431" s="52"/>
      <c r="B431" s="67"/>
      <c r="C431" s="71">
        <v>4300</v>
      </c>
      <c r="D431" s="75" t="s">
        <v>81</v>
      </c>
      <c r="E431" s="66">
        <v>8340</v>
      </c>
      <c r="F431" s="66"/>
      <c r="G431" s="66">
        <f t="shared" si="202"/>
        <v>8340</v>
      </c>
      <c r="H431" s="66"/>
      <c r="I431" s="66">
        <f t="shared" si="216"/>
        <v>8340</v>
      </c>
      <c r="J431" s="66"/>
      <c r="K431" s="66">
        <f t="shared" si="217"/>
        <v>8340</v>
      </c>
      <c r="L431" s="66"/>
      <c r="M431" s="66">
        <f t="shared" si="218"/>
        <v>8340</v>
      </c>
      <c r="N431" s="66"/>
      <c r="O431" s="66">
        <f t="shared" si="219"/>
        <v>8340</v>
      </c>
      <c r="P431" s="66"/>
      <c r="Q431" s="66">
        <f t="shared" si="220"/>
        <v>8340</v>
      </c>
    </row>
    <row r="432" spans="1:17" s="22" customFormat="1" ht="21" customHeight="1">
      <c r="A432" s="52"/>
      <c r="B432" s="67"/>
      <c r="C432" s="71">
        <v>4430</v>
      </c>
      <c r="D432" s="75" t="s">
        <v>96</v>
      </c>
      <c r="E432" s="66">
        <v>1635</v>
      </c>
      <c r="F432" s="66"/>
      <c r="G432" s="66">
        <f t="shared" si="202"/>
        <v>1635</v>
      </c>
      <c r="H432" s="66"/>
      <c r="I432" s="66">
        <f t="shared" si="216"/>
        <v>1635</v>
      </c>
      <c r="J432" s="66"/>
      <c r="K432" s="66">
        <f t="shared" si="217"/>
        <v>1635</v>
      </c>
      <c r="L432" s="66"/>
      <c r="M432" s="66">
        <f t="shared" si="218"/>
        <v>1635</v>
      </c>
      <c r="N432" s="66"/>
      <c r="O432" s="66">
        <f t="shared" si="219"/>
        <v>1635</v>
      </c>
      <c r="P432" s="66"/>
      <c r="Q432" s="66">
        <f t="shared" si="220"/>
        <v>1635</v>
      </c>
    </row>
    <row r="433" spans="1:17" s="22" customFormat="1" ht="21" customHeight="1">
      <c r="A433" s="52"/>
      <c r="B433" s="67" t="s">
        <v>65</v>
      </c>
      <c r="C433" s="71"/>
      <c r="D433" s="34" t="s">
        <v>66</v>
      </c>
      <c r="E433" s="66">
        <f aca="true" t="shared" si="221" ref="E433:Q433">E434</f>
        <v>1091087</v>
      </c>
      <c r="F433" s="66">
        <f t="shared" si="221"/>
        <v>0</v>
      </c>
      <c r="G433" s="66">
        <f t="shared" si="221"/>
        <v>1091087</v>
      </c>
      <c r="H433" s="66">
        <f t="shared" si="221"/>
        <v>0</v>
      </c>
      <c r="I433" s="66">
        <f t="shared" si="221"/>
        <v>1091087</v>
      </c>
      <c r="J433" s="66">
        <f t="shared" si="221"/>
        <v>0</v>
      </c>
      <c r="K433" s="66">
        <f t="shared" si="221"/>
        <v>1091087</v>
      </c>
      <c r="L433" s="66">
        <f t="shared" si="221"/>
        <v>0</v>
      </c>
      <c r="M433" s="66">
        <f t="shared" si="221"/>
        <v>1091087</v>
      </c>
      <c r="N433" s="66">
        <f t="shared" si="221"/>
        <v>0</v>
      </c>
      <c r="O433" s="66">
        <f t="shared" si="221"/>
        <v>1091087</v>
      </c>
      <c r="P433" s="66">
        <f t="shared" si="221"/>
        <v>0</v>
      </c>
      <c r="Q433" s="66">
        <f t="shared" si="221"/>
        <v>1091087</v>
      </c>
    </row>
    <row r="434" spans="1:17" s="22" customFormat="1" ht="24">
      <c r="A434" s="52"/>
      <c r="B434" s="67"/>
      <c r="C434" s="71">
        <v>2480</v>
      </c>
      <c r="D434" s="34" t="s">
        <v>195</v>
      </c>
      <c r="E434" s="66">
        <f>60000+1031087</f>
        <v>1091087</v>
      </c>
      <c r="F434" s="66"/>
      <c r="G434" s="66">
        <f t="shared" si="202"/>
        <v>1091087</v>
      </c>
      <c r="H434" s="66"/>
      <c r="I434" s="66">
        <f>SUM(G434:H434)</f>
        <v>1091087</v>
      </c>
      <c r="J434" s="66"/>
      <c r="K434" s="66">
        <f>SUM(I434:J434)</f>
        <v>1091087</v>
      </c>
      <c r="L434" s="66"/>
      <c r="M434" s="66">
        <f>SUM(K434:L434)</f>
        <v>1091087</v>
      </c>
      <c r="N434" s="66"/>
      <c r="O434" s="66">
        <f>SUM(M434:N434)</f>
        <v>1091087</v>
      </c>
      <c r="P434" s="66"/>
      <c r="Q434" s="66">
        <f>SUM(O434:P434)</f>
        <v>1091087</v>
      </c>
    </row>
    <row r="435" spans="1:17" s="22" customFormat="1" ht="21" customHeight="1">
      <c r="A435" s="52"/>
      <c r="B435" s="67" t="s">
        <v>141</v>
      </c>
      <c r="C435" s="71"/>
      <c r="D435" s="34" t="s">
        <v>142</v>
      </c>
      <c r="E435" s="66">
        <f aca="true" t="shared" si="222" ref="E435:Q435">E436</f>
        <v>686000</v>
      </c>
      <c r="F435" s="66">
        <f t="shared" si="222"/>
        <v>0</v>
      </c>
      <c r="G435" s="66">
        <f t="shared" si="222"/>
        <v>686000</v>
      </c>
      <c r="H435" s="66">
        <f t="shared" si="222"/>
        <v>0</v>
      </c>
      <c r="I435" s="66">
        <f t="shared" si="222"/>
        <v>686000</v>
      </c>
      <c r="J435" s="66">
        <f t="shared" si="222"/>
        <v>3400</v>
      </c>
      <c r="K435" s="66">
        <f t="shared" si="222"/>
        <v>689400</v>
      </c>
      <c r="L435" s="66">
        <f t="shared" si="222"/>
        <v>0</v>
      </c>
      <c r="M435" s="66">
        <f t="shared" si="222"/>
        <v>689400</v>
      </c>
      <c r="N435" s="66">
        <f t="shared" si="222"/>
        <v>0</v>
      </c>
      <c r="O435" s="66">
        <f t="shared" si="222"/>
        <v>689400</v>
      </c>
      <c r="P435" s="66">
        <f t="shared" si="222"/>
        <v>0</v>
      </c>
      <c r="Q435" s="66">
        <f t="shared" si="222"/>
        <v>689400</v>
      </c>
    </row>
    <row r="436" spans="1:17" s="22" customFormat="1" ht="24">
      <c r="A436" s="52"/>
      <c r="B436" s="67"/>
      <c r="C436" s="71">
        <v>2480</v>
      </c>
      <c r="D436" s="34" t="s">
        <v>195</v>
      </c>
      <c r="E436" s="66">
        <v>686000</v>
      </c>
      <c r="F436" s="66"/>
      <c r="G436" s="66">
        <f t="shared" si="202"/>
        <v>686000</v>
      </c>
      <c r="H436" s="66"/>
      <c r="I436" s="66">
        <f>SUM(G436:H436)</f>
        <v>686000</v>
      </c>
      <c r="J436" s="66">
        <v>3400</v>
      </c>
      <c r="K436" s="66">
        <f>SUM(I436:J436)</f>
        <v>689400</v>
      </c>
      <c r="L436" s="66"/>
      <c r="M436" s="66">
        <f>SUM(K436:L436)</f>
        <v>689400</v>
      </c>
      <c r="N436" s="66"/>
      <c r="O436" s="66">
        <f>SUM(M436:N436)</f>
        <v>689400</v>
      </c>
      <c r="P436" s="66"/>
      <c r="Q436" s="66">
        <f>SUM(O436:P436)</f>
        <v>689400</v>
      </c>
    </row>
    <row r="437" spans="1:17" s="22" customFormat="1" ht="21" customHeight="1">
      <c r="A437" s="52"/>
      <c r="B437" s="67">
        <v>92120</v>
      </c>
      <c r="C437" s="71"/>
      <c r="D437" s="34" t="s">
        <v>263</v>
      </c>
      <c r="E437" s="66">
        <f aca="true" t="shared" si="223" ref="E437:Q437">SUM(E438)</f>
        <v>22650</v>
      </c>
      <c r="F437" s="66">
        <f t="shared" si="223"/>
        <v>0</v>
      </c>
      <c r="G437" s="66">
        <f t="shared" si="223"/>
        <v>22650</v>
      </c>
      <c r="H437" s="66">
        <f t="shared" si="223"/>
        <v>0</v>
      </c>
      <c r="I437" s="66">
        <f t="shared" si="223"/>
        <v>22650</v>
      </c>
      <c r="J437" s="66">
        <f t="shared" si="223"/>
        <v>0</v>
      </c>
      <c r="K437" s="66">
        <f t="shared" si="223"/>
        <v>22650</v>
      </c>
      <c r="L437" s="66">
        <f t="shared" si="223"/>
        <v>0</v>
      </c>
      <c r="M437" s="66">
        <f t="shared" si="223"/>
        <v>22650</v>
      </c>
      <c r="N437" s="66">
        <f t="shared" si="223"/>
        <v>0</v>
      </c>
      <c r="O437" s="66">
        <f t="shared" si="223"/>
        <v>22650</v>
      </c>
      <c r="P437" s="66">
        <f t="shared" si="223"/>
        <v>0</v>
      </c>
      <c r="Q437" s="66">
        <f t="shared" si="223"/>
        <v>22650</v>
      </c>
    </row>
    <row r="438" spans="1:17" s="22" customFormat="1" ht="59.25" customHeight="1">
      <c r="A438" s="52"/>
      <c r="B438" s="67"/>
      <c r="C438" s="71">
        <v>2720</v>
      </c>
      <c r="D438" s="34" t="s">
        <v>264</v>
      </c>
      <c r="E438" s="66">
        <v>22650</v>
      </c>
      <c r="F438" s="66"/>
      <c r="G438" s="66">
        <f t="shared" si="202"/>
        <v>22650</v>
      </c>
      <c r="H438" s="66"/>
      <c r="I438" s="66">
        <f>SUM(G438:H438)</f>
        <v>22650</v>
      </c>
      <c r="J438" s="66"/>
      <c r="K438" s="66">
        <f>SUM(I438:J438)</f>
        <v>22650</v>
      </c>
      <c r="L438" s="66"/>
      <c r="M438" s="66">
        <f>SUM(K438:L438)</f>
        <v>22650</v>
      </c>
      <c r="N438" s="66"/>
      <c r="O438" s="66">
        <f>SUM(M438:N438)</f>
        <v>22650</v>
      </c>
      <c r="P438" s="66"/>
      <c r="Q438" s="66">
        <f>SUM(O438:P438)</f>
        <v>22650</v>
      </c>
    </row>
    <row r="439" spans="1:17" s="22" customFormat="1" ht="21" customHeight="1">
      <c r="A439" s="52"/>
      <c r="B439" s="67">
        <v>92195</v>
      </c>
      <c r="C439" s="71"/>
      <c r="D439" s="34" t="s">
        <v>6</v>
      </c>
      <c r="E439" s="66">
        <f aca="true" t="shared" si="224" ref="E439:Q439">SUM(E440)</f>
        <v>15000</v>
      </c>
      <c r="F439" s="66">
        <f t="shared" si="224"/>
        <v>0</v>
      </c>
      <c r="G439" s="66">
        <f t="shared" si="224"/>
        <v>15000</v>
      </c>
      <c r="H439" s="66">
        <f t="shared" si="224"/>
        <v>0</v>
      </c>
      <c r="I439" s="66">
        <f t="shared" si="224"/>
        <v>15000</v>
      </c>
      <c r="J439" s="66">
        <f t="shared" si="224"/>
        <v>0</v>
      </c>
      <c r="K439" s="66">
        <f t="shared" si="224"/>
        <v>15000</v>
      </c>
      <c r="L439" s="66">
        <f t="shared" si="224"/>
        <v>0</v>
      </c>
      <c r="M439" s="66">
        <f t="shared" si="224"/>
        <v>15000</v>
      </c>
      <c r="N439" s="66">
        <f t="shared" si="224"/>
        <v>0</v>
      </c>
      <c r="O439" s="66">
        <f t="shared" si="224"/>
        <v>15000</v>
      </c>
      <c r="P439" s="66">
        <f t="shared" si="224"/>
        <v>0</v>
      </c>
      <c r="Q439" s="66">
        <f t="shared" si="224"/>
        <v>15000</v>
      </c>
    </row>
    <row r="440" spans="1:17" s="22" customFormat="1" ht="21" customHeight="1">
      <c r="A440" s="52"/>
      <c r="B440" s="67"/>
      <c r="C440" s="71">
        <v>4300</v>
      </c>
      <c r="D440" s="75" t="s">
        <v>81</v>
      </c>
      <c r="E440" s="66">
        <v>15000</v>
      </c>
      <c r="F440" s="66"/>
      <c r="G440" s="66">
        <f t="shared" si="202"/>
        <v>15000</v>
      </c>
      <c r="H440" s="66"/>
      <c r="I440" s="66">
        <f>SUM(G440:H440)</f>
        <v>15000</v>
      </c>
      <c r="J440" s="66"/>
      <c r="K440" s="66">
        <f>SUM(I440:J440)</f>
        <v>15000</v>
      </c>
      <c r="L440" s="66"/>
      <c r="M440" s="66">
        <f>SUM(K440:L440)</f>
        <v>15000</v>
      </c>
      <c r="N440" s="66"/>
      <c r="O440" s="66">
        <f>SUM(M440:N440)</f>
        <v>15000</v>
      </c>
      <c r="P440" s="66"/>
      <c r="Q440" s="66">
        <f>SUM(O440:P440)</f>
        <v>15000</v>
      </c>
    </row>
    <row r="441" spans="1:17" s="5" customFormat="1" ht="21" customHeight="1">
      <c r="A441" s="29" t="s">
        <v>143</v>
      </c>
      <c r="B441" s="30"/>
      <c r="C441" s="31"/>
      <c r="D441" s="32" t="s">
        <v>67</v>
      </c>
      <c r="E441" s="33">
        <f aca="true" t="shared" si="225" ref="E441:K441">SUM(E449,E445,E442)</f>
        <v>1388290</v>
      </c>
      <c r="F441" s="33">
        <f t="shared" si="225"/>
        <v>170000</v>
      </c>
      <c r="G441" s="33">
        <f t="shared" si="225"/>
        <v>1558290</v>
      </c>
      <c r="H441" s="33">
        <f t="shared" si="225"/>
        <v>447000</v>
      </c>
      <c r="I441" s="33">
        <f t="shared" si="225"/>
        <v>2005290</v>
      </c>
      <c r="J441" s="33">
        <f t="shared" si="225"/>
        <v>302800</v>
      </c>
      <c r="K441" s="33">
        <f t="shared" si="225"/>
        <v>2308090</v>
      </c>
      <c r="L441" s="33">
        <f aca="true" t="shared" si="226" ref="L441:Q441">SUM(L449,L445,L442)</f>
        <v>0</v>
      </c>
      <c r="M441" s="33">
        <f t="shared" si="226"/>
        <v>2308090</v>
      </c>
      <c r="N441" s="33">
        <f t="shared" si="226"/>
        <v>0</v>
      </c>
      <c r="O441" s="33">
        <f t="shared" si="226"/>
        <v>2308090</v>
      </c>
      <c r="P441" s="33">
        <f t="shared" si="226"/>
        <v>0</v>
      </c>
      <c r="Q441" s="33">
        <f t="shared" si="226"/>
        <v>2308090</v>
      </c>
    </row>
    <row r="442" spans="1:17" s="22" customFormat="1" ht="21" customHeight="1">
      <c r="A442" s="52"/>
      <c r="B442" s="72">
        <v>92601</v>
      </c>
      <c r="C442" s="71"/>
      <c r="D442" s="34" t="s">
        <v>245</v>
      </c>
      <c r="E442" s="66">
        <f aca="true" t="shared" si="227" ref="E442:K442">SUM(E443,E444)</f>
        <v>50000</v>
      </c>
      <c r="F442" s="66">
        <f t="shared" si="227"/>
        <v>820000</v>
      </c>
      <c r="G442" s="66">
        <f t="shared" si="227"/>
        <v>870000</v>
      </c>
      <c r="H442" s="66">
        <f t="shared" si="227"/>
        <v>0</v>
      </c>
      <c r="I442" s="66">
        <f t="shared" si="227"/>
        <v>870000</v>
      </c>
      <c r="J442" s="66">
        <f t="shared" si="227"/>
        <v>0</v>
      </c>
      <c r="K442" s="66">
        <f t="shared" si="227"/>
        <v>870000</v>
      </c>
      <c r="L442" s="66">
        <f aca="true" t="shared" si="228" ref="L442:Q442">SUM(L443,L444)</f>
        <v>0</v>
      </c>
      <c r="M442" s="66">
        <f t="shared" si="228"/>
        <v>870000</v>
      </c>
      <c r="N442" s="66">
        <f t="shared" si="228"/>
        <v>0</v>
      </c>
      <c r="O442" s="66">
        <f t="shared" si="228"/>
        <v>870000</v>
      </c>
      <c r="P442" s="66">
        <f t="shared" si="228"/>
        <v>0</v>
      </c>
      <c r="Q442" s="66">
        <f t="shared" si="228"/>
        <v>870000</v>
      </c>
    </row>
    <row r="443" spans="1:17" s="22" customFormat="1" ht="21" customHeight="1">
      <c r="A443" s="52"/>
      <c r="B443" s="72"/>
      <c r="C443" s="71">
        <v>4270</v>
      </c>
      <c r="D443" s="34" t="s">
        <v>80</v>
      </c>
      <c r="E443" s="66">
        <v>50000</v>
      </c>
      <c r="F443" s="66">
        <v>20000</v>
      </c>
      <c r="G443" s="66">
        <f t="shared" si="202"/>
        <v>70000</v>
      </c>
      <c r="H443" s="66"/>
      <c r="I443" s="66">
        <f>SUM(G443:H443)</f>
        <v>70000</v>
      </c>
      <c r="J443" s="66"/>
      <c r="K443" s="66">
        <f>SUM(I443:J443)</f>
        <v>70000</v>
      </c>
      <c r="L443" s="66"/>
      <c r="M443" s="66">
        <f>SUM(K443:L443)</f>
        <v>70000</v>
      </c>
      <c r="N443" s="66"/>
      <c r="O443" s="66">
        <f>SUM(M443:N443)</f>
        <v>70000</v>
      </c>
      <c r="P443" s="66"/>
      <c r="Q443" s="66">
        <f>SUM(O443:P443)</f>
        <v>70000</v>
      </c>
    </row>
    <row r="444" spans="1:17" s="22" customFormat="1" ht="24">
      <c r="A444" s="52"/>
      <c r="B444" s="72"/>
      <c r="C444" s="71">
        <v>6050</v>
      </c>
      <c r="D444" s="34" t="s">
        <v>75</v>
      </c>
      <c r="E444" s="66">
        <v>0</v>
      </c>
      <c r="F444" s="66">
        <f>450000+350000</f>
        <v>800000</v>
      </c>
      <c r="G444" s="66">
        <f>SUM(E444:F444)</f>
        <v>800000</v>
      </c>
      <c r="H444" s="66"/>
      <c r="I444" s="66">
        <f>SUM(G444:H444)</f>
        <v>800000</v>
      </c>
      <c r="J444" s="66"/>
      <c r="K444" s="66">
        <f>SUM(I444:J444)</f>
        <v>800000</v>
      </c>
      <c r="L444" s="66"/>
      <c r="M444" s="66">
        <f>SUM(K444:L444)</f>
        <v>800000</v>
      </c>
      <c r="N444" s="66"/>
      <c r="O444" s="66">
        <f>SUM(M444:N444)</f>
        <v>800000</v>
      </c>
      <c r="P444" s="66"/>
      <c r="Q444" s="66">
        <f>SUM(O444:P444)</f>
        <v>800000</v>
      </c>
    </row>
    <row r="445" spans="1:17" s="22" customFormat="1" ht="21.75" customHeight="1">
      <c r="A445" s="52"/>
      <c r="B445" s="72">
        <v>92604</v>
      </c>
      <c r="C445" s="71"/>
      <c r="D445" s="34" t="s">
        <v>202</v>
      </c>
      <c r="E445" s="66">
        <f aca="true" t="shared" si="229" ref="E445:K445">SUM(E446:E448)</f>
        <v>910000</v>
      </c>
      <c r="F445" s="66">
        <f t="shared" si="229"/>
        <v>-350000</v>
      </c>
      <c r="G445" s="66">
        <f t="shared" si="229"/>
        <v>560000</v>
      </c>
      <c r="H445" s="66">
        <f t="shared" si="229"/>
        <v>0</v>
      </c>
      <c r="I445" s="66">
        <f t="shared" si="229"/>
        <v>560000</v>
      </c>
      <c r="J445" s="66">
        <f t="shared" si="229"/>
        <v>300000</v>
      </c>
      <c r="K445" s="66">
        <f t="shared" si="229"/>
        <v>860000</v>
      </c>
      <c r="L445" s="66">
        <f aca="true" t="shared" si="230" ref="L445:Q445">SUM(L446:L448)</f>
        <v>0</v>
      </c>
      <c r="M445" s="66">
        <f t="shared" si="230"/>
        <v>860000</v>
      </c>
      <c r="N445" s="66">
        <f t="shared" si="230"/>
        <v>0</v>
      </c>
      <c r="O445" s="66">
        <f t="shared" si="230"/>
        <v>860000</v>
      </c>
      <c r="P445" s="66">
        <f t="shared" si="230"/>
        <v>0</v>
      </c>
      <c r="Q445" s="66">
        <f t="shared" si="230"/>
        <v>860000</v>
      </c>
    </row>
    <row r="446" spans="1:17" s="22" customFormat="1" ht="21" customHeight="1">
      <c r="A446" s="52"/>
      <c r="B446" s="72"/>
      <c r="C446" s="71">
        <v>4270</v>
      </c>
      <c r="D446" s="34" t="s">
        <v>80</v>
      </c>
      <c r="E446" s="66">
        <v>10000</v>
      </c>
      <c r="F446" s="66"/>
      <c r="G446" s="66">
        <f t="shared" si="202"/>
        <v>10000</v>
      </c>
      <c r="H446" s="66"/>
      <c r="I446" s="66">
        <f>SUM(G446:H446)</f>
        <v>10000</v>
      </c>
      <c r="J446" s="66"/>
      <c r="K446" s="66">
        <f>SUM(I446:J446)</f>
        <v>10000</v>
      </c>
      <c r="L446" s="66"/>
      <c r="M446" s="66">
        <f>SUM(K446:L446)</f>
        <v>10000</v>
      </c>
      <c r="N446" s="66"/>
      <c r="O446" s="66">
        <f>SUM(M446:N446)</f>
        <v>10000</v>
      </c>
      <c r="P446" s="66"/>
      <c r="Q446" s="66">
        <f>SUM(O446:P446)</f>
        <v>10000</v>
      </c>
    </row>
    <row r="447" spans="1:17" s="22" customFormat="1" ht="21" customHeight="1">
      <c r="A447" s="52"/>
      <c r="B447" s="72"/>
      <c r="C447" s="71">
        <v>4300</v>
      </c>
      <c r="D447" s="75" t="s">
        <v>81</v>
      </c>
      <c r="E447" s="66">
        <f>20000+80000</f>
        <v>100000</v>
      </c>
      <c r="F447" s="66"/>
      <c r="G447" s="66">
        <f t="shared" si="202"/>
        <v>100000</v>
      </c>
      <c r="H447" s="66"/>
      <c r="I447" s="66">
        <f>SUM(G447:H447)</f>
        <v>100000</v>
      </c>
      <c r="J447" s="66"/>
      <c r="K447" s="66">
        <f>SUM(I447:J447)</f>
        <v>100000</v>
      </c>
      <c r="L447" s="66"/>
      <c r="M447" s="66">
        <f>SUM(K447:L447)</f>
        <v>100000</v>
      </c>
      <c r="N447" s="66"/>
      <c r="O447" s="66">
        <f>SUM(M447:N447)</f>
        <v>100000</v>
      </c>
      <c r="P447" s="66"/>
      <c r="Q447" s="66">
        <f>SUM(O447:P447)</f>
        <v>100000</v>
      </c>
    </row>
    <row r="448" spans="1:17" s="22" customFormat="1" ht="57.75" customHeight="1">
      <c r="A448" s="52"/>
      <c r="B448" s="72"/>
      <c r="C448" s="71">
        <v>6010</v>
      </c>
      <c r="D448" s="34" t="s">
        <v>265</v>
      </c>
      <c r="E448" s="66">
        <v>800000</v>
      </c>
      <c r="F448" s="66">
        <v>-350000</v>
      </c>
      <c r="G448" s="66">
        <f t="shared" si="202"/>
        <v>450000</v>
      </c>
      <c r="H448" s="66"/>
      <c r="I448" s="66">
        <f>SUM(G448:H448)</f>
        <v>450000</v>
      </c>
      <c r="J448" s="66">
        <v>300000</v>
      </c>
      <c r="K448" s="66">
        <f>SUM(I448:J448)</f>
        <v>750000</v>
      </c>
      <c r="L448" s="66"/>
      <c r="M448" s="66">
        <f>SUM(K448:L448)</f>
        <v>750000</v>
      </c>
      <c r="N448" s="66"/>
      <c r="O448" s="66">
        <f>SUM(M448:N448)</f>
        <v>750000</v>
      </c>
      <c r="P448" s="66"/>
      <c r="Q448" s="66">
        <f>SUM(O448:P448)</f>
        <v>750000</v>
      </c>
    </row>
    <row r="449" spans="1:17" s="22" customFormat="1" ht="24">
      <c r="A449" s="71"/>
      <c r="B449" s="74">
        <v>92605</v>
      </c>
      <c r="C449" s="71"/>
      <c r="D449" s="34" t="s">
        <v>68</v>
      </c>
      <c r="E449" s="66">
        <f aca="true" t="shared" si="231" ref="E449:K449">SUM(E450:E458)</f>
        <v>428290</v>
      </c>
      <c r="F449" s="66">
        <f t="shared" si="231"/>
        <v>-300000</v>
      </c>
      <c r="G449" s="66">
        <f t="shared" si="231"/>
        <v>128290</v>
      </c>
      <c r="H449" s="66">
        <f t="shared" si="231"/>
        <v>447000</v>
      </c>
      <c r="I449" s="66">
        <f t="shared" si="231"/>
        <v>575290</v>
      </c>
      <c r="J449" s="66">
        <f t="shared" si="231"/>
        <v>2800</v>
      </c>
      <c r="K449" s="66">
        <f t="shared" si="231"/>
        <v>578090</v>
      </c>
      <c r="L449" s="66">
        <f aca="true" t="shared" si="232" ref="L449:Q449">SUM(L450:L458)</f>
        <v>0</v>
      </c>
      <c r="M449" s="66">
        <f t="shared" si="232"/>
        <v>578090</v>
      </c>
      <c r="N449" s="66">
        <f t="shared" si="232"/>
        <v>0</v>
      </c>
      <c r="O449" s="66">
        <f t="shared" si="232"/>
        <v>578090</v>
      </c>
      <c r="P449" s="66">
        <f t="shared" si="232"/>
        <v>0</v>
      </c>
      <c r="Q449" s="66">
        <f t="shared" si="232"/>
        <v>578090</v>
      </c>
    </row>
    <row r="450" spans="1:17" s="22" customFormat="1" ht="36">
      <c r="A450" s="71"/>
      <c r="B450" s="74"/>
      <c r="C450" s="71">
        <v>2820</v>
      </c>
      <c r="D450" s="34" t="s">
        <v>253</v>
      </c>
      <c r="E450" s="66">
        <v>300000</v>
      </c>
      <c r="F450" s="66">
        <v>-300000</v>
      </c>
      <c r="G450" s="66">
        <f t="shared" si="202"/>
        <v>0</v>
      </c>
      <c r="H450" s="66">
        <v>447000</v>
      </c>
      <c r="I450" s="66">
        <f aca="true" t="shared" si="233" ref="I450:I458">SUM(G450:H450)</f>
        <v>447000</v>
      </c>
      <c r="J450" s="66"/>
      <c r="K450" s="66">
        <f aca="true" t="shared" si="234" ref="K450:K458">SUM(I450:J450)</f>
        <v>447000</v>
      </c>
      <c r="L450" s="66"/>
      <c r="M450" s="66">
        <f aca="true" t="shared" si="235" ref="M450:M458">SUM(K450:L450)</f>
        <v>447000</v>
      </c>
      <c r="N450" s="66"/>
      <c r="O450" s="66">
        <f aca="true" t="shared" si="236" ref="O450:O458">SUM(M450:N450)</f>
        <v>447000</v>
      </c>
      <c r="P450" s="66"/>
      <c r="Q450" s="66">
        <f aca="true" t="shared" si="237" ref="Q450:Q458">SUM(O450:P450)</f>
        <v>447000</v>
      </c>
    </row>
    <row r="451" spans="1:17" s="22" customFormat="1" ht="24">
      <c r="A451" s="71"/>
      <c r="B451" s="74"/>
      <c r="C451" s="71">
        <v>3020</v>
      </c>
      <c r="D451" s="34" t="s">
        <v>215</v>
      </c>
      <c r="E451" s="66"/>
      <c r="F451" s="66"/>
      <c r="G451" s="66"/>
      <c r="H451" s="66"/>
      <c r="I451" s="66"/>
      <c r="J451" s="66"/>
      <c r="K451" s="66"/>
      <c r="L451" s="66"/>
      <c r="M451" s="66">
        <v>0</v>
      </c>
      <c r="N451" s="66">
        <v>1500</v>
      </c>
      <c r="O451" s="66">
        <f t="shared" si="236"/>
        <v>1500</v>
      </c>
      <c r="P451" s="66"/>
      <c r="Q451" s="66">
        <f t="shared" si="237"/>
        <v>1500</v>
      </c>
    </row>
    <row r="452" spans="1:17" s="22" customFormat="1" ht="24.75" customHeight="1">
      <c r="A452" s="71"/>
      <c r="B452" s="74"/>
      <c r="C452" s="71">
        <v>3250</v>
      </c>
      <c r="D452" s="34" t="s">
        <v>266</v>
      </c>
      <c r="E452" s="66">
        <v>50000</v>
      </c>
      <c r="F452" s="66"/>
      <c r="G452" s="66">
        <f t="shared" si="202"/>
        <v>50000</v>
      </c>
      <c r="H452" s="66"/>
      <c r="I452" s="66">
        <f t="shared" si="233"/>
        <v>50000</v>
      </c>
      <c r="J452" s="66"/>
      <c r="K452" s="66">
        <f t="shared" si="234"/>
        <v>50000</v>
      </c>
      <c r="L452" s="66"/>
      <c r="M452" s="66">
        <f t="shared" si="235"/>
        <v>50000</v>
      </c>
      <c r="N452" s="66"/>
      <c r="O452" s="66">
        <f t="shared" si="236"/>
        <v>50000</v>
      </c>
      <c r="P452" s="66"/>
      <c r="Q452" s="66">
        <f t="shared" si="237"/>
        <v>50000</v>
      </c>
    </row>
    <row r="453" spans="1:19" s="22" customFormat="1" ht="21" customHeight="1">
      <c r="A453" s="71"/>
      <c r="B453" s="74"/>
      <c r="C453" s="71">
        <v>4110</v>
      </c>
      <c r="D453" s="34" t="s">
        <v>88</v>
      </c>
      <c r="E453" s="66">
        <v>1000</v>
      </c>
      <c r="F453" s="66"/>
      <c r="G453" s="66">
        <f t="shared" si="202"/>
        <v>1000</v>
      </c>
      <c r="H453" s="66"/>
      <c r="I453" s="66">
        <f t="shared" si="233"/>
        <v>1000</v>
      </c>
      <c r="J453" s="66"/>
      <c r="K453" s="66">
        <f t="shared" si="234"/>
        <v>1000</v>
      </c>
      <c r="L453" s="66"/>
      <c r="M453" s="66">
        <f t="shared" si="235"/>
        <v>1000</v>
      </c>
      <c r="N453" s="66"/>
      <c r="O453" s="66">
        <f t="shared" si="236"/>
        <v>1000</v>
      </c>
      <c r="P453" s="66"/>
      <c r="Q453" s="66">
        <f t="shared" si="237"/>
        <v>1000</v>
      </c>
      <c r="R453" s="97"/>
      <c r="S453" s="97"/>
    </row>
    <row r="454" spans="1:19" s="22" customFormat="1" ht="21" customHeight="1">
      <c r="A454" s="71"/>
      <c r="B454" s="74"/>
      <c r="C454" s="71">
        <v>4120</v>
      </c>
      <c r="D454" s="34" t="s">
        <v>89</v>
      </c>
      <c r="E454" s="66">
        <v>100</v>
      </c>
      <c r="F454" s="66"/>
      <c r="G454" s="66">
        <f t="shared" si="202"/>
        <v>100</v>
      </c>
      <c r="H454" s="66"/>
      <c r="I454" s="66">
        <f t="shared" si="233"/>
        <v>100</v>
      </c>
      <c r="J454" s="66"/>
      <c r="K454" s="66">
        <f t="shared" si="234"/>
        <v>100</v>
      </c>
      <c r="L454" s="66"/>
      <c r="M454" s="66">
        <f t="shared" si="235"/>
        <v>100</v>
      </c>
      <c r="N454" s="66"/>
      <c r="O454" s="66">
        <f t="shared" si="236"/>
        <v>100</v>
      </c>
      <c r="P454" s="66"/>
      <c r="Q454" s="66">
        <f t="shared" si="237"/>
        <v>100</v>
      </c>
      <c r="R454" s="97"/>
      <c r="S454" s="97"/>
    </row>
    <row r="455" spans="1:19" s="22" customFormat="1" ht="21" customHeight="1">
      <c r="A455" s="71"/>
      <c r="B455" s="74"/>
      <c r="C455" s="71">
        <v>4170</v>
      </c>
      <c r="D455" s="34" t="s">
        <v>201</v>
      </c>
      <c r="E455" s="66">
        <f>35000+5000-1000-100</f>
        <v>38900</v>
      </c>
      <c r="F455" s="66"/>
      <c r="G455" s="66">
        <f t="shared" si="202"/>
        <v>38900</v>
      </c>
      <c r="H455" s="66"/>
      <c r="I455" s="66">
        <f t="shared" si="233"/>
        <v>38900</v>
      </c>
      <c r="J455" s="66"/>
      <c r="K455" s="66">
        <f t="shared" si="234"/>
        <v>38900</v>
      </c>
      <c r="L455" s="66"/>
      <c r="M455" s="66">
        <f t="shared" si="235"/>
        <v>38900</v>
      </c>
      <c r="N455" s="66"/>
      <c r="O455" s="66">
        <f t="shared" si="236"/>
        <v>38900</v>
      </c>
      <c r="P455" s="66"/>
      <c r="Q455" s="66">
        <f t="shared" si="237"/>
        <v>38900</v>
      </c>
      <c r="R455" s="97"/>
      <c r="S455" s="97"/>
    </row>
    <row r="456" spans="1:17" s="22" customFormat="1" ht="21" customHeight="1">
      <c r="A456" s="71"/>
      <c r="B456" s="67"/>
      <c r="C456" s="52">
        <v>4210</v>
      </c>
      <c r="D456" s="34" t="s">
        <v>94</v>
      </c>
      <c r="E456" s="66">
        <f>9590+11500</f>
        <v>21090</v>
      </c>
      <c r="F456" s="66"/>
      <c r="G456" s="66">
        <f t="shared" si="202"/>
        <v>21090</v>
      </c>
      <c r="H456" s="66"/>
      <c r="I456" s="66">
        <f t="shared" si="233"/>
        <v>21090</v>
      </c>
      <c r="J456" s="66">
        <v>2800</v>
      </c>
      <c r="K456" s="66">
        <f t="shared" si="234"/>
        <v>23890</v>
      </c>
      <c r="L456" s="66"/>
      <c r="M456" s="66">
        <f t="shared" si="235"/>
        <v>23890</v>
      </c>
      <c r="N456" s="66">
        <v>-1500</v>
      </c>
      <c r="O456" s="66">
        <f t="shared" si="236"/>
        <v>22390</v>
      </c>
      <c r="P456" s="66"/>
      <c r="Q456" s="66">
        <f t="shared" si="237"/>
        <v>22390</v>
      </c>
    </row>
    <row r="457" spans="1:17" s="22" customFormat="1" ht="21" customHeight="1">
      <c r="A457" s="71"/>
      <c r="B457" s="67"/>
      <c r="C457" s="52">
        <v>4260</v>
      </c>
      <c r="D457" s="34" t="s">
        <v>97</v>
      </c>
      <c r="E457" s="66">
        <v>1100</v>
      </c>
      <c r="F457" s="66"/>
      <c r="G457" s="66">
        <f t="shared" si="202"/>
        <v>1100</v>
      </c>
      <c r="H457" s="66"/>
      <c r="I457" s="66">
        <f t="shared" si="233"/>
        <v>1100</v>
      </c>
      <c r="J457" s="66"/>
      <c r="K457" s="66">
        <f t="shared" si="234"/>
        <v>1100</v>
      </c>
      <c r="L457" s="66"/>
      <c r="M457" s="66">
        <f t="shared" si="235"/>
        <v>1100</v>
      </c>
      <c r="N457" s="66"/>
      <c r="O457" s="66">
        <f t="shared" si="236"/>
        <v>1100</v>
      </c>
      <c r="P457" s="66"/>
      <c r="Q457" s="66">
        <f t="shared" si="237"/>
        <v>1100</v>
      </c>
    </row>
    <row r="458" spans="1:17" s="22" customFormat="1" ht="21" customHeight="1">
      <c r="A458" s="71"/>
      <c r="B458" s="67"/>
      <c r="C458" s="71">
        <v>4300</v>
      </c>
      <c r="D458" s="75" t="s">
        <v>81</v>
      </c>
      <c r="E458" s="66">
        <f>4600+11500</f>
        <v>16100</v>
      </c>
      <c r="F458" s="66"/>
      <c r="G458" s="66">
        <f t="shared" si="202"/>
        <v>16100</v>
      </c>
      <c r="H458" s="66"/>
      <c r="I458" s="66">
        <f t="shared" si="233"/>
        <v>16100</v>
      </c>
      <c r="J458" s="66"/>
      <c r="K458" s="66">
        <f t="shared" si="234"/>
        <v>16100</v>
      </c>
      <c r="L458" s="66"/>
      <c r="M458" s="66">
        <f t="shared" si="235"/>
        <v>16100</v>
      </c>
      <c r="N458" s="66"/>
      <c r="O458" s="66">
        <f t="shared" si="236"/>
        <v>16100</v>
      </c>
      <c r="P458" s="66"/>
      <c r="Q458" s="66">
        <f t="shared" si="237"/>
        <v>16100</v>
      </c>
    </row>
    <row r="459" spans="1:17" s="6" customFormat="1" ht="24.75" customHeight="1">
      <c r="A459" s="8"/>
      <c r="B459" s="8"/>
      <c r="C459" s="8"/>
      <c r="D459" s="31" t="s">
        <v>69</v>
      </c>
      <c r="E459" s="33">
        <f aca="true" t="shared" si="238" ref="E459:K459">SUM(E441,E425,E399,E375,E311,E296,E196,E192,E189,E179,E142,E127,E52,E44,E24,E17,E7,E372)</f>
        <v>67967776</v>
      </c>
      <c r="F459" s="33">
        <f t="shared" si="238"/>
        <v>-888500</v>
      </c>
      <c r="G459" s="33">
        <f t="shared" si="238"/>
        <v>67149276</v>
      </c>
      <c r="H459" s="33">
        <f t="shared" si="238"/>
        <v>252163</v>
      </c>
      <c r="I459" s="33">
        <f t="shared" si="238"/>
        <v>67401439</v>
      </c>
      <c r="J459" s="33">
        <f t="shared" si="238"/>
        <v>173624</v>
      </c>
      <c r="K459" s="33">
        <f t="shared" si="238"/>
        <v>67575063</v>
      </c>
      <c r="L459" s="33">
        <f aca="true" t="shared" si="239" ref="L459:Q459">SUM(L441,L425,L399,L375,L311,L296,L196,L192,L189,L179,L142,L127,L52,L44,L24,L17,L7,L372)</f>
        <v>46982</v>
      </c>
      <c r="M459" s="33">
        <f t="shared" si="239"/>
        <v>67622045</v>
      </c>
      <c r="N459" s="33">
        <f t="shared" si="239"/>
        <v>75000</v>
      </c>
      <c r="O459" s="33">
        <f t="shared" si="239"/>
        <v>67697045</v>
      </c>
      <c r="P459" s="33">
        <f t="shared" si="239"/>
        <v>286502</v>
      </c>
      <c r="Q459" s="33">
        <f t="shared" si="239"/>
        <v>67983547</v>
      </c>
    </row>
    <row r="460" spans="1:17" ht="12.75">
      <c r="A460" s="40"/>
      <c r="B460" s="40"/>
      <c r="C460" s="40"/>
      <c r="D460" s="40"/>
      <c r="E460" s="96"/>
      <c r="F460" s="96"/>
      <c r="G460" s="96"/>
      <c r="H460" s="96"/>
      <c r="I460" s="96"/>
      <c r="J460" s="96"/>
      <c r="K460" s="96"/>
      <c r="L460" s="96"/>
      <c r="M460" s="96"/>
      <c r="N460" s="96"/>
      <c r="O460" s="96"/>
      <c r="P460" s="96"/>
      <c r="Q460" s="96"/>
    </row>
    <row r="461" spans="4:17" ht="12">
      <c r="D461" s="40"/>
      <c r="E461" s="96"/>
      <c r="F461" s="96"/>
      <c r="G461" s="96"/>
      <c r="H461" s="96"/>
      <c r="I461" s="96"/>
      <c r="J461" s="96"/>
      <c r="K461" s="96"/>
      <c r="L461" s="96"/>
      <c r="M461" s="96"/>
      <c r="N461" s="96"/>
      <c r="O461" s="96"/>
      <c r="P461" s="96"/>
      <c r="Q461" s="96"/>
    </row>
    <row r="462" spans="4:17" ht="12">
      <c r="D462" s="40"/>
      <c r="E462" s="96"/>
      <c r="F462" s="96"/>
      <c r="G462" s="96"/>
      <c r="H462" s="96"/>
      <c r="I462" s="96"/>
      <c r="J462" s="96"/>
      <c r="K462" s="96"/>
      <c r="L462" s="111">
        <v>19932</v>
      </c>
      <c r="M462" s="111" t="s">
        <v>320</v>
      </c>
      <c r="N462" s="111"/>
      <c r="O462" s="111"/>
      <c r="P462" s="111"/>
      <c r="Q462" s="111"/>
    </row>
    <row r="463" spans="4:17" ht="12">
      <c r="D463" s="40"/>
      <c r="E463" s="96"/>
      <c r="F463" s="96"/>
      <c r="G463" s="96"/>
      <c r="H463" s="96"/>
      <c r="I463" s="96"/>
      <c r="J463" s="96"/>
      <c r="K463" s="96"/>
      <c r="L463" s="111">
        <v>14000</v>
      </c>
      <c r="M463" s="111" t="s">
        <v>321</v>
      </c>
      <c r="N463" s="111"/>
      <c r="O463" s="111"/>
      <c r="P463" s="111"/>
      <c r="Q463" s="111"/>
    </row>
    <row r="464" spans="4:19" ht="12.75">
      <c r="D464" s="40"/>
      <c r="E464" s="111">
        <v>330000</v>
      </c>
      <c r="F464" s="134"/>
      <c r="G464" s="134"/>
      <c r="H464" s="134"/>
      <c r="I464" s="134"/>
      <c r="J464" s="134"/>
      <c r="K464" s="134"/>
      <c r="L464" s="134">
        <v>13050</v>
      </c>
      <c r="M464" s="134"/>
      <c r="N464" s="134"/>
      <c r="O464" s="134"/>
      <c r="P464" s="134"/>
      <c r="Q464" s="134"/>
      <c r="R464" s="19"/>
      <c r="S464" s="19"/>
    </row>
    <row r="465" spans="4:19" ht="12.75">
      <c r="D465" s="40"/>
      <c r="E465" s="111">
        <v>541300</v>
      </c>
      <c r="F465" s="134"/>
      <c r="G465" s="134"/>
      <c r="H465" s="134"/>
      <c r="I465" s="134"/>
      <c r="J465" s="134"/>
      <c r="K465" s="134"/>
      <c r="L465" s="153">
        <f>SUM(L462:L464)</f>
        <v>46982</v>
      </c>
      <c r="M465" s="134"/>
      <c r="N465" s="153"/>
      <c r="O465" s="134"/>
      <c r="P465" s="153"/>
      <c r="Q465" s="134"/>
      <c r="R465" s="105"/>
      <c r="S465" s="105"/>
    </row>
    <row r="466" spans="4:19" ht="12.75">
      <c r="D466" s="40"/>
      <c r="E466" s="114">
        <v>50986</v>
      </c>
      <c r="F466" s="135"/>
      <c r="G466" s="135"/>
      <c r="H466" s="135"/>
      <c r="I466" s="135"/>
      <c r="J466" s="135"/>
      <c r="K466" s="135"/>
      <c r="L466" s="135"/>
      <c r="M466" s="135"/>
      <c r="N466" s="135"/>
      <c r="O466" s="135"/>
      <c r="P466" s="135"/>
      <c r="Q466" s="135"/>
      <c r="R466" s="19"/>
      <c r="S466" s="19"/>
    </row>
    <row r="467" spans="4:19" ht="12.75">
      <c r="D467" s="40"/>
      <c r="E467" s="111">
        <v>59100</v>
      </c>
      <c r="F467" s="134"/>
      <c r="G467" s="134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9"/>
      <c r="S467" s="19"/>
    </row>
    <row r="468" spans="4:19" ht="12.75">
      <c r="D468" s="40"/>
      <c r="E468" s="111">
        <v>597800</v>
      </c>
      <c r="F468" s="134"/>
      <c r="G468" s="134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9"/>
      <c r="S468" s="19"/>
    </row>
    <row r="469" spans="4:19" ht="12.75">
      <c r="D469" s="40"/>
      <c r="E469" s="111">
        <v>656100</v>
      </c>
      <c r="F469" s="134"/>
      <c r="G469" s="134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9"/>
      <c r="S469" s="19"/>
    </row>
    <row r="470" spans="4:19" ht="12.75">
      <c r="D470" s="40"/>
      <c r="E470" s="111">
        <v>468000</v>
      </c>
      <c r="F470" s="134"/>
      <c r="G470" s="134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9"/>
      <c r="S470" s="19"/>
    </row>
    <row r="471" spans="4:19" ht="12.75">
      <c r="D471" s="40"/>
      <c r="E471" s="111">
        <v>372000</v>
      </c>
      <c r="F471" s="134"/>
      <c r="G471" s="134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6"/>
      <c r="S471" s="136"/>
    </row>
    <row r="472" spans="4:19" ht="12.75">
      <c r="D472" s="40"/>
      <c r="E472" s="111">
        <v>400000</v>
      </c>
      <c r="F472" s="134"/>
      <c r="G472" s="134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9"/>
      <c r="S472" s="19"/>
    </row>
    <row r="473" spans="4:19" ht="12.75">
      <c r="D473" s="40"/>
      <c r="E473" s="114">
        <v>13687</v>
      </c>
      <c r="F473" s="135"/>
      <c r="G473" s="135"/>
      <c r="H473" s="135"/>
      <c r="I473" s="135"/>
      <c r="J473" s="135"/>
      <c r="K473" s="135"/>
      <c r="L473" s="135"/>
      <c r="M473" s="135"/>
      <c r="N473" s="135"/>
      <c r="O473" s="135"/>
      <c r="P473" s="135"/>
      <c r="Q473" s="135"/>
      <c r="R473" s="19"/>
      <c r="S473" s="19"/>
    </row>
    <row r="474" spans="4:19" ht="12.75">
      <c r="D474" s="40"/>
      <c r="E474" s="114">
        <v>3355048</v>
      </c>
      <c r="F474" s="135"/>
      <c r="G474" s="135"/>
      <c r="H474" s="135"/>
      <c r="I474" s="135"/>
      <c r="J474" s="135"/>
      <c r="K474" s="135"/>
      <c r="L474" s="135"/>
      <c r="M474" s="135"/>
      <c r="N474" s="135"/>
      <c r="O474" s="135"/>
      <c r="P474" s="135"/>
      <c r="Q474" s="135"/>
      <c r="R474" s="19"/>
      <c r="S474" s="105"/>
    </row>
    <row r="475" spans="4:19" ht="12.75">
      <c r="D475" s="40"/>
      <c r="E475" s="114">
        <v>17118273</v>
      </c>
      <c r="F475" s="135"/>
      <c r="G475" s="135"/>
      <c r="H475" s="135"/>
      <c r="I475" s="135"/>
      <c r="J475" s="135"/>
      <c r="K475" s="135"/>
      <c r="L475" s="135"/>
      <c r="M475" s="135"/>
      <c r="N475" s="135"/>
      <c r="O475" s="135"/>
      <c r="P475" s="135"/>
      <c r="Q475" s="135"/>
      <c r="R475" s="19"/>
      <c r="S475" s="19"/>
    </row>
    <row r="476" spans="4:19" ht="12.75">
      <c r="D476" s="40"/>
      <c r="E476" s="111">
        <v>526290</v>
      </c>
      <c r="F476" s="134"/>
      <c r="G476" s="134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9"/>
      <c r="S476" s="19"/>
    </row>
    <row r="477" spans="4:19" ht="12.75">
      <c r="D477" s="40"/>
      <c r="E477" s="114">
        <v>447149</v>
      </c>
      <c r="F477" s="135"/>
      <c r="G477" s="135"/>
      <c r="H477" s="135"/>
      <c r="I477" s="135"/>
      <c r="J477" s="135"/>
      <c r="K477" s="135"/>
      <c r="L477" s="135"/>
      <c r="M477" s="135"/>
      <c r="N477" s="135"/>
      <c r="O477" s="135"/>
      <c r="P477" s="135"/>
      <c r="Q477" s="135"/>
      <c r="R477" s="19"/>
      <c r="S477" s="19"/>
    </row>
    <row r="478" spans="4:19" ht="12.75">
      <c r="D478" s="40"/>
      <c r="E478" s="114">
        <v>61433</v>
      </c>
      <c r="F478" s="135"/>
      <c r="G478" s="135"/>
      <c r="H478" s="135"/>
      <c r="I478" s="135"/>
      <c r="J478" s="135"/>
      <c r="K478" s="135"/>
      <c r="L478" s="135"/>
      <c r="M478" s="135"/>
      <c r="N478" s="135"/>
      <c r="O478" s="135"/>
      <c r="P478" s="135"/>
      <c r="Q478" s="135"/>
      <c r="R478" s="19"/>
      <c r="S478" s="19"/>
    </row>
    <row r="479" spans="4:19" ht="12.75">
      <c r="D479" s="40"/>
      <c r="E479" s="114">
        <v>101210</v>
      </c>
      <c r="F479" s="135"/>
      <c r="G479" s="135"/>
      <c r="H479" s="135"/>
      <c r="I479" s="135"/>
      <c r="J479" s="135"/>
      <c r="K479" s="135"/>
      <c r="L479" s="135"/>
      <c r="M479" s="135"/>
      <c r="N479" s="135"/>
      <c r="O479" s="135"/>
      <c r="P479" s="135"/>
      <c r="Q479" s="135"/>
      <c r="R479" s="19"/>
      <c r="S479" s="19"/>
    </row>
    <row r="480" spans="4:19" ht="12.75">
      <c r="D480" s="40"/>
      <c r="E480" s="111">
        <v>60000</v>
      </c>
      <c r="F480" s="134"/>
      <c r="G480" s="134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9"/>
      <c r="S480" s="19"/>
    </row>
    <row r="481" spans="4:19" ht="12.75">
      <c r="D481" s="40"/>
      <c r="E481" s="111">
        <v>6479100</v>
      </c>
      <c r="F481" s="134"/>
      <c r="G481" s="134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9"/>
      <c r="S481" s="19"/>
    </row>
    <row r="482" spans="4:19" ht="12.75">
      <c r="D482" s="40"/>
      <c r="E482" s="111">
        <v>156600</v>
      </c>
      <c r="F482" s="134"/>
      <c r="G482" s="134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9"/>
      <c r="S482" s="19"/>
    </row>
    <row r="483" spans="4:19" ht="12.75">
      <c r="D483" s="40"/>
      <c r="E483" s="111">
        <v>5000</v>
      </c>
      <c r="F483" s="134"/>
      <c r="G483" s="134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9"/>
      <c r="S483" s="19"/>
    </row>
    <row r="484" spans="4:19" ht="12.75">
      <c r="D484" s="40"/>
      <c r="E484" s="111"/>
      <c r="F484" s="134"/>
      <c r="G484" s="134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9"/>
      <c r="S484" s="19"/>
    </row>
    <row r="485" spans="4:19" ht="12.75">
      <c r="D485" s="40"/>
      <c r="E485" s="111">
        <v>16413000</v>
      </c>
      <c r="F485" s="134"/>
      <c r="G485" s="134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9"/>
      <c r="S485" s="19"/>
    </row>
    <row r="486" spans="4:19" ht="12.75">
      <c r="D486" s="40"/>
      <c r="E486" s="96">
        <f>SUM(E464:E485)</f>
        <v>48212076</v>
      </c>
      <c r="F486" s="109"/>
      <c r="G486" s="109"/>
      <c r="H486" s="109"/>
      <c r="I486" s="109"/>
      <c r="J486" s="109"/>
      <c r="K486" s="109"/>
      <c r="L486" s="109"/>
      <c r="M486" s="109"/>
      <c r="N486" s="109"/>
      <c r="O486" s="109"/>
      <c r="P486" s="109"/>
      <c r="Q486" s="109"/>
      <c r="R486" s="19"/>
      <c r="S486" s="19"/>
    </row>
    <row r="487" spans="4:19" ht="12.75">
      <c r="D487" s="40"/>
      <c r="E487" s="96"/>
      <c r="F487" s="109"/>
      <c r="G487" s="109"/>
      <c r="H487" s="109"/>
      <c r="I487" s="109"/>
      <c r="J487" s="109"/>
      <c r="K487" s="109"/>
      <c r="L487" s="109"/>
      <c r="M487" s="109"/>
      <c r="N487" s="109"/>
      <c r="O487" s="109"/>
      <c r="P487" s="109"/>
      <c r="Q487" s="109"/>
      <c r="R487" s="19"/>
      <c r="S487" s="19"/>
    </row>
    <row r="488" spans="1:17" s="19" customFormat="1" ht="19.5" customHeight="1">
      <c r="A488" s="21"/>
      <c r="B488" s="21"/>
      <c r="C488" s="21"/>
      <c r="D488" s="21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</row>
    <row r="489" spans="1:17" s="19" customFormat="1" ht="12.75">
      <c r="A489" s="21"/>
      <c r="B489" s="21"/>
      <c r="C489" s="21"/>
      <c r="D489" s="21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</row>
    <row r="490" spans="1:17" s="19" customFormat="1" ht="12.75">
      <c r="A490" s="21"/>
      <c r="B490" s="21"/>
      <c r="C490" s="21"/>
      <c r="D490" s="21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</row>
    <row r="491" spans="1:17" s="19" customFormat="1" ht="12.75">
      <c r="A491" s="21"/>
      <c r="B491" s="21"/>
      <c r="C491" s="21"/>
      <c r="D491" s="21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</row>
    <row r="492" spans="1:17" s="19" customFormat="1" ht="12.75">
      <c r="A492" s="21"/>
      <c r="B492" s="21"/>
      <c r="C492" s="21"/>
      <c r="D492" s="21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</row>
    <row r="493" spans="1:17" s="19" customFormat="1" ht="12.75">
      <c r="A493" s="21"/>
      <c r="B493" s="21"/>
      <c r="C493" s="21"/>
      <c r="D493" s="21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</row>
    <row r="494" spans="1:17" s="19" customFormat="1" ht="12.75">
      <c r="A494" s="21"/>
      <c r="B494" s="21"/>
      <c r="C494" s="21"/>
      <c r="D494" s="21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</row>
    <row r="495" spans="1:17" s="19" customFormat="1" ht="12.75">
      <c r="A495" s="21"/>
      <c r="B495" s="21"/>
      <c r="C495" s="21"/>
      <c r="D495" s="21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</row>
    <row r="496" spans="1:17" s="19" customFormat="1" ht="12.75">
      <c r="A496" s="21"/>
      <c r="B496" s="21"/>
      <c r="C496" s="21"/>
      <c r="D496" s="21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</row>
    <row r="497" spans="1:17" s="19" customFormat="1" ht="12.75">
      <c r="A497" s="21"/>
      <c r="B497" s="21"/>
      <c r="C497" s="21"/>
      <c r="D497" s="21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</row>
    <row r="498" spans="1:17" s="19" customFormat="1" ht="12.75">
      <c r="A498" s="21"/>
      <c r="B498" s="21"/>
      <c r="C498" s="21"/>
      <c r="D498" s="21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</row>
    <row r="499" spans="1:17" s="19" customFormat="1" ht="12.75">
      <c r="A499" s="21"/>
      <c r="B499" s="21"/>
      <c r="C499" s="21"/>
      <c r="D499" s="21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</row>
    <row r="500" spans="1:17" s="19" customFormat="1" ht="12.75">
      <c r="A500" s="21"/>
      <c r="B500" s="21"/>
      <c r="C500" s="21"/>
      <c r="D500" s="21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</row>
    <row r="501" spans="1:17" s="19" customFormat="1" ht="12.75">
      <c r="A501" s="21"/>
      <c r="B501" s="21"/>
      <c r="C501" s="21"/>
      <c r="D501" s="21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</row>
    <row r="502" spans="1:17" s="19" customFormat="1" ht="12.75">
      <c r="A502" s="21"/>
      <c r="B502" s="21"/>
      <c r="C502" s="21"/>
      <c r="D502" s="21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</row>
    <row r="503" spans="1:17" s="19" customFormat="1" ht="12.75">
      <c r="A503" s="21"/>
      <c r="B503" s="21"/>
      <c r="C503" s="21"/>
      <c r="D503" s="21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</row>
    <row r="504" spans="1:17" s="19" customFormat="1" ht="12.75">
      <c r="A504" s="21"/>
      <c r="B504" s="21"/>
      <c r="C504" s="21"/>
      <c r="D504" s="21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</row>
    <row r="505" spans="1:17" s="19" customFormat="1" ht="12.75">
      <c r="A505" s="21"/>
      <c r="B505" s="21"/>
      <c r="C505" s="21"/>
      <c r="D505" s="21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</row>
    <row r="506" spans="1:17" s="19" customFormat="1" ht="12.75">
      <c r="A506" s="21"/>
      <c r="B506" s="21"/>
      <c r="C506" s="21"/>
      <c r="D506" s="21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</row>
    <row r="507" spans="1:17" s="19" customFormat="1" ht="12.75">
      <c r="A507" s="21"/>
      <c r="B507" s="21"/>
      <c r="C507" s="21"/>
      <c r="D507" s="21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</row>
    <row r="508" spans="1:17" s="19" customFormat="1" ht="12.75">
      <c r="A508" s="21"/>
      <c r="B508" s="21"/>
      <c r="C508" s="21"/>
      <c r="D508" s="21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</row>
    <row r="509" spans="1:17" s="19" customFormat="1" ht="12.75">
      <c r="A509" s="21"/>
      <c r="B509" s="21"/>
      <c r="C509" s="21"/>
      <c r="D509" s="21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</row>
    <row r="510" spans="1:17" s="19" customFormat="1" ht="12.75">
      <c r="A510" s="21"/>
      <c r="B510" s="21"/>
      <c r="C510" s="21"/>
      <c r="D510" s="21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</row>
    <row r="511" spans="1:17" s="19" customFormat="1" ht="12.75">
      <c r="A511" s="21"/>
      <c r="B511" s="21"/>
      <c r="C511" s="21"/>
      <c r="D511" s="21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</row>
    <row r="512" spans="1:17" s="19" customFormat="1" ht="12.75">
      <c r="A512" s="21"/>
      <c r="B512" s="21"/>
      <c r="C512" s="21"/>
      <c r="D512" s="21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</row>
    <row r="513" spans="1:17" s="19" customFormat="1" ht="12.75">
      <c r="A513" s="21"/>
      <c r="B513" s="21"/>
      <c r="C513" s="21"/>
      <c r="D513" s="21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</row>
    <row r="514" spans="1:17" s="19" customFormat="1" ht="12.75">
      <c r="A514" s="21"/>
      <c r="B514" s="21"/>
      <c r="C514" s="21"/>
      <c r="D514" s="21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</row>
    <row r="515" spans="1:17" s="19" customFormat="1" ht="12.75">
      <c r="A515" s="21"/>
      <c r="B515" s="21"/>
      <c r="C515" s="21"/>
      <c r="D515" s="21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</row>
    <row r="516" spans="1:17" s="19" customFormat="1" ht="12.75">
      <c r="A516" s="21"/>
      <c r="B516" s="21"/>
      <c r="C516" s="21"/>
      <c r="D516" s="21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</row>
    <row r="517" spans="1:17" s="19" customFormat="1" ht="12.75">
      <c r="A517" s="21"/>
      <c r="B517" s="21"/>
      <c r="C517" s="21"/>
      <c r="D517" s="21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</row>
    <row r="518" spans="1:17" s="19" customFormat="1" ht="12.75">
      <c r="A518" s="21"/>
      <c r="B518" s="21"/>
      <c r="C518" s="21"/>
      <c r="D518" s="21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</row>
    <row r="519" spans="1:17" s="19" customFormat="1" ht="12.75">
      <c r="A519" s="21"/>
      <c r="B519" s="21"/>
      <c r="C519" s="21"/>
      <c r="D519" s="21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</row>
    <row r="520" spans="1:17" s="19" customFormat="1" ht="12.75">
      <c r="A520" s="21"/>
      <c r="B520" s="21"/>
      <c r="C520" s="21"/>
      <c r="D520" s="21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</row>
    <row r="521" spans="1:17" s="19" customFormat="1" ht="12.75">
      <c r="A521" s="21"/>
      <c r="B521" s="21"/>
      <c r="C521" s="21"/>
      <c r="D521" s="21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</row>
    <row r="522" spans="1:17" s="19" customFormat="1" ht="12.75">
      <c r="A522" s="21"/>
      <c r="B522" s="21"/>
      <c r="C522" s="21"/>
      <c r="D522" s="21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</row>
    <row r="523" spans="1:17" s="19" customFormat="1" ht="12.75">
      <c r="A523" s="21"/>
      <c r="B523" s="21"/>
      <c r="C523" s="21"/>
      <c r="D523" s="21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</row>
    <row r="524" spans="1:17" s="19" customFormat="1" ht="12.75">
      <c r="A524" s="21"/>
      <c r="B524" s="21"/>
      <c r="C524" s="21"/>
      <c r="D524" s="21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</row>
    <row r="525" spans="1:17" s="19" customFormat="1" ht="12.75">
      <c r="A525" s="21"/>
      <c r="B525" s="21"/>
      <c r="C525" s="21"/>
      <c r="D525" s="21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</row>
    <row r="526" spans="1:17" s="19" customFormat="1" ht="12.75">
      <c r="A526" s="21"/>
      <c r="B526" s="21"/>
      <c r="C526" s="21"/>
      <c r="D526" s="21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</row>
    <row r="527" spans="1:17" s="19" customFormat="1" ht="12.75">
      <c r="A527" s="21"/>
      <c r="B527" s="21"/>
      <c r="C527" s="21"/>
      <c r="D527" s="21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</row>
    <row r="528" spans="1:17" s="19" customFormat="1" ht="12.75">
      <c r="A528" s="154"/>
      <c r="B528" s="154"/>
      <c r="C528" s="21"/>
      <c r="D528" s="21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</row>
    <row r="529" spans="1:17" s="19" customFormat="1" ht="12.75">
      <c r="A529" s="155"/>
      <c r="B529" s="155"/>
      <c r="C529" s="21"/>
      <c r="D529" s="21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</row>
    <row r="530" spans="1:17" s="19" customFormat="1" ht="12.75">
      <c r="A530" s="155"/>
      <c r="B530" s="155"/>
      <c r="C530" s="21"/>
      <c r="D530" s="21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</row>
    <row r="531" spans="1:17" s="19" customFormat="1" ht="12.75">
      <c r="A531" s="155"/>
      <c r="B531" s="155"/>
      <c r="C531" s="21"/>
      <c r="D531" s="21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</row>
    <row r="532" spans="1:17" s="19" customFormat="1" ht="12.75">
      <c r="A532" s="155"/>
      <c r="B532" s="155"/>
      <c r="C532" s="21"/>
      <c r="D532" s="156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</row>
    <row r="533" spans="1:17" s="19" customFormat="1" ht="12.75">
      <c r="A533" s="155"/>
      <c r="B533" s="155"/>
      <c r="C533" s="21"/>
      <c r="D533" s="156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</row>
    <row r="534" spans="1:17" s="19" customFormat="1" ht="12.75">
      <c r="A534" s="155"/>
      <c r="B534" s="155"/>
      <c r="C534" s="21"/>
      <c r="D534" s="21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</row>
    <row r="535" spans="1:17" s="19" customFormat="1" ht="12.75">
      <c r="A535" s="155"/>
      <c r="B535" s="155"/>
      <c r="C535" s="21"/>
      <c r="D535" s="156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</row>
    <row r="536" spans="1:17" s="19" customFormat="1" ht="12.75">
      <c r="A536" s="155"/>
      <c r="B536" s="155"/>
      <c r="C536" s="21"/>
      <c r="D536" s="156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</row>
    <row r="537" spans="1:17" s="19" customFormat="1" ht="12.75">
      <c r="A537" s="155"/>
      <c r="B537" s="155"/>
      <c r="C537" s="21"/>
      <c r="D537" s="21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</row>
    <row r="538" spans="1:17" s="19" customFormat="1" ht="12.75">
      <c r="A538" s="155"/>
      <c r="B538" s="155"/>
      <c r="C538" s="21"/>
      <c r="D538" s="156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</row>
    <row r="539" spans="1:17" s="19" customFormat="1" ht="12.75">
      <c r="A539" s="155"/>
      <c r="B539" s="155"/>
      <c r="C539" s="21"/>
      <c r="D539" s="156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</row>
    <row r="540" spans="1:17" s="19" customFormat="1" ht="12.75">
      <c r="A540" s="155"/>
      <c r="B540" s="155"/>
      <c r="C540" s="21"/>
      <c r="D540" s="21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</row>
    <row r="541" spans="1:17" s="19" customFormat="1" ht="12.75">
      <c r="A541" s="21"/>
      <c r="B541" s="21"/>
      <c r="C541" s="21"/>
      <c r="D541" s="21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</row>
    <row r="542" spans="1:17" s="19" customFormat="1" ht="12.75">
      <c r="A542" s="21"/>
      <c r="B542" s="21"/>
      <c r="C542" s="21"/>
      <c r="D542" s="21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</row>
    <row r="543" spans="1:17" s="19" customFormat="1" ht="12.75">
      <c r="A543" s="21"/>
      <c r="B543" s="21"/>
      <c r="C543" s="21"/>
      <c r="D543" s="21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</row>
    <row r="544" spans="1:17" s="19" customFormat="1" ht="12.75">
      <c r="A544" s="21"/>
      <c r="B544" s="21"/>
      <c r="C544" s="21"/>
      <c r="D544" s="156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</row>
    <row r="545" spans="1:17" s="19" customFormat="1" ht="12.75">
      <c r="A545" s="21"/>
      <c r="B545" s="21"/>
      <c r="C545" s="21"/>
      <c r="D545" s="21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</row>
    <row r="546" spans="1:17" s="19" customFormat="1" ht="12.75">
      <c r="A546" s="21"/>
      <c r="B546" s="21"/>
      <c r="C546" s="21"/>
      <c r="D546" s="156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</row>
    <row r="547" spans="1:17" s="19" customFormat="1" ht="12.75">
      <c r="A547" s="21"/>
      <c r="B547" s="21"/>
      <c r="C547" s="21"/>
      <c r="D547" s="156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</row>
    <row r="548" spans="1:17" s="19" customFormat="1" ht="12.75">
      <c r="A548" s="21"/>
      <c r="B548" s="21"/>
      <c r="C548" s="21"/>
      <c r="D548" s="156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</row>
    <row r="549" spans="1:17" s="19" customFormat="1" ht="12.75">
      <c r="A549" s="21"/>
      <c r="B549" s="21"/>
      <c r="C549" s="21"/>
      <c r="D549" s="21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</row>
    <row r="550" spans="1:17" s="19" customFormat="1" ht="12.75">
      <c r="A550" s="21"/>
      <c r="B550" s="21"/>
      <c r="C550" s="21"/>
      <c r="D550" s="21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</row>
    <row r="551" spans="1:17" s="19" customFormat="1" ht="12.75">
      <c r="A551" s="21"/>
      <c r="B551" s="21"/>
      <c r="C551" s="21"/>
      <c r="D551" s="21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</row>
    <row r="552" spans="1:17" s="19" customFormat="1" ht="12.75">
      <c r="A552" s="21"/>
      <c r="B552" s="21"/>
      <c r="C552" s="21"/>
      <c r="D552" s="21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</row>
    <row r="553" spans="1:17" s="19" customFormat="1" ht="12.75">
      <c r="A553" s="21"/>
      <c r="B553" s="21"/>
      <c r="C553" s="21"/>
      <c r="D553" s="21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</row>
    <row r="554" spans="1:17" s="19" customFormat="1" ht="12.75">
      <c r="A554" s="21"/>
      <c r="B554" s="21"/>
      <c r="C554" s="21"/>
      <c r="D554" s="21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</row>
    <row r="555" spans="1:17" s="19" customFormat="1" ht="12.75">
      <c r="A555" s="21"/>
      <c r="B555" s="21"/>
      <c r="C555" s="21"/>
      <c r="D555" s="21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</row>
    <row r="556" spans="1:17" s="19" customFormat="1" ht="12.75">
      <c r="A556" s="21"/>
      <c r="B556" s="21"/>
      <c r="C556" s="21"/>
      <c r="D556" s="21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</row>
    <row r="557" spans="1:17" s="19" customFormat="1" ht="12.75">
      <c r="A557" s="21"/>
      <c r="B557" s="21"/>
      <c r="C557" s="21"/>
      <c r="D557" s="21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</row>
    <row r="558" spans="1:17" s="19" customFormat="1" ht="12.75">
      <c r="A558" s="21"/>
      <c r="B558" s="21"/>
      <c r="C558" s="21"/>
      <c r="D558" s="21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</row>
    <row r="559" spans="1:17" s="19" customFormat="1" ht="12.75">
      <c r="A559" s="21"/>
      <c r="B559" s="21"/>
      <c r="C559" s="21"/>
      <c r="D559" s="21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</row>
    <row r="560" spans="1:17" s="19" customFormat="1" ht="12.75">
      <c r="A560" s="21"/>
      <c r="B560" s="21"/>
      <c r="C560" s="21"/>
      <c r="D560" s="21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</row>
    <row r="561" spans="1:17" s="19" customFormat="1" ht="12.75">
      <c r="A561" s="21"/>
      <c r="B561" s="21"/>
      <c r="C561" s="21"/>
      <c r="D561" s="21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</row>
    <row r="562" spans="1:17" s="19" customFormat="1" ht="12.75">
      <c r="A562" s="21"/>
      <c r="B562" s="21"/>
      <c r="C562" s="21"/>
      <c r="D562" s="21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</row>
    <row r="563" spans="1:17" s="19" customFormat="1" ht="12.75">
      <c r="A563" s="21"/>
      <c r="B563" s="21"/>
      <c r="C563" s="21"/>
      <c r="D563" s="21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</row>
    <row r="564" spans="1:17" s="19" customFormat="1" ht="12.75">
      <c r="A564" s="21"/>
      <c r="B564" s="21"/>
      <c r="C564" s="21"/>
      <c r="D564" s="21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</row>
    <row r="565" spans="1:17" s="19" customFormat="1" ht="12.75">
      <c r="A565" s="155"/>
      <c r="B565" s="155"/>
      <c r="C565" s="21"/>
      <c r="D565" s="21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</row>
    <row r="566" spans="1:17" s="19" customFormat="1" ht="12.75">
      <c r="A566" s="21"/>
      <c r="B566" s="21"/>
      <c r="C566" s="21"/>
      <c r="D566" s="21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</row>
    <row r="567" spans="1:17" s="19" customFormat="1" ht="12.75">
      <c r="A567" s="21"/>
      <c r="B567" s="21"/>
      <c r="C567" s="21"/>
      <c r="D567" s="21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</row>
    <row r="568" spans="1:17" s="19" customFormat="1" ht="12.75">
      <c r="A568" s="21"/>
      <c r="B568" s="21"/>
      <c r="C568" s="21"/>
      <c r="D568" s="21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</row>
    <row r="569" spans="1:17" s="19" customFormat="1" ht="12.75">
      <c r="A569" s="21"/>
      <c r="B569" s="21"/>
      <c r="C569" s="21"/>
      <c r="D569" s="21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</row>
    <row r="570" spans="1:17" s="19" customFormat="1" ht="12.75">
      <c r="A570" s="21"/>
      <c r="B570" s="21"/>
      <c r="C570" s="21"/>
      <c r="D570" s="21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</row>
    <row r="571" spans="1:17" s="19" customFormat="1" ht="12.75">
      <c r="A571" s="21"/>
      <c r="B571" s="21"/>
      <c r="C571" s="21"/>
      <c r="D571" s="21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</row>
    <row r="572" spans="1:17" s="19" customFormat="1" ht="12.75">
      <c r="A572" s="155"/>
      <c r="B572" s="155"/>
      <c r="C572" s="21"/>
      <c r="D572" s="21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</row>
    <row r="573" spans="1:17" s="19" customFormat="1" ht="12.75">
      <c r="A573" s="155"/>
      <c r="B573" s="155"/>
      <c r="C573" s="21"/>
      <c r="D573" s="21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</row>
    <row r="574" spans="1:17" s="19" customFormat="1" ht="12.75">
      <c r="A574" s="155"/>
      <c r="B574" s="155"/>
      <c r="C574" s="21"/>
      <c r="D574" s="156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</row>
    <row r="575" spans="1:17" s="19" customFormat="1" ht="12.75">
      <c r="A575" s="155"/>
      <c r="B575" s="155"/>
      <c r="C575" s="21"/>
      <c r="D575" s="156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</row>
    <row r="576" spans="1:17" s="19" customFormat="1" ht="12.75">
      <c r="A576" s="155"/>
      <c r="B576" s="155"/>
      <c r="C576" s="21"/>
      <c r="D576" s="21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</row>
    <row r="577" spans="1:17" s="19" customFormat="1" ht="12.75">
      <c r="A577" s="155"/>
      <c r="B577" s="155"/>
      <c r="C577" s="21"/>
      <c r="D577" s="156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</row>
    <row r="578" spans="1:17" s="19" customFormat="1" ht="12.75">
      <c r="A578" s="155"/>
      <c r="B578" s="155"/>
      <c r="C578" s="21"/>
      <c r="D578" s="156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</row>
    <row r="579" spans="1:17" s="19" customFormat="1" ht="12.75">
      <c r="A579" s="155"/>
      <c r="B579" s="155"/>
      <c r="C579" s="21"/>
      <c r="D579" s="21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</row>
    <row r="580" spans="1:17" s="19" customFormat="1" ht="12.75">
      <c r="A580" s="155"/>
      <c r="B580" s="155"/>
      <c r="C580" s="21"/>
      <c r="D580" s="156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</row>
    <row r="581" spans="1:17" s="19" customFormat="1" ht="12.75">
      <c r="A581" s="155"/>
      <c r="B581" s="155"/>
      <c r="C581" s="21"/>
      <c r="D581" s="156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</row>
    <row r="582" spans="1:17" s="19" customFormat="1" ht="12.75">
      <c r="A582" s="155"/>
      <c r="B582" s="155"/>
      <c r="C582" s="21"/>
      <c r="D582" s="21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</row>
    <row r="583" spans="1:17" s="19" customFormat="1" ht="12.75">
      <c r="A583" s="21"/>
      <c r="B583" s="21"/>
      <c r="C583" s="21"/>
      <c r="D583" s="21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</row>
    <row r="584" spans="1:17" s="19" customFormat="1" ht="12.75">
      <c r="A584" s="21"/>
      <c r="B584" s="21"/>
      <c r="C584" s="21"/>
      <c r="D584" s="21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</row>
    <row r="585" spans="1:17" s="19" customFormat="1" ht="12.75">
      <c r="A585" s="21"/>
      <c r="B585" s="21"/>
      <c r="C585" s="21"/>
      <c r="D585" s="21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</row>
    <row r="586" spans="1:17" s="19" customFormat="1" ht="12.75">
      <c r="A586" s="21"/>
      <c r="B586" s="21"/>
      <c r="C586" s="21"/>
      <c r="D586" s="21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</row>
    <row r="587" spans="1:17" s="19" customFormat="1" ht="12.75">
      <c r="A587" s="21"/>
      <c r="B587" s="21"/>
      <c r="C587" s="21"/>
      <c r="D587" s="21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</row>
    <row r="588" spans="1:17" s="19" customFormat="1" ht="12.75">
      <c r="A588" s="21"/>
      <c r="B588" s="21"/>
      <c r="C588" s="21"/>
      <c r="D588" s="21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</row>
    <row r="589" spans="1:17" s="19" customFormat="1" ht="12.75">
      <c r="A589" s="21"/>
      <c r="B589" s="21"/>
      <c r="C589" s="21"/>
      <c r="D589" s="21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</row>
    <row r="590" spans="1:17" s="19" customFormat="1" ht="12.75">
      <c r="A590" s="21"/>
      <c r="B590" s="21"/>
      <c r="C590" s="21"/>
      <c r="D590" s="21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</row>
    <row r="591" spans="1:17" s="19" customFormat="1" ht="12.75">
      <c r="A591" s="21"/>
      <c r="B591" s="21"/>
      <c r="C591" s="21"/>
      <c r="D591" s="21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</row>
    <row r="592" spans="1:17" s="19" customFormat="1" ht="12.75">
      <c r="A592" s="21"/>
      <c r="B592" s="21"/>
      <c r="C592" s="21"/>
      <c r="D592" s="21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</row>
    <row r="593" spans="1:17" s="19" customFormat="1" ht="12.75">
      <c r="A593" s="21"/>
      <c r="B593" s="21"/>
      <c r="C593" s="21"/>
      <c r="D593" s="21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</row>
    <row r="594" spans="1:17" s="19" customFormat="1" ht="12.75">
      <c r="A594" s="21"/>
      <c r="B594" s="21"/>
      <c r="C594" s="21"/>
      <c r="D594" s="21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</row>
    <row r="595" spans="1:17" s="19" customFormat="1" ht="12.75">
      <c r="A595" s="21"/>
      <c r="B595" s="21"/>
      <c r="C595" s="21"/>
      <c r="D595" s="21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</row>
    <row r="596" spans="1:17" s="19" customFormat="1" ht="12.75">
      <c r="A596" s="21"/>
      <c r="B596" s="21"/>
      <c r="C596" s="21"/>
      <c r="D596" s="21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</row>
    <row r="597" spans="1:17" s="19" customFormat="1" ht="12.75">
      <c r="A597" s="21"/>
      <c r="B597" s="21"/>
      <c r="C597" s="21"/>
      <c r="D597" s="21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</row>
    <row r="598" spans="1:17" s="19" customFormat="1" ht="12.75">
      <c r="A598" s="21"/>
      <c r="B598" s="21"/>
      <c r="C598" s="21"/>
      <c r="D598" s="156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</row>
    <row r="599" spans="1:17" s="19" customFormat="1" ht="12.75">
      <c r="A599" s="21"/>
      <c r="B599" s="21"/>
      <c r="C599" s="21"/>
      <c r="D599" s="21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</row>
    <row r="600" spans="1:17" s="19" customFormat="1" ht="12.75">
      <c r="A600" s="21"/>
      <c r="B600" s="21"/>
      <c r="C600" s="21"/>
      <c r="D600" s="21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</row>
    <row r="601" spans="1:17" s="19" customFormat="1" ht="12.75">
      <c r="A601" s="21"/>
      <c r="B601" s="21"/>
      <c r="C601" s="21"/>
      <c r="D601" s="156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</row>
    <row r="602" spans="1:17" s="19" customFormat="1" ht="12.75">
      <c r="A602" s="21"/>
      <c r="B602" s="21"/>
      <c r="C602" s="21"/>
      <c r="D602" s="21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</row>
    <row r="603" spans="1:17" s="19" customFormat="1" ht="12.75">
      <c r="A603" s="21"/>
      <c r="B603" s="21"/>
      <c r="C603" s="21"/>
      <c r="D603" s="21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</row>
    <row r="604" spans="1:17" s="19" customFormat="1" ht="12.75">
      <c r="A604" s="21"/>
      <c r="B604" s="21"/>
      <c r="C604" s="21"/>
      <c r="D604" s="21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</row>
    <row r="605" spans="1:17" s="19" customFormat="1" ht="12.75">
      <c r="A605" s="21"/>
      <c r="B605" s="21"/>
      <c r="C605" s="21"/>
      <c r="D605" s="21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</row>
    <row r="606" spans="1:17" s="19" customFormat="1" ht="12.75">
      <c r="A606" s="21"/>
      <c r="B606" s="21"/>
      <c r="C606" s="21"/>
      <c r="D606" s="21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</row>
    <row r="607" spans="1:17" s="19" customFormat="1" ht="12.75">
      <c r="A607" s="21"/>
      <c r="B607" s="21"/>
      <c r="C607" s="21"/>
      <c r="D607" s="21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</row>
    <row r="608" spans="1:17" s="19" customFormat="1" ht="12.75">
      <c r="A608" s="21"/>
      <c r="B608" s="21"/>
      <c r="C608" s="21"/>
      <c r="D608" s="21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</row>
    <row r="609" spans="1:17" s="19" customFormat="1" ht="12.75">
      <c r="A609" s="21"/>
      <c r="B609" s="21"/>
      <c r="C609" s="21"/>
      <c r="D609" s="156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</row>
    <row r="610" spans="1:17" s="19" customFormat="1" ht="12.75">
      <c r="A610" s="21"/>
      <c r="B610" s="21"/>
      <c r="C610" s="21"/>
      <c r="D610" s="21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</row>
    <row r="611" spans="1:17" s="19" customFormat="1" ht="12.75">
      <c r="A611" s="21"/>
      <c r="B611" s="21"/>
      <c r="C611" s="21"/>
      <c r="D611" s="21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</row>
    <row r="612" spans="1:17" s="19" customFormat="1" ht="12.75">
      <c r="A612" s="21"/>
      <c r="B612" s="21"/>
      <c r="C612" s="21"/>
      <c r="D612" s="21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</row>
    <row r="613" spans="1:17" s="19" customFormat="1" ht="12.75">
      <c r="A613" s="21"/>
      <c r="B613" s="21"/>
      <c r="C613" s="21"/>
      <c r="D613" s="21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</row>
    <row r="614" spans="1:17" s="19" customFormat="1" ht="12.75">
      <c r="A614" s="21"/>
      <c r="B614" s="21"/>
      <c r="C614" s="21"/>
      <c r="D614" s="21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</row>
    <row r="615" spans="1:17" s="19" customFormat="1" ht="12.75">
      <c r="A615" s="21"/>
      <c r="B615" s="21"/>
      <c r="C615" s="21"/>
      <c r="D615" s="21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</row>
    <row r="616" spans="1:17" s="19" customFormat="1" ht="12.75">
      <c r="A616" s="21"/>
      <c r="B616" s="21"/>
      <c r="C616" s="21"/>
      <c r="D616" s="21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</row>
    <row r="617" spans="1:17" s="19" customFormat="1" ht="12.75">
      <c r="A617" s="21"/>
      <c r="B617" s="21"/>
      <c r="C617" s="21"/>
      <c r="D617" s="21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</row>
    <row r="618" spans="1:17" s="19" customFormat="1" ht="12.75">
      <c r="A618" s="21"/>
      <c r="B618" s="21"/>
      <c r="C618" s="21"/>
      <c r="D618" s="21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</row>
    <row r="619" spans="1:17" s="19" customFormat="1" ht="12.75">
      <c r="A619" s="21"/>
      <c r="B619" s="21"/>
      <c r="C619" s="21"/>
      <c r="D619" s="156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</row>
    <row r="620" spans="1:17" s="19" customFormat="1" ht="12.75">
      <c r="A620" s="21"/>
      <c r="B620" s="21"/>
      <c r="C620" s="21"/>
      <c r="D620" s="21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</row>
    <row r="621" spans="1:17" s="19" customFormat="1" ht="12.75">
      <c r="A621" s="21"/>
      <c r="B621" s="21"/>
      <c r="C621" s="21"/>
      <c r="D621" s="21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</row>
    <row r="622" spans="1:17" s="19" customFormat="1" ht="12.75">
      <c r="A622" s="21"/>
      <c r="B622" s="21"/>
      <c r="C622" s="21"/>
      <c r="D622" s="21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</row>
    <row r="623" spans="1:17" s="19" customFormat="1" ht="12.75">
      <c r="A623" s="21"/>
      <c r="B623" s="21"/>
      <c r="C623" s="21"/>
      <c r="D623" s="21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</row>
    <row r="624" spans="1:17" s="19" customFormat="1" ht="12.75">
      <c r="A624" s="21"/>
      <c r="B624" s="21"/>
      <c r="C624" s="21"/>
      <c r="D624" s="21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</row>
    <row r="625" spans="1:17" s="19" customFormat="1" ht="12.75">
      <c r="A625" s="21"/>
      <c r="B625" s="21"/>
      <c r="C625" s="21"/>
      <c r="D625" s="21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</row>
    <row r="626" spans="1:17" s="19" customFormat="1" ht="12.75">
      <c r="A626" s="21"/>
      <c r="B626" s="21"/>
      <c r="C626" s="21"/>
      <c r="D626" s="21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</row>
    <row r="627" spans="1:17" s="19" customFormat="1" ht="12.75">
      <c r="A627" s="21"/>
      <c r="B627" s="21"/>
      <c r="C627" s="21"/>
      <c r="D627" s="21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</row>
    <row r="628" spans="1:17" s="19" customFormat="1" ht="12.75">
      <c r="A628" s="21"/>
      <c r="B628" s="21"/>
      <c r="C628" s="21"/>
      <c r="D628" s="21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</row>
    <row r="629" spans="1:17" s="19" customFormat="1" ht="12.75">
      <c r="A629" s="21"/>
      <c r="B629" s="21"/>
      <c r="C629" s="21"/>
      <c r="D629" s="21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</row>
    <row r="630" spans="1:17" s="19" customFormat="1" ht="12.75">
      <c r="A630" s="21"/>
      <c r="B630" s="21"/>
      <c r="C630" s="21"/>
      <c r="D630" s="21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</row>
    <row r="631" spans="1:17" s="19" customFormat="1" ht="12.75">
      <c r="A631" s="21"/>
      <c r="B631" s="21"/>
      <c r="C631" s="21"/>
      <c r="D631" s="21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</row>
    <row r="632" spans="1:17" s="19" customFormat="1" ht="12.75">
      <c r="A632" s="21"/>
      <c r="B632" s="21"/>
      <c r="C632" s="21"/>
      <c r="D632" s="21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</row>
    <row r="633" spans="1:17" s="19" customFormat="1" ht="12.75">
      <c r="A633" s="154"/>
      <c r="B633" s="154"/>
      <c r="C633" s="21"/>
      <c r="D633" s="21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</row>
    <row r="634" spans="1:17" s="19" customFormat="1" ht="12.75">
      <c r="A634" s="21"/>
      <c r="B634" s="21"/>
      <c r="C634" s="21"/>
      <c r="D634" s="21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</row>
    <row r="635" spans="1:17" s="19" customFormat="1" ht="12.75">
      <c r="A635" s="21"/>
      <c r="B635" s="21"/>
      <c r="C635" s="21"/>
      <c r="D635" s="21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</row>
    <row r="636" spans="1:17" s="19" customFormat="1" ht="12.75">
      <c r="A636" s="21"/>
      <c r="B636" s="21"/>
      <c r="C636" s="21"/>
      <c r="D636" s="21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</row>
    <row r="637" spans="1:17" s="19" customFormat="1" ht="12.75">
      <c r="A637" s="21"/>
      <c r="B637" s="21"/>
      <c r="C637" s="21"/>
      <c r="D637" s="21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</row>
    <row r="638" spans="1:17" s="19" customFormat="1" ht="12.75">
      <c r="A638" s="21"/>
      <c r="B638" s="21"/>
      <c r="C638" s="21"/>
      <c r="D638" s="21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</row>
    <row r="639" spans="1:17" s="19" customFormat="1" ht="12.75">
      <c r="A639" s="21"/>
      <c r="B639" s="21"/>
      <c r="C639" s="21"/>
      <c r="D639" s="21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</row>
    <row r="640" spans="1:17" s="19" customFormat="1" ht="12.75">
      <c r="A640" s="21"/>
      <c r="B640" s="21"/>
      <c r="C640" s="21"/>
      <c r="D640" s="21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</row>
    <row r="641" spans="1:17" s="19" customFormat="1" ht="12.75">
      <c r="A641" s="21"/>
      <c r="B641" s="21"/>
      <c r="C641" s="21"/>
      <c r="D641" s="21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</row>
    <row r="642" spans="1:17" s="19" customFormat="1" ht="12.75">
      <c r="A642" s="21"/>
      <c r="B642" s="21"/>
      <c r="C642" s="21"/>
      <c r="D642" s="21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</row>
    <row r="643" spans="1:17" s="19" customFormat="1" ht="12.75">
      <c r="A643" s="21"/>
      <c r="B643" s="21"/>
      <c r="C643" s="21"/>
      <c r="D643" s="21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</row>
    <row r="644" spans="1:17" s="19" customFormat="1" ht="12.75">
      <c r="A644" s="21"/>
      <c r="B644" s="21"/>
      <c r="C644" s="21"/>
      <c r="D644" s="21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</row>
    <row r="645" spans="1:17" s="19" customFormat="1" ht="12.75">
      <c r="A645" s="21"/>
      <c r="B645" s="21"/>
      <c r="C645" s="21"/>
      <c r="D645" s="21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</row>
    <row r="646" spans="1:17" s="19" customFormat="1" ht="12.75">
      <c r="A646" s="21"/>
      <c r="B646" s="21"/>
      <c r="C646" s="21"/>
      <c r="D646" s="21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</row>
    <row r="647" spans="1:17" s="19" customFormat="1" ht="12.75">
      <c r="A647" s="21"/>
      <c r="B647" s="21"/>
      <c r="C647" s="21"/>
      <c r="D647" s="21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</row>
    <row r="648" spans="1:17" s="19" customFormat="1" ht="12.75">
      <c r="A648" s="21"/>
      <c r="B648" s="21"/>
      <c r="C648" s="21"/>
      <c r="D648" s="21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</row>
    <row r="649" spans="1:17" s="19" customFormat="1" ht="12.75">
      <c r="A649" s="21"/>
      <c r="B649" s="21"/>
      <c r="C649" s="21"/>
      <c r="D649" s="21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</row>
    <row r="650" spans="1:17" s="19" customFormat="1" ht="12.75">
      <c r="A650" s="21"/>
      <c r="B650" s="21"/>
      <c r="C650" s="21"/>
      <c r="D650" s="21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</row>
    <row r="651" spans="1:17" s="19" customFormat="1" ht="12.75">
      <c r="A651" s="21"/>
      <c r="B651" s="21"/>
      <c r="C651" s="21"/>
      <c r="D651" s="21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</row>
    <row r="652" spans="1:17" s="19" customFormat="1" ht="12.75">
      <c r="A652" s="21"/>
      <c r="B652" s="21"/>
      <c r="C652" s="21"/>
      <c r="D652" s="21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</row>
    <row r="653" spans="1:17" s="19" customFormat="1" ht="12.75">
      <c r="A653" s="21"/>
      <c r="B653" s="21"/>
      <c r="C653" s="21"/>
      <c r="D653" s="21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</row>
    <row r="654" spans="1:17" s="19" customFormat="1" ht="12.75">
      <c r="A654" s="21"/>
      <c r="B654" s="21"/>
      <c r="C654" s="21"/>
      <c r="D654" s="21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</row>
    <row r="655" spans="1:17" s="19" customFormat="1" ht="12.75">
      <c r="A655" s="21"/>
      <c r="B655" s="21"/>
      <c r="C655" s="21"/>
      <c r="D655" s="21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</row>
    <row r="656" spans="1:17" s="19" customFormat="1" ht="12.75">
      <c r="A656" s="21"/>
      <c r="B656" s="21"/>
      <c r="C656" s="21"/>
      <c r="D656" s="21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</row>
    <row r="657" spans="1:17" s="19" customFormat="1" ht="12.75">
      <c r="A657" s="21"/>
      <c r="B657" s="21"/>
      <c r="C657" s="21"/>
      <c r="D657" s="21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</row>
    <row r="658" spans="1:17" s="19" customFormat="1" ht="12.75">
      <c r="A658" s="21"/>
      <c r="B658" s="21"/>
      <c r="C658" s="21"/>
      <c r="D658" s="21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</row>
    <row r="659" spans="1:17" s="19" customFormat="1" ht="12.75">
      <c r="A659" s="21"/>
      <c r="B659" s="21"/>
      <c r="C659" s="21"/>
      <c r="D659" s="21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</row>
    <row r="660" spans="1:17" s="19" customFormat="1" ht="12.75">
      <c r="A660" s="21"/>
      <c r="B660" s="21"/>
      <c r="C660" s="21"/>
      <c r="D660" s="21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</row>
    <row r="661" spans="1:17" s="19" customFormat="1" ht="12.75">
      <c r="A661" s="21"/>
      <c r="B661" s="21"/>
      <c r="C661" s="21"/>
      <c r="D661" s="21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</row>
    <row r="662" spans="1:17" s="19" customFormat="1" ht="12.75">
      <c r="A662" s="21"/>
      <c r="B662" s="21"/>
      <c r="C662" s="21"/>
      <c r="D662" s="21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</row>
    <row r="663" spans="1:17" s="19" customFormat="1" ht="12.75">
      <c r="A663" s="21"/>
      <c r="B663" s="21"/>
      <c r="C663" s="21"/>
      <c r="D663" s="21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</row>
    <row r="664" spans="1:17" s="19" customFormat="1" ht="12.75">
      <c r="A664" s="21"/>
      <c r="B664" s="21"/>
      <c r="C664" s="21"/>
      <c r="D664" s="21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</row>
    <row r="665" spans="1:17" s="19" customFormat="1" ht="12.75">
      <c r="A665" s="21"/>
      <c r="B665" s="21"/>
      <c r="C665" s="21"/>
      <c r="D665" s="21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</row>
    <row r="666" spans="1:17" s="19" customFormat="1" ht="12.75">
      <c r="A666" s="21"/>
      <c r="B666" s="21"/>
      <c r="C666" s="21"/>
      <c r="D666" s="21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</row>
    <row r="667" spans="1:17" s="19" customFormat="1" ht="12.75">
      <c r="A667" s="21"/>
      <c r="B667" s="21"/>
      <c r="C667" s="21"/>
      <c r="D667" s="21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</row>
    <row r="668" spans="1:17" s="19" customFormat="1" ht="12.75">
      <c r="A668" s="21"/>
      <c r="B668" s="21"/>
      <c r="C668" s="21"/>
      <c r="D668" s="21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</row>
    <row r="669" spans="1:17" s="19" customFormat="1" ht="12.75">
      <c r="A669" s="21"/>
      <c r="B669" s="21"/>
      <c r="C669" s="21"/>
      <c r="D669" s="21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</row>
    <row r="670" spans="1:17" s="19" customFormat="1" ht="12.75">
      <c r="A670" s="21"/>
      <c r="B670" s="21"/>
      <c r="C670" s="21"/>
      <c r="D670" s="21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</row>
    <row r="671" spans="1:17" s="19" customFormat="1" ht="12.75">
      <c r="A671" s="21"/>
      <c r="B671" s="21"/>
      <c r="C671" s="21"/>
      <c r="D671" s="21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</row>
    <row r="672" spans="1:17" s="19" customFormat="1" ht="12.75">
      <c r="A672" s="21"/>
      <c r="B672" s="21"/>
      <c r="C672" s="21"/>
      <c r="D672" s="21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</row>
    <row r="673" spans="1:17" s="19" customFormat="1" ht="12.75">
      <c r="A673" s="21"/>
      <c r="B673" s="21"/>
      <c r="C673" s="21"/>
      <c r="D673" s="21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</row>
    <row r="674" spans="1:17" s="19" customFormat="1" ht="12.75">
      <c r="A674" s="21"/>
      <c r="B674" s="21"/>
      <c r="C674" s="21"/>
      <c r="D674" s="21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</row>
    <row r="675" spans="1:17" s="19" customFormat="1" ht="12.75">
      <c r="A675" s="21"/>
      <c r="B675" s="21"/>
      <c r="C675" s="21"/>
      <c r="D675" s="21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</row>
    <row r="676" spans="1:17" s="19" customFormat="1" ht="12.75">
      <c r="A676" s="21"/>
      <c r="B676" s="21"/>
      <c r="C676" s="21"/>
      <c r="D676" s="21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</row>
    <row r="677" spans="1:17" s="19" customFormat="1" ht="12.75">
      <c r="A677" s="21"/>
      <c r="B677" s="21"/>
      <c r="C677" s="21"/>
      <c r="D677" s="21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</row>
    <row r="678" spans="1:17" s="19" customFormat="1" ht="12.75">
      <c r="A678" s="21"/>
      <c r="B678" s="21"/>
      <c r="C678" s="21"/>
      <c r="D678" s="21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</row>
    <row r="679" spans="1:17" s="19" customFormat="1" ht="12.75">
      <c r="A679" s="21"/>
      <c r="B679" s="21"/>
      <c r="C679" s="21"/>
      <c r="D679" s="21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</row>
    <row r="680" spans="1:17" s="19" customFormat="1" ht="12.75">
      <c r="A680" s="21"/>
      <c r="B680" s="21"/>
      <c r="C680" s="21"/>
      <c r="D680" s="21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</row>
    <row r="681" spans="1:17" s="19" customFormat="1" ht="12.75">
      <c r="A681" s="21"/>
      <c r="B681" s="21"/>
      <c r="C681" s="21"/>
      <c r="D681" s="21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</row>
    <row r="682" spans="1:17" s="19" customFormat="1" ht="12.75">
      <c r="A682" s="21"/>
      <c r="B682" s="21"/>
      <c r="C682" s="21"/>
      <c r="D682" s="21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</row>
    <row r="683" spans="1:17" s="19" customFormat="1" ht="12.75">
      <c r="A683" s="21"/>
      <c r="B683" s="21"/>
      <c r="C683" s="21"/>
      <c r="D683" s="21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</row>
    <row r="684" spans="1:17" s="19" customFormat="1" ht="12.75">
      <c r="A684" s="21"/>
      <c r="B684" s="21"/>
      <c r="C684" s="21"/>
      <c r="D684" s="21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</row>
    <row r="685" spans="1:17" s="19" customFormat="1" ht="12.75">
      <c r="A685" s="21"/>
      <c r="B685" s="21"/>
      <c r="C685" s="21"/>
      <c r="D685" s="21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</row>
    <row r="686" spans="1:17" s="19" customFormat="1" ht="12.75">
      <c r="A686" s="21"/>
      <c r="B686" s="21"/>
      <c r="C686" s="21"/>
      <c r="D686" s="21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</row>
    <row r="687" spans="1:17" s="19" customFormat="1" ht="12.75">
      <c r="A687" s="21"/>
      <c r="B687" s="21"/>
      <c r="C687" s="21"/>
      <c r="D687" s="21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</row>
    <row r="688" spans="1:17" s="19" customFormat="1" ht="12.75">
      <c r="A688" s="21"/>
      <c r="B688" s="21"/>
      <c r="C688" s="21"/>
      <c r="D688" s="21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</row>
    <row r="689" spans="1:17" s="19" customFormat="1" ht="12.75">
      <c r="A689" s="21"/>
      <c r="B689" s="21"/>
      <c r="C689" s="21"/>
      <c r="D689" s="21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</row>
  </sheetData>
  <sheetProtection/>
  <mergeCells count="1">
    <mergeCell ref="A5:Q5"/>
  </mergeCells>
  <printOptions horizontalCentered="1"/>
  <pageMargins left="0.37" right="0.5118110236220472" top="0.7874015748031497" bottom="0.5905511811023623" header="0.5118110236220472" footer="0.31496062992125984"/>
  <pageSetup firstPageNumber="1" useFirstPageNumber="1" horizontalDpi="600" verticalDpi="600" orientation="portrait" paperSize="9" r:id="rId3"/>
  <headerFooter alignWithMargins="0">
    <oddFooter>&amp;C&amp;8Wydatki - str.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R12" sqref="R12"/>
    </sheetView>
  </sheetViews>
  <sheetFormatPr defaultColWidth="9.00390625" defaultRowHeight="12.75"/>
  <cols>
    <col min="1" max="1" width="5.625" style="6" customWidth="1"/>
    <col min="2" max="2" width="7.25390625" style="6" bestFit="1" customWidth="1"/>
    <col min="3" max="3" width="5.75390625" style="6" customWidth="1"/>
    <col min="4" max="4" width="32.75390625" style="6" customWidth="1"/>
    <col min="5" max="5" width="13.75390625" style="6" hidden="1" customWidth="1"/>
    <col min="6" max="6" width="14.875" style="6" hidden="1" customWidth="1"/>
    <col min="7" max="7" width="13.75390625" style="6" hidden="1" customWidth="1"/>
    <col min="8" max="8" width="13.00390625" style="6" hidden="1" customWidth="1"/>
    <col min="9" max="9" width="13.75390625" style="6" hidden="1" customWidth="1"/>
    <col min="10" max="10" width="13.00390625" style="6" hidden="1" customWidth="1"/>
    <col min="11" max="11" width="13.75390625" style="6" hidden="1" customWidth="1"/>
    <col min="12" max="12" width="13.00390625" style="6" hidden="1" customWidth="1"/>
    <col min="13" max="13" width="13.75390625" style="6" customWidth="1"/>
    <col min="14" max="14" width="13.00390625" style="6" customWidth="1"/>
    <col min="15" max="15" width="13.75390625" style="6" customWidth="1"/>
  </cols>
  <sheetData>
    <row r="1" spans="1:15" ht="12.75">
      <c r="A1" s="40"/>
      <c r="B1" s="40"/>
      <c r="C1" s="40"/>
      <c r="D1" s="40"/>
      <c r="E1" s="41" t="s">
        <v>287</v>
      </c>
      <c r="F1" s="41"/>
      <c r="G1" s="41" t="s">
        <v>315</v>
      </c>
      <c r="H1" s="41"/>
      <c r="I1" s="41" t="s">
        <v>324</v>
      </c>
      <c r="J1" s="41"/>
      <c r="K1" s="41" t="s">
        <v>328</v>
      </c>
      <c r="L1" s="41"/>
      <c r="M1" s="41" t="s">
        <v>337</v>
      </c>
      <c r="N1" s="41"/>
      <c r="O1" s="41"/>
    </row>
    <row r="2" spans="1:15" ht="12.75">
      <c r="A2" s="40"/>
      <c r="B2" s="40"/>
      <c r="C2" s="40"/>
      <c r="D2" s="40"/>
      <c r="E2" s="41" t="s">
        <v>284</v>
      </c>
      <c r="F2" s="41"/>
      <c r="G2" s="41" t="s">
        <v>313</v>
      </c>
      <c r="H2" s="41"/>
      <c r="I2" s="41" t="s">
        <v>322</v>
      </c>
      <c r="J2" s="41"/>
      <c r="K2" s="41" t="s">
        <v>331</v>
      </c>
      <c r="L2" s="41"/>
      <c r="M2" s="41" t="s">
        <v>333</v>
      </c>
      <c r="N2" s="41"/>
      <c r="O2" s="41"/>
    </row>
    <row r="3" spans="1:15" ht="12.75">
      <c r="A3" s="40"/>
      <c r="B3" s="40"/>
      <c r="C3" s="40"/>
      <c r="D3" s="40"/>
      <c r="E3" s="41" t="s">
        <v>288</v>
      </c>
      <c r="F3" s="41"/>
      <c r="G3" s="41" t="s">
        <v>287</v>
      </c>
      <c r="H3" s="41"/>
      <c r="I3" s="41" t="s">
        <v>315</v>
      </c>
      <c r="J3" s="41"/>
      <c r="K3" s="41" t="s">
        <v>324</v>
      </c>
      <c r="L3" s="41"/>
      <c r="M3" s="41" t="s">
        <v>328</v>
      </c>
      <c r="N3" s="41"/>
      <c r="O3" s="41"/>
    </row>
    <row r="4" spans="1:15" ht="12.75">
      <c r="A4" s="40"/>
      <c r="B4" s="40"/>
      <c r="C4" s="40"/>
      <c r="D4" s="40"/>
      <c r="E4" s="41" t="s">
        <v>282</v>
      </c>
      <c r="F4" s="41"/>
      <c r="G4" s="41" t="s">
        <v>296</v>
      </c>
      <c r="H4" s="41"/>
      <c r="I4" s="41" t="s">
        <v>317</v>
      </c>
      <c r="J4" s="41"/>
      <c r="K4" s="41" t="s">
        <v>327</v>
      </c>
      <c r="L4" s="41"/>
      <c r="M4" s="41" t="s">
        <v>332</v>
      </c>
      <c r="N4" s="41"/>
      <c r="O4" s="41"/>
    </row>
    <row r="5" spans="1:15" ht="27.75" customHeight="1">
      <c r="A5" s="163" t="s">
        <v>290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</row>
    <row r="6" spans="1:15" s="6" customFormat="1" ht="28.5" customHeight="1">
      <c r="A6" s="45" t="s">
        <v>0</v>
      </c>
      <c r="B6" s="45" t="s">
        <v>1</v>
      </c>
      <c r="C6" s="80" t="s">
        <v>2</v>
      </c>
      <c r="D6" s="45" t="s">
        <v>3</v>
      </c>
      <c r="E6" s="89" t="s">
        <v>144</v>
      </c>
      <c r="F6" s="89" t="s">
        <v>275</v>
      </c>
      <c r="G6" s="89" t="s">
        <v>145</v>
      </c>
      <c r="H6" s="89" t="s">
        <v>273</v>
      </c>
      <c r="I6" s="89" t="s">
        <v>145</v>
      </c>
      <c r="J6" s="89" t="s">
        <v>273</v>
      </c>
      <c r="K6" s="89" t="s">
        <v>145</v>
      </c>
      <c r="L6" s="89" t="s">
        <v>273</v>
      </c>
      <c r="M6" s="89" t="s">
        <v>145</v>
      </c>
      <c r="N6" s="89" t="s">
        <v>273</v>
      </c>
      <c r="O6" s="89" t="s">
        <v>274</v>
      </c>
    </row>
    <row r="7" spans="1:15" s="6" customFormat="1" ht="28.5" customHeight="1">
      <c r="A7" s="29" t="s">
        <v>4</v>
      </c>
      <c r="B7" s="45"/>
      <c r="C7" s="80"/>
      <c r="D7" s="32" t="s">
        <v>5</v>
      </c>
      <c r="E7" s="89"/>
      <c r="F7" s="89"/>
      <c r="G7" s="89"/>
      <c r="H7" s="89"/>
      <c r="I7" s="89"/>
      <c r="J7" s="89"/>
      <c r="K7" s="89"/>
      <c r="L7" s="89"/>
      <c r="M7" s="48">
        <f aca="true" t="shared" si="0" ref="M7:O8">SUM(M8)</f>
        <v>0</v>
      </c>
      <c r="N7" s="48">
        <f t="shared" si="0"/>
        <v>285502</v>
      </c>
      <c r="O7" s="48">
        <f t="shared" si="0"/>
        <v>285502</v>
      </c>
    </row>
    <row r="8" spans="1:15" s="113" customFormat="1" ht="28.5" customHeight="1">
      <c r="A8" s="157"/>
      <c r="B8" s="158" t="s">
        <v>239</v>
      </c>
      <c r="C8" s="159"/>
      <c r="D8" s="161" t="s">
        <v>6</v>
      </c>
      <c r="E8" s="160"/>
      <c r="F8" s="160"/>
      <c r="G8" s="160"/>
      <c r="H8" s="160"/>
      <c r="I8" s="160"/>
      <c r="J8" s="160"/>
      <c r="K8" s="160"/>
      <c r="L8" s="160"/>
      <c r="M8" s="151">
        <f t="shared" si="0"/>
        <v>0</v>
      </c>
      <c r="N8" s="151">
        <f t="shared" si="0"/>
        <v>285502</v>
      </c>
      <c r="O8" s="151">
        <f t="shared" si="0"/>
        <v>285502</v>
      </c>
    </row>
    <row r="9" spans="1:15" s="113" customFormat="1" ht="56.25">
      <c r="A9" s="157"/>
      <c r="B9" s="157"/>
      <c r="C9" s="159">
        <v>2010</v>
      </c>
      <c r="D9" s="34" t="s">
        <v>277</v>
      </c>
      <c r="E9" s="160"/>
      <c r="F9" s="160"/>
      <c r="G9" s="160"/>
      <c r="H9" s="160"/>
      <c r="I9" s="160"/>
      <c r="J9" s="160"/>
      <c r="K9" s="160"/>
      <c r="L9" s="160"/>
      <c r="M9" s="151">
        <v>0</v>
      </c>
      <c r="N9" s="151">
        <v>285502</v>
      </c>
      <c r="O9" s="151">
        <f>SUM(M9:N9)</f>
        <v>285502</v>
      </c>
    </row>
    <row r="10" spans="1:15" s="6" customFormat="1" ht="24" customHeight="1">
      <c r="A10" s="29" t="s">
        <v>15</v>
      </c>
      <c r="B10" s="23"/>
      <c r="C10" s="39"/>
      <c r="D10" s="32" t="s">
        <v>16</v>
      </c>
      <c r="E10" s="48">
        <f aca="true" t="shared" si="1" ref="E10:O10">SUM(E11)</f>
        <v>156600</v>
      </c>
      <c r="F10" s="48">
        <f t="shared" si="1"/>
        <v>0</v>
      </c>
      <c r="G10" s="48">
        <f t="shared" si="1"/>
        <v>156600</v>
      </c>
      <c r="H10" s="48">
        <f t="shared" si="1"/>
        <v>0</v>
      </c>
      <c r="I10" s="48">
        <f t="shared" si="1"/>
        <v>156600</v>
      </c>
      <c r="J10" s="48">
        <f t="shared" si="1"/>
        <v>0</v>
      </c>
      <c r="K10" s="48">
        <f t="shared" si="1"/>
        <v>156600</v>
      </c>
      <c r="L10" s="48">
        <f t="shared" si="1"/>
        <v>0</v>
      </c>
      <c r="M10" s="48">
        <f t="shared" si="1"/>
        <v>156600</v>
      </c>
      <c r="N10" s="48">
        <f t="shared" si="1"/>
        <v>0</v>
      </c>
      <c r="O10" s="48">
        <f t="shared" si="1"/>
        <v>156600</v>
      </c>
    </row>
    <row r="11" spans="1:15" s="22" customFormat="1" ht="21.75" customHeight="1">
      <c r="A11" s="52"/>
      <c r="B11" s="52">
        <v>75011</v>
      </c>
      <c r="C11" s="53"/>
      <c r="D11" s="34" t="s">
        <v>17</v>
      </c>
      <c r="E11" s="78">
        <f aca="true" t="shared" si="2" ref="E11:O11">E12</f>
        <v>156600</v>
      </c>
      <c r="F11" s="78">
        <f t="shared" si="2"/>
        <v>0</v>
      </c>
      <c r="G11" s="78">
        <f t="shared" si="2"/>
        <v>156600</v>
      </c>
      <c r="H11" s="78">
        <f t="shared" si="2"/>
        <v>0</v>
      </c>
      <c r="I11" s="78">
        <f t="shared" si="2"/>
        <v>156600</v>
      </c>
      <c r="J11" s="78">
        <f t="shared" si="2"/>
        <v>0</v>
      </c>
      <c r="K11" s="78">
        <f t="shared" si="2"/>
        <v>156600</v>
      </c>
      <c r="L11" s="78">
        <f t="shared" si="2"/>
        <v>0</v>
      </c>
      <c r="M11" s="78">
        <f t="shared" si="2"/>
        <v>156600</v>
      </c>
      <c r="N11" s="78">
        <f t="shared" si="2"/>
        <v>0</v>
      </c>
      <c r="O11" s="78">
        <f t="shared" si="2"/>
        <v>156600</v>
      </c>
    </row>
    <row r="12" spans="1:15" s="22" customFormat="1" ht="56.25">
      <c r="A12" s="52"/>
      <c r="B12" s="71"/>
      <c r="C12" s="54" t="s">
        <v>181</v>
      </c>
      <c r="D12" s="34" t="s">
        <v>277</v>
      </c>
      <c r="E12" s="78">
        <v>156600</v>
      </c>
      <c r="F12" s="78"/>
      <c r="G12" s="78">
        <f>SUM(E12:F12)</f>
        <v>156600</v>
      </c>
      <c r="H12" s="78"/>
      <c r="I12" s="78">
        <f>SUM(G12:H12)</f>
        <v>156600</v>
      </c>
      <c r="J12" s="78"/>
      <c r="K12" s="78">
        <f>SUM(I12:J12)</f>
        <v>156600</v>
      </c>
      <c r="L12" s="78"/>
      <c r="M12" s="78">
        <f>SUM(K12:L12)</f>
        <v>156600</v>
      </c>
      <c r="N12" s="78"/>
      <c r="O12" s="78">
        <f>SUM(M12:N12)</f>
        <v>156600</v>
      </c>
    </row>
    <row r="13" spans="1:15" s="6" customFormat="1" ht="40.5" customHeight="1">
      <c r="A13" s="29">
        <v>751</v>
      </c>
      <c r="B13" s="31"/>
      <c r="C13" s="49"/>
      <c r="D13" s="32" t="s">
        <v>20</v>
      </c>
      <c r="E13" s="50">
        <f>SUM(E14)</f>
        <v>3910</v>
      </c>
      <c r="F13" s="50">
        <f>SUM(F14)</f>
        <v>0</v>
      </c>
      <c r="G13" s="50">
        <f>SUM(G14)</f>
        <v>3910</v>
      </c>
      <c r="H13" s="50">
        <f>SUM(H14)</f>
        <v>0</v>
      </c>
      <c r="I13" s="50">
        <f aca="true" t="shared" si="3" ref="I13:O13">SUM(I14,I16)</f>
        <v>3910</v>
      </c>
      <c r="J13" s="50">
        <f t="shared" si="3"/>
        <v>19932</v>
      </c>
      <c r="K13" s="50">
        <f t="shared" si="3"/>
        <v>23842</v>
      </c>
      <c r="L13" s="50">
        <f t="shared" si="3"/>
        <v>0</v>
      </c>
      <c r="M13" s="50">
        <f t="shared" si="3"/>
        <v>23842</v>
      </c>
      <c r="N13" s="50">
        <f t="shared" si="3"/>
        <v>1000</v>
      </c>
      <c r="O13" s="50">
        <f t="shared" si="3"/>
        <v>24842</v>
      </c>
    </row>
    <row r="14" spans="1:15" s="22" customFormat="1" ht="22.5">
      <c r="A14" s="71"/>
      <c r="B14" s="52">
        <v>75101</v>
      </c>
      <c r="C14" s="53"/>
      <c r="D14" s="34" t="s">
        <v>21</v>
      </c>
      <c r="E14" s="79">
        <f aca="true" t="shared" si="4" ref="E14:O14">E15</f>
        <v>3910</v>
      </c>
      <c r="F14" s="79">
        <f t="shared" si="4"/>
        <v>0</v>
      </c>
      <c r="G14" s="79">
        <f t="shared" si="4"/>
        <v>3910</v>
      </c>
      <c r="H14" s="79">
        <f t="shared" si="4"/>
        <v>0</v>
      </c>
      <c r="I14" s="79">
        <f t="shared" si="4"/>
        <v>3910</v>
      </c>
      <c r="J14" s="79">
        <f t="shared" si="4"/>
        <v>0</v>
      </c>
      <c r="K14" s="79">
        <f t="shared" si="4"/>
        <v>3910</v>
      </c>
      <c r="L14" s="79">
        <f t="shared" si="4"/>
        <v>0</v>
      </c>
      <c r="M14" s="79">
        <f t="shared" si="4"/>
        <v>3910</v>
      </c>
      <c r="N14" s="79">
        <f t="shared" si="4"/>
        <v>0</v>
      </c>
      <c r="O14" s="79">
        <f t="shared" si="4"/>
        <v>3910</v>
      </c>
    </row>
    <row r="15" spans="1:15" s="22" customFormat="1" ht="56.25">
      <c r="A15" s="71"/>
      <c r="B15" s="52"/>
      <c r="C15" s="54" t="s">
        <v>181</v>
      </c>
      <c r="D15" s="34" t="s">
        <v>278</v>
      </c>
      <c r="E15" s="79">
        <v>3910</v>
      </c>
      <c r="F15" s="79"/>
      <c r="G15" s="79">
        <f>SUM(E15:F15)</f>
        <v>3910</v>
      </c>
      <c r="H15" s="79"/>
      <c r="I15" s="79">
        <f>SUM(G15:H15)</f>
        <v>3910</v>
      </c>
      <c r="J15" s="79"/>
      <c r="K15" s="79">
        <f>SUM(I15:J15)</f>
        <v>3910</v>
      </c>
      <c r="L15" s="79"/>
      <c r="M15" s="79">
        <f>SUM(K15:L15)</f>
        <v>3910</v>
      </c>
      <c r="N15" s="79"/>
      <c r="O15" s="79">
        <f>SUM(M15:N15)</f>
        <v>3910</v>
      </c>
    </row>
    <row r="16" spans="1:15" s="22" customFormat="1" ht="24" customHeight="1">
      <c r="A16" s="71"/>
      <c r="B16" s="52">
        <v>75113</v>
      </c>
      <c r="C16" s="52"/>
      <c r="D16" s="34" t="s">
        <v>318</v>
      </c>
      <c r="E16" s="79"/>
      <c r="F16" s="79"/>
      <c r="G16" s="79"/>
      <c r="H16" s="79"/>
      <c r="I16" s="79">
        <f aca="true" t="shared" si="5" ref="I16:O16">SUM(I17)</f>
        <v>0</v>
      </c>
      <c r="J16" s="79">
        <f t="shared" si="5"/>
        <v>19932</v>
      </c>
      <c r="K16" s="79">
        <f t="shared" si="5"/>
        <v>19932</v>
      </c>
      <c r="L16" s="79">
        <f t="shared" si="5"/>
        <v>0</v>
      </c>
      <c r="M16" s="79">
        <f t="shared" si="5"/>
        <v>19932</v>
      </c>
      <c r="N16" s="79">
        <f t="shared" si="5"/>
        <v>1000</v>
      </c>
      <c r="O16" s="79">
        <f t="shared" si="5"/>
        <v>20932</v>
      </c>
    </row>
    <row r="17" spans="1:15" s="22" customFormat="1" ht="56.25">
      <c r="A17" s="71"/>
      <c r="B17" s="52"/>
      <c r="C17" s="52">
        <v>2010</v>
      </c>
      <c r="D17" s="34" t="s">
        <v>278</v>
      </c>
      <c r="E17" s="79"/>
      <c r="F17" s="79"/>
      <c r="G17" s="79"/>
      <c r="H17" s="79"/>
      <c r="I17" s="79">
        <v>0</v>
      </c>
      <c r="J17" s="79">
        <v>19932</v>
      </c>
      <c r="K17" s="79">
        <f>SUM(I17:J17)</f>
        <v>19932</v>
      </c>
      <c r="L17" s="79"/>
      <c r="M17" s="79">
        <f>SUM(K17:L17)</f>
        <v>19932</v>
      </c>
      <c r="N17" s="79">
        <v>1000</v>
      </c>
      <c r="O17" s="79">
        <f>SUM(M17:N17)</f>
        <v>20932</v>
      </c>
    </row>
    <row r="18" spans="1:15" s="9" customFormat="1" ht="24.75" customHeight="1">
      <c r="A18" s="100" t="s">
        <v>111</v>
      </c>
      <c r="B18" s="101"/>
      <c r="C18" s="102"/>
      <c r="D18" s="103" t="s">
        <v>112</v>
      </c>
      <c r="E18" s="104">
        <f aca="true" t="shared" si="6" ref="E18:K18">SUM(E19,E21)</f>
        <v>55768</v>
      </c>
      <c r="F18" s="104">
        <f t="shared" si="6"/>
        <v>0</v>
      </c>
      <c r="G18" s="104">
        <f t="shared" si="6"/>
        <v>55768</v>
      </c>
      <c r="H18" s="104">
        <f t="shared" si="6"/>
        <v>0</v>
      </c>
      <c r="I18" s="104">
        <f t="shared" si="6"/>
        <v>55768</v>
      </c>
      <c r="J18" s="104">
        <f t="shared" si="6"/>
        <v>0</v>
      </c>
      <c r="K18" s="104">
        <f t="shared" si="6"/>
        <v>55768</v>
      </c>
      <c r="L18" s="104">
        <f>SUM(L19,L21)</f>
        <v>0</v>
      </c>
      <c r="M18" s="104">
        <f>SUM(M19,M21)</f>
        <v>55768</v>
      </c>
      <c r="N18" s="104">
        <f>SUM(N19,N21)</f>
        <v>0</v>
      </c>
      <c r="O18" s="104">
        <f>SUM(O19,O21)</f>
        <v>55768</v>
      </c>
    </row>
    <row r="19" spans="1:15" s="22" customFormat="1" ht="24.75" customHeight="1">
      <c r="A19" s="52"/>
      <c r="B19" s="67" t="s">
        <v>113</v>
      </c>
      <c r="C19" s="71"/>
      <c r="D19" s="34" t="s">
        <v>52</v>
      </c>
      <c r="E19" s="78">
        <f aca="true" t="shared" si="7" ref="E19:O19">SUM(E20)</f>
        <v>4782</v>
      </c>
      <c r="F19" s="78">
        <f t="shared" si="7"/>
        <v>0</v>
      </c>
      <c r="G19" s="78">
        <f t="shared" si="7"/>
        <v>4782</v>
      </c>
      <c r="H19" s="78">
        <f t="shared" si="7"/>
        <v>0</v>
      </c>
      <c r="I19" s="78">
        <f t="shared" si="7"/>
        <v>4782</v>
      </c>
      <c r="J19" s="78">
        <f t="shared" si="7"/>
        <v>0</v>
      </c>
      <c r="K19" s="78">
        <f t="shared" si="7"/>
        <v>4782</v>
      </c>
      <c r="L19" s="78">
        <f t="shared" si="7"/>
        <v>0</v>
      </c>
      <c r="M19" s="78">
        <f t="shared" si="7"/>
        <v>4782</v>
      </c>
      <c r="N19" s="78">
        <f t="shared" si="7"/>
        <v>0</v>
      </c>
      <c r="O19" s="78">
        <f t="shared" si="7"/>
        <v>4782</v>
      </c>
    </row>
    <row r="20" spans="1:15" s="22" customFormat="1" ht="45">
      <c r="A20" s="71"/>
      <c r="B20" s="52"/>
      <c r="C20" s="99">
        <v>2310</v>
      </c>
      <c r="D20" s="34" t="s">
        <v>237</v>
      </c>
      <c r="E20" s="56">
        <v>4782</v>
      </c>
      <c r="F20" s="56"/>
      <c r="G20" s="56">
        <f>SUM(E20:F20)</f>
        <v>4782</v>
      </c>
      <c r="H20" s="56"/>
      <c r="I20" s="56">
        <f>SUM(G20:H20)</f>
        <v>4782</v>
      </c>
      <c r="J20" s="56"/>
      <c r="K20" s="56">
        <f>SUM(I20:J20)</f>
        <v>4782</v>
      </c>
      <c r="L20" s="56"/>
      <c r="M20" s="56">
        <f>SUM(K20:L20)</f>
        <v>4782</v>
      </c>
      <c r="N20" s="56"/>
      <c r="O20" s="56">
        <f>SUM(M20:N20)</f>
        <v>4782</v>
      </c>
    </row>
    <row r="21" spans="1:15" s="22" customFormat="1" ht="24" customHeight="1">
      <c r="A21" s="71"/>
      <c r="B21" s="52">
        <v>80195</v>
      </c>
      <c r="C21" s="99"/>
      <c r="D21" s="34" t="s">
        <v>6</v>
      </c>
      <c r="E21" s="56">
        <f aca="true" t="shared" si="8" ref="E21:O21">SUM(E22)</f>
        <v>50986</v>
      </c>
      <c r="F21" s="56">
        <f t="shared" si="8"/>
        <v>0</v>
      </c>
      <c r="G21" s="56">
        <f t="shared" si="8"/>
        <v>50986</v>
      </c>
      <c r="H21" s="56">
        <f t="shared" si="8"/>
        <v>0</v>
      </c>
      <c r="I21" s="56">
        <f t="shared" si="8"/>
        <v>50986</v>
      </c>
      <c r="J21" s="56">
        <f t="shared" si="8"/>
        <v>0</v>
      </c>
      <c r="K21" s="56">
        <f t="shared" si="8"/>
        <v>50986</v>
      </c>
      <c r="L21" s="56">
        <f t="shared" si="8"/>
        <v>0</v>
      </c>
      <c r="M21" s="56">
        <f t="shared" si="8"/>
        <v>50986</v>
      </c>
      <c r="N21" s="56">
        <f t="shared" si="8"/>
        <v>0</v>
      </c>
      <c r="O21" s="56">
        <f t="shared" si="8"/>
        <v>50986</v>
      </c>
    </row>
    <row r="22" spans="1:15" s="22" customFormat="1" ht="45">
      <c r="A22" s="71"/>
      <c r="B22" s="52"/>
      <c r="C22" s="99">
        <v>2030</v>
      </c>
      <c r="D22" s="62" t="s">
        <v>206</v>
      </c>
      <c r="E22" s="56">
        <v>50986</v>
      </c>
      <c r="F22" s="56"/>
      <c r="G22" s="56">
        <f>SUM(E22:F22)</f>
        <v>50986</v>
      </c>
      <c r="H22" s="56"/>
      <c r="I22" s="56">
        <f>SUM(G22:H22)</f>
        <v>50986</v>
      </c>
      <c r="J22" s="56"/>
      <c r="K22" s="56">
        <f>SUM(I22:J22)</f>
        <v>50986</v>
      </c>
      <c r="L22" s="56"/>
      <c r="M22" s="56">
        <f>SUM(K22:L22)</f>
        <v>50986</v>
      </c>
      <c r="N22" s="56"/>
      <c r="O22" s="56">
        <f>SUM(M22:N22)</f>
        <v>50986</v>
      </c>
    </row>
    <row r="23" spans="1:15" s="35" customFormat="1" ht="27" customHeight="1">
      <c r="A23" s="29" t="s">
        <v>156</v>
      </c>
      <c r="B23" s="31"/>
      <c r="C23" s="49"/>
      <c r="D23" s="32" t="s">
        <v>191</v>
      </c>
      <c r="E23" s="48">
        <f aca="true" t="shared" si="9" ref="E23:K23">SUM(E24,E26,E28,E31,E33,)</f>
        <v>8801400</v>
      </c>
      <c r="F23" s="48">
        <f t="shared" si="9"/>
        <v>0</v>
      </c>
      <c r="G23" s="48">
        <f t="shared" si="9"/>
        <v>8801400</v>
      </c>
      <c r="H23" s="48">
        <f t="shared" si="9"/>
        <v>312600</v>
      </c>
      <c r="I23" s="48">
        <f t="shared" si="9"/>
        <v>9114000</v>
      </c>
      <c r="J23" s="48">
        <f t="shared" si="9"/>
        <v>13050</v>
      </c>
      <c r="K23" s="48">
        <f t="shared" si="9"/>
        <v>9127050</v>
      </c>
      <c r="L23" s="48">
        <f>SUM(L24,L26,L28,L31,L33,)</f>
        <v>75000</v>
      </c>
      <c r="M23" s="48">
        <f>SUM(M24,M26,M28,M31,M33,)</f>
        <v>9202050</v>
      </c>
      <c r="N23" s="48">
        <f>SUM(N24,N26,N28,N31,N33,)</f>
        <v>0</v>
      </c>
      <c r="O23" s="48">
        <f>SUM(O24,O26,O28,O31,O33,)</f>
        <v>9202050</v>
      </c>
    </row>
    <row r="24" spans="1:15" s="22" customFormat="1" ht="45">
      <c r="A24" s="52"/>
      <c r="B24" s="37">
        <v>85212</v>
      </c>
      <c r="C24" s="64"/>
      <c r="D24" s="62" t="s">
        <v>297</v>
      </c>
      <c r="E24" s="76">
        <f aca="true" t="shared" si="10" ref="E24:O24">SUM(E25)</f>
        <v>6479100</v>
      </c>
      <c r="F24" s="76">
        <f t="shared" si="10"/>
        <v>0</v>
      </c>
      <c r="G24" s="76">
        <f t="shared" si="10"/>
        <v>6479100</v>
      </c>
      <c r="H24" s="76">
        <f t="shared" si="10"/>
        <v>334300</v>
      </c>
      <c r="I24" s="76">
        <f t="shared" si="10"/>
        <v>6813400</v>
      </c>
      <c r="J24" s="76">
        <f t="shared" si="10"/>
        <v>0</v>
      </c>
      <c r="K24" s="76">
        <f t="shared" si="10"/>
        <v>6813400</v>
      </c>
      <c r="L24" s="76">
        <f t="shared" si="10"/>
        <v>0</v>
      </c>
      <c r="M24" s="76">
        <f t="shared" si="10"/>
        <v>6813400</v>
      </c>
      <c r="N24" s="76">
        <f t="shared" si="10"/>
        <v>0</v>
      </c>
      <c r="O24" s="76">
        <f t="shared" si="10"/>
        <v>6813400</v>
      </c>
    </row>
    <row r="25" spans="1:15" s="22" customFormat="1" ht="56.25">
      <c r="A25" s="52"/>
      <c r="B25" s="37"/>
      <c r="C25" s="64">
        <v>2010</v>
      </c>
      <c r="D25" s="34" t="s">
        <v>277</v>
      </c>
      <c r="E25" s="76">
        <v>6479100</v>
      </c>
      <c r="F25" s="76"/>
      <c r="G25" s="76">
        <f>SUM(E25:F25)</f>
        <v>6479100</v>
      </c>
      <c r="H25" s="76">
        <v>334300</v>
      </c>
      <c r="I25" s="76">
        <f>SUM(G25:H25)</f>
        <v>6813400</v>
      </c>
      <c r="J25" s="76"/>
      <c r="K25" s="76">
        <f>SUM(I25:J25)</f>
        <v>6813400</v>
      </c>
      <c r="L25" s="76"/>
      <c r="M25" s="76">
        <f>SUM(K25:L25)</f>
        <v>6813400</v>
      </c>
      <c r="N25" s="76"/>
      <c r="O25" s="76">
        <f>SUM(M25:N25)</f>
        <v>6813400</v>
      </c>
    </row>
    <row r="26" spans="1:15" s="22" customFormat="1" ht="67.5">
      <c r="A26" s="52"/>
      <c r="B26" s="71">
        <v>85213</v>
      </c>
      <c r="C26" s="53"/>
      <c r="D26" s="62" t="s">
        <v>270</v>
      </c>
      <c r="E26" s="76">
        <f aca="true" t="shared" si="11" ref="E26:O26">SUM(E27)</f>
        <v>59100</v>
      </c>
      <c r="F26" s="76">
        <f t="shared" si="11"/>
        <v>0</v>
      </c>
      <c r="G26" s="76">
        <f t="shared" si="11"/>
        <v>59100</v>
      </c>
      <c r="H26" s="76">
        <f t="shared" si="11"/>
        <v>-4100</v>
      </c>
      <c r="I26" s="76">
        <f t="shared" si="11"/>
        <v>55000</v>
      </c>
      <c r="J26" s="76">
        <f t="shared" si="11"/>
        <v>0</v>
      </c>
      <c r="K26" s="76">
        <f t="shared" si="11"/>
        <v>55000</v>
      </c>
      <c r="L26" s="76">
        <f t="shared" si="11"/>
        <v>0</v>
      </c>
      <c r="M26" s="76">
        <f t="shared" si="11"/>
        <v>55000</v>
      </c>
      <c r="N26" s="76">
        <f t="shared" si="11"/>
        <v>0</v>
      </c>
      <c r="O26" s="76">
        <f t="shared" si="11"/>
        <v>55000</v>
      </c>
    </row>
    <row r="27" spans="1:15" s="22" customFormat="1" ht="56.25">
      <c r="A27" s="52"/>
      <c r="B27" s="71"/>
      <c r="C27" s="53">
        <v>2010</v>
      </c>
      <c r="D27" s="34" t="s">
        <v>217</v>
      </c>
      <c r="E27" s="76">
        <v>59100</v>
      </c>
      <c r="F27" s="76"/>
      <c r="G27" s="76">
        <f>SUM(E27:F27)</f>
        <v>59100</v>
      </c>
      <c r="H27" s="76">
        <v>-4100</v>
      </c>
      <c r="I27" s="76">
        <f>SUM(G27:H27)</f>
        <v>55000</v>
      </c>
      <c r="J27" s="76"/>
      <c r="K27" s="76">
        <f>SUM(I27:J27)</f>
        <v>55000</v>
      </c>
      <c r="L27" s="76"/>
      <c r="M27" s="76">
        <f>SUM(K27:L27)</f>
        <v>55000</v>
      </c>
      <c r="N27" s="76"/>
      <c r="O27" s="76">
        <f>SUM(M27:N27)</f>
        <v>55000</v>
      </c>
    </row>
    <row r="28" spans="1:15" s="22" customFormat="1" ht="22.5">
      <c r="A28" s="52"/>
      <c r="B28" s="52" t="s">
        <v>157</v>
      </c>
      <c r="C28" s="53"/>
      <c r="D28" s="34" t="s">
        <v>225</v>
      </c>
      <c r="E28" s="78">
        <f aca="true" t="shared" si="12" ref="E28:K28">SUM(E29:E30)</f>
        <v>1124100</v>
      </c>
      <c r="F28" s="78">
        <f t="shared" si="12"/>
        <v>0</v>
      </c>
      <c r="G28" s="78">
        <f t="shared" si="12"/>
        <v>1124100</v>
      </c>
      <c r="H28" s="78">
        <f t="shared" si="12"/>
        <v>-17600</v>
      </c>
      <c r="I28" s="78">
        <f t="shared" si="12"/>
        <v>1106500</v>
      </c>
      <c r="J28" s="78">
        <f t="shared" si="12"/>
        <v>0</v>
      </c>
      <c r="K28" s="78">
        <f t="shared" si="12"/>
        <v>1106500</v>
      </c>
      <c r="L28" s="78">
        <f>SUM(L29:L30)</f>
        <v>0</v>
      </c>
      <c r="M28" s="78">
        <f>SUM(M29:M30)</f>
        <v>1106500</v>
      </c>
      <c r="N28" s="78">
        <f>SUM(N29:N30)</f>
        <v>0</v>
      </c>
      <c r="O28" s="78">
        <f>SUM(O29:O30)</f>
        <v>1106500</v>
      </c>
    </row>
    <row r="29" spans="1:15" s="22" customFormat="1" ht="56.25">
      <c r="A29" s="52"/>
      <c r="B29" s="52"/>
      <c r="C29" s="54" t="s">
        <v>181</v>
      </c>
      <c r="D29" s="34" t="s">
        <v>222</v>
      </c>
      <c r="E29" s="78">
        <v>468000</v>
      </c>
      <c r="F29" s="78"/>
      <c r="G29" s="78">
        <f>SUM(E29:F29)</f>
        <v>468000</v>
      </c>
      <c r="H29" s="78">
        <v>50700</v>
      </c>
      <c r="I29" s="78">
        <f>SUM(G29:H29)</f>
        <v>518700</v>
      </c>
      <c r="J29" s="78"/>
      <c r="K29" s="78">
        <f>SUM(I29:J29)</f>
        <v>518700</v>
      </c>
      <c r="L29" s="78"/>
      <c r="M29" s="78">
        <f>SUM(K29:L29)</f>
        <v>518700</v>
      </c>
      <c r="N29" s="78"/>
      <c r="O29" s="78">
        <f>SUM(M29:N29)</f>
        <v>518700</v>
      </c>
    </row>
    <row r="30" spans="1:15" s="22" customFormat="1" ht="33.75">
      <c r="A30" s="52"/>
      <c r="B30" s="52"/>
      <c r="C30" s="54">
        <v>2030</v>
      </c>
      <c r="D30" s="62" t="s">
        <v>218</v>
      </c>
      <c r="E30" s="78">
        <v>656100</v>
      </c>
      <c r="F30" s="78"/>
      <c r="G30" s="78">
        <f>SUM(E30:F30)</f>
        <v>656100</v>
      </c>
      <c r="H30" s="78">
        <v>-68300</v>
      </c>
      <c r="I30" s="78">
        <f>SUM(G30:H30)</f>
        <v>587800</v>
      </c>
      <c r="J30" s="78"/>
      <c r="K30" s="78">
        <f>SUM(I30:J30)</f>
        <v>587800</v>
      </c>
      <c r="L30" s="78"/>
      <c r="M30" s="78">
        <f>SUM(K30:L30)</f>
        <v>587800</v>
      </c>
      <c r="N30" s="78"/>
      <c r="O30" s="78">
        <f>SUM(M30:N30)</f>
        <v>587800</v>
      </c>
    </row>
    <row r="31" spans="1:15" s="22" customFormat="1" ht="23.25" customHeight="1">
      <c r="A31" s="52"/>
      <c r="B31" s="52" t="s">
        <v>158</v>
      </c>
      <c r="C31" s="53"/>
      <c r="D31" s="34" t="s">
        <v>59</v>
      </c>
      <c r="E31" s="78">
        <f aca="true" t="shared" si="13" ref="E31:O31">E32</f>
        <v>597800</v>
      </c>
      <c r="F31" s="78">
        <f t="shared" si="13"/>
        <v>0</v>
      </c>
      <c r="G31" s="78">
        <f t="shared" si="13"/>
        <v>597800</v>
      </c>
      <c r="H31" s="78">
        <f t="shared" si="13"/>
        <v>0</v>
      </c>
      <c r="I31" s="78">
        <f t="shared" si="13"/>
        <v>597800</v>
      </c>
      <c r="J31" s="78">
        <f t="shared" si="13"/>
        <v>13050</v>
      </c>
      <c r="K31" s="78">
        <f t="shared" si="13"/>
        <v>610850</v>
      </c>
      <c r="L31" s="78">
        <f t="shared" si="13"/>
        <v>0</v>
      </c>
      <c r="M31" s="78">
        <f t="shared" si="13"/>
        <v>610850</v>
      </c>
      <c r="N31" s="78">
        <f t="shared" si="13"/>
        <v>0</v>
      </c>
      <c r="O31" s="78">
        <f t="shared" si="13"/>
        <v>610850</v>
      </c>
    </row>
    <row r="32" spans="1:15" s="22" customFormat="1" ht="45">
      <c r="A32" s="52"/>
      <c r="B32" s="52"/>
      <c r="C32" s="54">
        <v>2030</v>
      </c>
      <c r="D32" s="62" t="s">
        <v>206</v>
      </c>
      <c r="E32" s="78">
        <v>597800</v>
      </c>
      <c r="F32" s="78"/>
      <c r="G32" s="78">
        <f>SUM(E32:F32)</f>
        <v>597800</v>
      </c>
      <c r="H32" s="78"/>
      <c r="I32" s="78">
        <f>SUM(G32:H32)</f>
        <v>597800</v>
      </c>
      <c r="J32" s="78">
        <v>13050</v>
      </c>
      <c r="K32" s="78">
        <f>SUM(I32:J32)</f>
        <v>610850</v>
      </c>
      <c r="L32" s="78"/>
      <c r="M32" s="78">
        <f>SUM(K32:L32)</f>
        <v>610850</v>
      </c>
      <c r="N32" s="78"/>
      <c r="O32" s="78">
        <f>SUM(M32:N32)</f>
        <v>610850</v>
      </c>
    </row>
    <row r="33" spans="1:15" s="22" customFormat="1" ht="24" customHeight="1">
      <c r="A33" s="52"/>
      <c r="B33" s="52">
        <v>85295</v>
      </c>
      <c r="C33" s="54"/>
      <c r="D33" s="62" t="s">
        <v>6</v>
      </c>
      <c r="E33" s="78">
        <f aca="true" t="shared" si="14" ref="E33:O33">SUM(E34)</f>
        <v>541300</v>
      </c>
      <c r="F33" s="78">
        <f t="shared" si="14"/>
        <v>0</v>
      </c>
      <c r="G33" s="78">
        <f t="shared" si="14"/>
        <v>541300</v>
      </c>
      <c r="H33" s="78">
        <f t="shared" si="14"/>
        <v>0</v>
      </c>
      <c r="I33" s="78">
        <f t="shared" si="14"/>
        <v>541300</v>
      </c>
      <c r="J33" s="78">
        <f t="shared" si="14"/>
        <v>0</v>
      </c>
      <c r="K33" s="78">
        <f t="shared" si="14"/>
        <v>541300</v>
      </c>
      <c r="L33" s="78">
        <f t="shared" si="14"/>
        <v>75000</v>
      </c>
      <c r="M33" s="78">
        <f t="shared" si="14"/>
        <v>616300</v>
      </c>
      <c r="N33" s="78">
        <f t="shared" si="14"/>
        <v>0</v>
      </c>
      <c r="O33" s="78">
        <f t="shared" si="14"/>
        <v>616300</v>
      </c>
    </row>
    <row r="34" spans="1:15" s="22" customFormat="1" ht="33.75">
      <c r="A34" s="52"/>
      <c r="B34" s="52"/>
      <c r="C34" s="54">
        <v>2030</v>
      </c>
      <c r="D34" s="62" t="s">
        <v>218</v>
      </c>
      <c r="E34" s="78">
        <v>541300</v>
      </c>
      <c r="F34" s="78"/>
      <c r="G34" s="78">
        <f>SUM(E34:F34)</f>
        <v>541300</v>
      </c>
      <c r="H34" s="78"/>
      <c r="I34" s="78">
        <f>SUM(G34:H34)</f>
        <v>541300</v>
      </c>
      <c r="J34" s="78"/>
      <c r="K34" s="78">
        <f>SUM(I34:J34)</f>
        <v>541300</v>
      </c>
      <c r="L34" s="78">
        <v>75000</v>
      </c>
      <c r="M34" s="78">
        <f>SUM(K34:L34)</f>
        <v>616300</v>
      </c>
      <c r="N34" s="78"/>
      <c r="O34" s="78">
        <f>SUM(M34:N34)</f>
        <v>616300</v>
      </c>
    </row>
    <row r="35" spans="1:15" s="110" customFormat="1" ht="24" customHeight="1">
      <c r="A35" s="139">
        <v>854</v>
      </c>
      <c r="B35" s="143"/>
      <c r="C35" s="144"/>
      <c r="D35" s="32" t="s">
        <v>60</v>
      </c>
      <c r="E35" s="147">
        <f aca="true" t="shared" si="15" ref="E35:O36">SUM(E36)</f>
        <v>0</v>
      </c>
      <c r="F35" s="147">
        <f t="shared" si="15"/>
        <v>252163</v>
      </c>
      <c r="G35" s="147">
        <f t="shared" si="15"/>
        <v>252163</v>
      </c>
      <c r="H35" s="147">
        <f t="shared" si="15"/>
        <v>0</v>
      </c>
      <c r="I35" s="147">
        <f t="shared" si="15"/>
        <v>252163</v>
      </c>
      <c r="J35" s="147">
        <f t="shared" si="15"/>
        <v>0</v>
      </c>
      <c r="K35" s="147">
        <f t="shared" si="15"/>
        <v>252163</v>
      </c>
      <c r="L35" s="147">
        <f t="shared" si="15"/>
        <v>0</v>
      </c>
      <c r="M35" s="147">
        <f t="shared" si="15"/>
        <v>252163</v>
      </c>
      <c r="N35" s="147">
        <f t="shared" si="15"/>
        <v>0</v>
      </c>
      <c r="O35" s="147">
        <f t="shared" si="15"/>
        <v>252163</v>
      </c>
    </row>
    <row r="36" spans="1:15" s="22" customFormat="1" ht="21.75" customHeight="1">
      <c r="A36" s="57"/>
      <c r="B36" s="58">
        <v>85415</v>
      </c>
      <c r="C36" s="59"/>
      <c r="D36" s="34" t="s">
        <v>235</v>
      </c>
      <c r="E36" s="78">
        <f t="shared" si="15"/>
        <v>0</v>
      </c>
      <c r="F36" s="78">
        <f t="shared" si="15"/>
        <v>252163</v>
      </c>
      <c r="G36" s="78">
        <f t="shared" si="15"/>
        <v>252163</v>
      </c>
      <c r="H36" s="78">
        <f t="shared" si="15"/>
        <v>0</v>
      </c>
      <c r="I36" s="78">
        <f t="shared" si="15"/>
        <v>252163</v>
      </c>
      <c r="J36" s="78">
        <f t="shared" si="15"/>
        <v>0</v>
      </c>
      <c r="K36" s="78">
        <f t="shared" si="15"/>
        <v>252163</v>
      </c>
      <c r="L36" s="78">
        <f t="shared" si="15"/>
        <v>0</v>
      </c>
      <c r="M36" s="78">
        <f t="shared" si="15"/>
        <v>252163</v>
      </c>
      <c r="N36" s="78">
        <f t="shared" si="15"/>
        <v>0</v>
      </c>
      <c r="O36" s="78">
        <f t="shared" si="15"/>
        <v>252163</v>
      </c>
    </row>
    <row r="37" spans="1:15" s="22" customFormat="1" ht="22.5" customHeight="1">
      <c r="A37" s="52"/>
      <c r="B37" s="52"/>
      <c r="C37" s="54">
        <v>2030</v>
      </c>
      <c r="D37" s="62" t="s">
        <v>218</v>
      </c>
      <c r="E37" s="78">
        <v>0</v>
      </c>
      <c r="F37" s="78">
        <v>252163</v>
      </c>
      <c r="G37" s="78">
        <f>SUM(E37:F37)</f>
        <v>252163</v>
      </c>
      <c r="H37" s="78"/>
      <c r="I37" s="78">
        <f>SUM(G37:H37)</f>
        <v>252163</v>
      </c>
      <c r="J37" s="78"/>
      <c r="K37" s="78">
        <f>SUM(I37:J37)</f>
        <v>252163</v>
      </c>
      <c r="L37" s="78"/>
      <c r="M37" s="78">
        <f>SUM(K37:L37)</f>
        <v>252163</v>
      </c>
      <c r="N37" s="78"/>
      <c r="O37" s="78">
        <f>SUM(M37:N37)</f>
        <v>252163</v>
      </c>
    </row>
    <row r="38" spans="1:15" s="6" customFormat="1" ht="24.75" customHeight="1">
      <c r="A38" s="29" t="s">
        <v>64</v>
      </c>
      <c r="B38" s="23"/>
      <c r="C38" s="39"/>
      <c r="D38" s="32" t="s">
        <v>70</v>
      </c>
      <c r="E38" s="48">
        <f>SUM(E41)</f>
        <v>60000</v>
      </c>
      <c r="F38" s="48">
        <f>SUM(F41)</f>
        <v>0</v>
      </c>
      <c r="G38" s="48">
        <f aca="true" t="shared" si="16" ref="G38:M38">SUM(G41,G39)</f>
        <v>60000</v>
      </c>
      <c r="H38" s="48">
        <f t="shared" si="16"/>
        <v>9350</v>
      </c>
      <c r="I38" s="48">
        <f t="shared" si="16"/>
        <v>69350</v>
      </c>
      <c r="J38" s="48">
        <f t="shared" si="16"/>
        <v>0</v>
      </c>
      <c r="K38" s="48">
        <f t="shared" si="16"/>
        <v>69350</v>
      </c>
      <c r="L38" s="48">
        <f t="shared" si="16"/>
        <v>0</v>
      </c>
      <c r="M38" s="48">
        <f t="shared" si="16"/>
        <v>69350</v>
      </c>
      <c r="N38" s="48">
        <f>SUM(N41,N39)</f>
        <v>0</v>
      </c>
      <c r="O38" s="48">
        <f>SUM(O41,O39)</f>
        <v>69350</v>
      </c>
    </row>
    <row r="39" spans="1:15" s="22" customFormat="1" ht="24.75" customHeight="1">
      <c r="A39" s="73"/>
      <c r="B39" s="121">
        <v>92105</v>
      </c>
      <c r="C39" s="131"/>
      <c r="D39" s="149" t="s">
        <v>300</v>
      </c>
      <c r="E39" s="150"/>
      <c r="F39" s="150"/>
      <c r="G39" s="151">
        <f aca="true" t="shared" si="17" ref="G39:O39">SUM(G40)</f>
        <v>0</v>
      </c>
      <c r="H39" s="151">
        <f t="shared" si="17"/>
        <v>9350</v>
      </c>
      <c r="I39" s="151">
        <f t="shared" si="17"/>
        <v>9350</v>
      </c>
      <c r="J39" s="151">
        <f t="shared" si="17"/>
        <v>0</v>
      </c>
      <c r="K39" s="151">
        <f t="shared" si="17"/>
        <v>9350</v>
      </c>
      <c r="L39" s="151">
        <f t="shared" si="17"/>
        <v>0</v>
      </c>
      <c r="M39" s="151">
        <f t="shared" si="17"/>
        <v>9350</v>
      </c>
      <c r="N39" s="151">
        <f t="shared" si="17"/>
        <v>0</v>
      </c>
      <c r="O39" s="151">
        <f t="shared" si="17"/>
        <v>9350</v>
      </c>
    </row>
    <row r="40" spans="1:15" s="22" customFormat="1" ht="45">
      <c r="A40" s="73"/>
      <c r="B40" s="121"/>
      <c r="C40" s="131">
        <v>2320</v>
      </c>
      <c r="D40" s="62" t="s">
        <v>219</v>
      </c>
      <c r="E40" s="150"/>
      <c r="F40" s="150"/>
      <c r="G40" s="151">
        <v>0</v>
      </c>
      <c r="H40" s="151">
        <v>9350</v>
      </c>
      <c r="I40" s="151">
        <f>SUM(G40:H40)</f>
        <v>9350</v>
      </c>
      <c r="J40" s="151"/>
      <c r="K40" s="151">
        <f>SUM(I40:J40)</f>
        <v>9350</v>
      </c>
      <c r="L40" s="151"/>
      <c r="M40" s="151">
        <f>SUM(K40:L40)</f>
        <v>9350</v>
      </c>
      <c r="N40" s="151"/>
      <c r="O40" s="151">
        <f>SUM(M40:N40)</f>
        <v>9350</v>
      </c>
    </row>
    <row r="41" spans="1:15" s="22" customFormat="1" ht="21.75" customHeight="1">
      <c r="A41" s="52"/>
      <c r="B41" s="52" t="s">
        <v>65</v>
      </c>
      <c r="C41" s="53"/>
      <c r="D41" s="34" t="s">
        <v>66</v>
      </c>
      <c r="E41" s="78">
        <f aca="true" t="shared" si="18" ref="E41:O41">E42</f>
        <v>60000</v>
      </c>
      <c r="F41" s="78">
        <f t="shared" si="18"/>
        <v>0</v>
      </c>
      <c r="G41" s="78">
        <f t="shared" si="18"/>
        <v>60000</v>
      </c>
      <c r="H41" s="78">
        <f t="shared" si="18"/>
        <v>0</v>
      </c>
      <c r="I41" s="78">
        <f t="shared" si="18"/>
        <v>60000</v>
      </c>
      <c r="J41" s="78">
        <f t="shared" si="18"/>
        <v>0</v>
      </c>
      <c r="K41" s="78">
        <f t="shared" si="18"/>
        <v>60000</v>
      </c>
      <c r="L41" s="78">
        <f t="shared" si="18"/>
        <v>0</v>
      </c>
      <c r="M41" s="78">
        <f t="shared" si="18"/>
        <v>60000</v>
      </c>
      <c r="N41" s="78">
        <f t="shared" si="18"/>
        <v>0</v>
      </c>
      <c r="O41" s="78">
        <f t="shared" si="18"/>
        <v>60000</v>
      </c>
    </row>
    <row r="42" spans="1:15" s="22" customFormat="1" ht="45">
      <c r="A42" s="52"/>
      <c r="B42" s="52"/>
      <c r="C42" s="54">
        <v>2320</v>
      </c>
      <c r="D42" s="34" t="s">
        <v>219</v>
      </c>
      <c r="E42" s="78">
        <v>60000</v>
      </c>
      <c r="F42" s="78"/>
      <c r="G42" s="78">
        <f>SUM(E42:F42)</f>
        <v>60000</v>
      </c>
      <c r="H42" s="78"/>
      <c r="I42" s="78">
        <f>SUM(G42:H42)</f>
        <v>60000</v>
      </c>
      <c r="J42" s="78"/>
      <c r="K42" s="78">
        <f>SUM(I42:J42)</f>
        <v>60000</v>
      </c>
      <c r="L42" s="78"/>
      <c r="M42" s="78">
        <f>SUM(K42:L42)</f>
        <v>60000</v>
      </c>
      <c r="N42" s="78"/>
      <c r="O42" s="78">
        <f>SUM(M42:N42)</f>
        <v>60000</v>
      </c>
    </row>
    <row r="43" spans="1:15" s="22" customFormat="1" ht="24">
      <c r="A43" s="143">
        <v>926</v>
      </c>
      <c r="B43" s="143"/>
      <c r="C43" s="143"/>
      <c r="D43" s="32" t="s">
        <v>139</v>
      </c>
      <c r="E43" s="78"/>
      <c r="F43" s="78"/>
      <c r="G43" s="147">
        <f aca="true" t="shared" si="19" ref="G43:O44">SUM(G44)</f>
        <v>0</v>
      </c>
      <c r="H43" s="147">
        <f t="shared" si="19"/>
        <v>3200</v>
      </c>
      <c r="I43" s="147">
        <f t="shared" si="19"/>
        <v>3200</v>
      </c>
      <c r="J43" s="147">
        <f t="shared" si="19"/>
        <v>0</v>
      </c>
      <c r="K43" s="147">
        <f t="shared" si="19"/>
        <v>3200</v>
      </c>
      <c r="L43" s="147">
        <f t="shared" si="19"/>
        <v>0</v>
      </c>
      <c r="M43" s="147">
        <f t="shared" si="19"/>
        <v>3200</v>
      </c>
      <c r="N43" s="147">
        <f t="shared" si="19"/>
        <v>0</v>
      </c>
      <c r="O43" s="147">
        <f t="shared" si="19"/>
        <v>3200</v>
      </c>
    </row>
    <row r="44" spans="1:15" s="22" customFormat="1" ht="22.5">
      <c r="A44" s="58"/>
      <c r="B44" s="58">
        <v>92605</v>
      </c>
      <c r="C44" s="58"/>
      <c r="D44" s="34" t="s">
        <v>68</v>
      </c>
      <c r="E44" s="78"/>
      <c r="F44" s="78"/>
      <c r="G44" s="78">
        <f t="shared" si="19"/>
        <v>0</v>
      </c>
      <c r="H44" s="78">
        <f t="shared" si="19"/>
        <v>3200</v>
      </c>
      <c r="I44" s="78">
        <f t="shared" si="19"/>
        <v>3200</v>
      </c>
      <c r="J44" s="78">
        <f t="shared" si="19"/>
        <v>0</v>
      </c>
      <c r="K44" s="78">
        <f t="shared" si="19"/>
        <v>3200</v>
      </c>
      <c r="L44" s="78">
        <f t="shared" si="19"/>
        <v>0</v>
      </c>
      <c r="M44" s="78">
        <f t="shared" si="19"/>
        <v>3200</v>
      </c>
      <c r="N44" s="78">
        <f t="shared" si="19"/>
        <v>0</v>
      </c>
      <c r="O44" s="78">
        <f t="shared" si="19"/>
        <v>3200</v>
      </c>
    </row>
    <row r="45" spans="1:15" s="22" customFormat="1" ht="45">
      <c r="A45" s="58"/>
      <c r="B45" s="58"/>
      <c r="C45" s="58">
        <v>2320</v>
      </c>
      <c r="D45" s="62" t="s">
        <v>219</v>
      </c>
      <c r="E45" s="78"/>
      <c r="F45" s="78"/>
      <c r="G45" s="78">
        <v>0</v>
      </c>
      <c r="H45" s="78">
        <v>3200</v>
      </c>
      <c r="I45" s="78">
        <f>SUM(G45:H45)</f>
        <v>3200</v>
      </c>
      <c r="J45" s="78"/>
      <c r="K45" s="78">
        <f>SUM(I45:J45)</f>
        <v>3200</v>
      </c>
      <c r="L45" s="78"/>
      <c r="M45" s="78">
        <f>SUM(K45:L45)</f>
        <v>3200</v>
      </c>
      <c r="N45" s="78"/>
      <c r="O45" s="78">
        <f>SUM(M45:N45)</f>
        <v>3200</v>
      </c>
    </row>
    <row r="46" spans="1:15" s="22" customFormat="1" ht="25.5" customHeight="1">
      <c r="A46" s="92"/>
      <c r="B46" s="93"/>
      <c r="C46" s="94"/>
      <c r="D46" s="82" t="s">
        <v>69</v>
      </c>
      <c r="E46" s="83">
        <f>SUM(E38,E23,E13,E10,E18,E35)</f>
        <v>9077678</v>
      </c>
      <c r="F46" s="83">
        <f>SUM(F38,F23,F13,F10,F18,F35)</f>
        <v>252163</v>
      </c>
      <c r="G46" s="83">
        <f aca="true" t="shared" si="20" ref="G46:L46">SUM(G38,G23,G13,G10,G18,G35,G43)</f>
        <v>9329841</v>
      </c>
      <c r="H46" s="83">
        <f t="shared" si="20"/>
        <v>325150</v>
      </c>
      <c r="I46" s="83">
        <f t="shared" si="20"/>
        <v>9654991</v>
      </c>
      <c r="J46" s="83">
        <f t="shared" si="20"/>
        <v>32982</v>
      </c>
      <c r="K46" s="83">
        <f t="shared" si="20"/>
        <v>9687973</v>
      </c>
      <c r="L46" s="83">
        <f t="shared" si="20"/>
        <v>75000</v>
      </c>
      <c r="M46" s="83">
        <f>SUM(M38,M23,M13,M10,M18,M35,M43,M7)</f>
        <v>9762973</v>
      </c>
      <c r="N46" s="83">
        <f>SUM(N38,N23,N13,N10,N18,N35,N43,N7)</f>
        <v>286502</v>
      </c>
      <c r="O46" s="83">
        <f>SUM(O38,O23,O13,O10,O18,O35,O43,O7)</f>
        <v>10049475</v>
      </c>
    </row>
    <row r="47" spans="1:3" ht="12.75">
      <c r="A47" s="40"/>
      <c r="B47" s="40"/>
      <c r="C47" s="40"/>
    </row>
    <row r="50" spans="5:15" ht="12.75"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</row>
  </sheetData>
  <sheetProtection/>
  <mergeCells count="1">
    <mergeCell ref="A5:O5"/>
  </mergeCells>
  <printOptions horizontalCentered="1"/>
  <pageMargins left="0.5118110236220472" right="0.5118110236220472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&amp;C&amp;8Dotacje - str.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G70"/>
  <sheetViews>
    <sheetView zoomScalePageLayoutView="0" workbookViewId="0" topLeftCell="A1">
      <selection activeCell="O18" sqref="O18"/>
    </sheetView>
  </sheetViews>
  <sheetFormatPr defaultColWidth="9.00390625" defaultRowHeight="12.75"/>
  <cols>
    <col min="1" max="1" width="6.25390625" style="6" customWidth="1"/>
    <col min="2" max="2" width="7.25390625" style="6" bestFit="1" customWidth="1"/>
    <col min="3" max="3" width="5.75390625" style="6" customWidth="1"/>
    <col min="4" max="4" width="32.75390625" style="6" customWidth="1"/>
    <col min="5" max="5" width="13.375" style="0" hidden="1" customWidth="1"/>
    <col min="6" max="6" width="13.875" style="0" hidden="1" customWidth="1"/>
    <col min="7" max="7" width="0.12890625" style="0" hidden="1" customWidth="1"/>
    <col min="8" max="8" width="11.00390625" style="0" hidden="1" customWidth="1"/>
    <col min="9" max="9" width="14.125" style="0" customWidth="1"/>
    <col min="10" max="10" width="11.00390625" style="0" customWidth="1"/>
    <col min="11" max="11" width="14.125" style="0" customWidth="1"/>
  </cols>
  <sheetData>
    <row r="1" spans="5:11" ht="12.75">
      <c r="E1" s="41" t="s">
        <v>316</v>
      </c>
      <c r="F1" s="41"/>
      <c r="G1" s="41" t="s">
        <v>323</v>
      </c>
      <c r="H1" s="41"/>
      <c r="I1" s="41" t="s">
        <v>338</v>
      </c>
      <c r="J1" s="41"/>
      <c r="K1" s="41"/>
    </row>
    <row r="2" spans="4:11" ht="12.75">
      <c r="D2" s="6" t="s">
        <v>214</v>
      </c>
      <c r="E2" s="41" t="s">
        <v>313</v>
      </c>
      <c r="F2" s="41"/>
      <c r="G2" s="41" t="s">
        <v>322</v>
      </c>
      <c r="H2" s="41"/>
      <c r="I2" s="41" t="s">
        <v>333</v>
      </c>
      <c r="J2" s="41"/>
      <c r="K2" s="41"/>
    </row>
    <row r="3" spans="4:11" ht="12.75">
      <c r="D3" s="6" t="s">
        <v>213</v>
      </c>
      <c r="E3" s="41" t="s">
        <v>289</v>
      </c>
      <c r="F3" s="41"/>
      <c r="G3" s="41" t="s">
        <v>316</v>
      </c>
      <c r="H3" s="41"/>
      <c r="I3" s="41" t="s">
        <v>323</v>
      </c>
      <c r="J3" s="41"/>
      <c r="K3" s="41"/>
    </row>
    <row r="4" spans="5:11" ht="12.75">
      <c r="E4" s="41" t="s">
        <v>282</v>
      </c>
      <c r="F4" s="41"/>
      <c r="G4" s="41" t="s">
        <v>317</v>
      </c>
      <c r="H4" s="41"/>
      <c r="I4" s="41" t="s">
        <v>334</v>
      </c>
      <c r="J4" s="41"/>
      <c r="K4" s="41"/>
    </row>
    <row r="5" spans="1:11" ht="44.25" customHeight="1">
      <c r="A5" s="164" t="s">
        <v>304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</row>
    <row r="6" spans="1:11" s="6" customFormat="1" ht="24.75" customHeight="1">
      <c r="A6" s="10" t="s">
        <v>0</v>
      </c>
      <c r="B6" s="10" t="s">
        <v>1</v>
      </c>
      <c r="C6" s="10" t="s">
        <v>2</v>
      </c>
      <c r="D6" s="16" t="s">
        <v>3</v>
      </c>
      <c r="E6" s="88" t="s">
        <v>144</v>
      </c>
      <c r="F6" s="88" t="s">
        <v>275</v>
      </c>
      <c r="G6" s="88" t="s">
        <v>145</v>
      </c>
      <c r="H6" s="88" t="s">
        <v>275</v>
      </c>
      <c r="I6" s="88" t="s">
        <v>145</v>
      </c>
      <c r="J6" s="88" t="s">
        <v>275</v>
      </c>
      <c r="K6" s="88" t="s">
        <v>280</v>
      </c>
    </row>
    <row r="7" spans="1:11" s="6" customFormat="1" ht="24.75" customHeight="1">
      <c r="A7" s="27" t="s">
        <v>4</v>
      </c>
      <c r="B7" s="10"/>
      <c r="C7" s="11"/>
      <c r="D7" s="26"/>
      <c r="E7" s="88"/>
      <c r="F7" s="88"/>
      <c r="G7" s="88"/>
      <c r="H7" s="88"/>
      <c r="I7" s="98">
        <f>SUM(I8)</f>
        <v>0</v>
      </c>
      <c r="J7" s="98">
        <f>SUM(J8)</f>
        <v>285502</v>
      </c>
      <c r="K7" s="98">
        <f>SUM(K8)</f>
        <v>285502</v>
      </c>
    </row>
    <row r="8" spans="1:11" s="113" customFormat="1" ht="24.75" customHeight="1">
      <c r="A8" s="152"/>
      <c r="B8" s="116" t="s">
        <v>239</v>
      </c>
      <c r="C8" s="122"/>
      <c r="D8" s="149" t="s">
        <v>6</v>
      </c>
      <c r="E8" s="133"/>
      <c r="F8" s="133"/>
      <c r="G8" s="133"/>
      <c r="H8" s="133"/>
      <c r="I8" s="142">
        <f>SUM(I9:I10)</f>
        <v>0</v>
      </c>
      <c r="J8" s="142">
        <f>SUM(J9:J10)</f>
        <v>285502</v>
      </c>
      <c r="K8" s="142">
        <f>SUM(K9:K10)</f>
        <v>285502</v>
      </c>
    </row>
    <row r="9" spans="1:11" s="113" customFormat="1" ht="24.75" customHeight="1">
      <c r="A9" s="152"/>
      <c r="B9" s="116"/>
      <c r="C9" s="122">
        <v>4210</v>
      </c>
      <c r="D9" s="149" t="s">
        <v>94</v>
      </c>
      <c r="E9" s="133"/>
      <c r="F9" s="133"/>
      <c r="G9" s="133"/>
      <c r="H9" s="133"/>
      <c r="I9" s="142">
        <v>0</v>
      </c>
      <c r="J9" s="142">
        <v>5598</v>
      </c>
      <c r="K9" s="142">
        <f>SUM(I9:J9)</f>
        <v>5598</v>
      </c>
    </row>
    <row r="10" spans="1:11" s="113" customFormat="1" ht="24.75" customHeight="1">
      <c r="A10" s="152"/>
      <c r="B10" s="152"/>
      <c r="C10" s="122">
        <v>4430</v>
      </c>
      <c r="D10" s="161" t="s">
        <v>96</v>
      </c>
      <c r="E10" s="133"/>
      <c r="F10" s="133"/>
      <c r="G10" s="133"/>
      <c r="H10" s="133"/>
      <c r="I10" s="142">
        <v>0</v>
      </c>
      <c r="J10" s="142">
        <v>279904</v>
      </c>
      <c r="K10" s="142">
        <f>SUM(I10:J10)</f>
        <v>279904</v>
      </c>
    </row>
    <row r="11" spans="1:11" s="22" customFormat="1" ht="21" customHeight="1">
      <c r="A11" s="27" t="s">
        <v>15</v>
      </c>
      <c r="B11" s="3"/>
      <c r="C11" s="18"/>
      <c r="D11" s="26" t="s">
        <v>16</v>
      </c>
      <c r="E11" s="36">
        <f aca="true" t="shared" si="0" ref="E11:K11">SUM(E12)</f>
        <v>156600</v>
      </c>
      <c r="F11" s="36">
        <f t="shared" si="0"/>
        <v>0</v>
      </c>
      <c r="G11" s="36">
        <f t="shared" si="0"/>
        <v>156600</v>
      </c>
      <c r="H11" s="36">
        <f t="shared" si="0"/>
        <v>0</v>
      </c>
      <c r="I11" s="36">
        <f t="shared" si="0"/>
        <v>156600</v>
      </c>
      <c r="J11" s="36">
        <f t="shared" si="0"/>
        <v>0</v>
      </c>
      <c r="K11" s="36">
        <f t="shared" si="0"/>
        <v>156600</v>
      </c>
    </row>
    <row r="12" spans="1:11" s="22" customFormat="1" ht="21" customHeight="1">
      <c r="A12" s="58"/>
      <c r="B12" s="58">
        <v>75011</v>
      </c>
      <c r="C12" s="65"/>
      <c r="D12" s="62" t="s">
        <v>17</v>
      </c>
      <c r="E12" s="77">
        <f aca="true" t="shared" si="1" ref="E12:K12">SUM(E13:E17)</f>
        <v>156600</v>
      </c>
      <c r="F12" s="77">
        <f t="shared" si="1"/>
        <v>0</v>
      </c>
      <c r="G12" s="77">
        <f t="shared" si="1"/>
        <v>156600</v>
      </c>
      <c r="H12" s="77">
        <f t="shared" si="1"/>
        <v>0</v>
      </c>
      <c r="I12" s="77">
        <f t="shared" si="1"/>
        <v>156600</v>
      </c>
      <c r="J12" s="77">
        <f t="shared" si="1"/>
        <v>0</v>
      </c>
      <c r="K12" s="77">
        <f t="shared" si="1"/>
        <v>156600</v>
      </c>
    </row>
    <row r="13" spans="1:11" s="22" customFormat="1" ht="21" customHeight="1">
      <c r="A13" s="58"/>
      <c r="B13" s="37"/>
      <c r="C13" s="59">
        <v>4010</v>
      </c>
      <c r="D13" s="62" t="s">
        <v>86</v>
      </c>
      <c r="E13" s="77">
        <v>112525</v>
      </c>
      <c r="F13" s="77"/>
      <c r="G13" s="77">
        <f>SUM(E13:F13)</f>
        <v>112525</v>
      </c>
      <c r="H13" s="77"/>
      <c r="I13" s="77">
        <f>SUM(G13:H13)</f>
        <v>112525</v>
      </c>
      <c r="J13" s="77"/>
      <c r="K13" s="77">
        <f>SUM(I13:J13)</f>
        <v>112525</v>
      </c>
    </row>
    <row r="14" spans="1:11" s="22" customFormat="1" ht="21" customHeight="1">
      <c r="A14" s="58"/>
      <c r="B14" s="37"/>
      <c r="C14" s="59">
        <v>4040</v>
      </c>
      <c r="D14" s="62" t="s">
        <v>87</v>
      </c>
      <c r="E14" s="77">
        <v>19000</v>
      </c>
      <c r="F14" s="77"/>
      <c r="G14" s="77">
        <f>SUM(E14:F14)</f>
        <v>19000</v>
      </c>
      <c r="H14" s="77"/>
      <c r="I14" s="77">
        <f>SUM(G14:H14)</f>
        <v>19000</v>
      </c>
      <c r="J14" s="77"/>
      <c r="K14" s="77">
        <f>SUM(I14:J14)</f>
        <v>19000</v>
      </c>
    </row>
    <row r="15" spans="1:11" s="22" customFormat="1" ht="21" customHeight="1">
      <c r="A15" s="58"/>
      <c r="B15" s="37"/>
      <c r="C15" s="59">
        <v>4110</v>
      </c>
      <c r="D15" s="62" t="s">
        <v>88</v>
      </c>
      <c r="E15" s="77">
        <v>13626</v>
      </c>
      <c r="F15" s="77"/>
      <c r="G15" s="77">
        <f>SUM(E15:F15)</f>
        <v>13626</v>
      </c>
      <c r="H15" s="77"/>
      <c r="I15" s="77">
        <f>SUM(G15:H15)</f>
        <v>13626</v>
      </c>
      <c r="J15" s="77"/>
      <c r="K15" s="77">
        <f>SUM(I15:J15)</f>
        <v>13626</v>
      </c>
    </row>
    <row r="16" spans="1:11" s="22" customFormat="1" ht="21" customHeight="1">
      <c r="A16" s="58"/>
      <c r="B16" s="37"/>
      <c r="C16" s="59">
        <v>4120</v>
      </c>
      <c r="D16" s="62" t="s">
        <v>89</v>
      </c>
      <c r="E16" s="77">
        <v>2186</v>
      </c>
      <c r="F16" s="77"/>
      <c r="G16" s="77">
        <f>SUM(E16:F16)</f>
        <v>2186</v>
      </c>
      <c r="H16" s="77"/>
      <c r="I16" s="77">
        <f>SUM(G16:H16)</f>
        <v>2186</v>
      </c>
      <c r="J16" s="77"/>
      <c r="K16" s="77">
        <f>SUM(I16:J16)</f>
        <v>2186</v>
      </c>
    </row>
    <row r="17" spans="1:11" s="22" customFormat="1" ht="22.5">
      <c r="A17" s="58"/>
      <c r="B17" s="37"/>
      <c r="C17" s="60">
        <v>4440</v>
      </c>
      <c r="D17" s="62" t="s">
        <v>90</v>
      </c>
      <c r="E17" s="77">
        <v>9263</v>
      </c>
      <c r="F17" s="77"/>
      <c r="G17" s="77">
        <f>SUM(E17:F17)</f>
        <v>9263</v>
      </c>
      <c r="H17" s="77"/>
      <c r="I17" s="77">
        <f>SUM(G17:H17)</f>
        <v>9263</v>
      </c>
      <c r="J17" s="77"/>
      <c r="K17" s="77">
        <f>SUM(I17:J17)</f>
        <v>9263</v>
      </c>
    </row>
    <row r="18" spans="1:11" s="22" customFormat="1" ht="36">
      <c r="A18" s="27">
        <v>751</v>
      </c>
      <c r="B18" s="3"/>
      <c r="C18" s="18"/>
      <c r="D18" s="26" t="s">
        <v>20</v>
      </c>
      <c r="E18" s="36">
        <f>E19</f>
        <v>3910</v>
      </c>
      <c r="F18" s="36">
        <f>F19</f>
        <v>0</v>
      </c>
      <c r="G18" s="36">
        <f>G19+G24</f>
        <v>3910</v>
      </c>
      <c r="H18" s="36">
        <f>H19+H24</f>
        <v>19932</v>
      </c>
      <c r="I18" s="36">
        <f>I19+I24</f>
        <v>23842</v>
      </c>
      <c r="J18" s="36">
        <f>J19+J24</f>
        <v>1000</v>
      </c>
      <c r="K18" s="36">
        <f>K19+K24</f>
        <v>24842</v>
      </c>
    </row>
    <row r="19" spans="1:11" s="22" customFormat="1" ht="22.5">
      <c r="A19" s="37"/>
      <c r="B19" s="58">
        <v>75101</v>
      </c>
      <c r="C19" s="65"/>
      <c r="D19" s="62" t="s">
        <v>21</v>
      </c>
      <c r="E19" s="77">
        <f aca="true" t="shared" si="2" ref="E19:K19">SUM(E20:E23)</f>
        <v>3910</v>
      </c>
      <c r="F19" s="77">
        <f t="shared" si="2"/>
        <v>0</v>
      </c>
      <c r="G19" s="77">
        <f t="shared" si="2"/>
        <v>3910</v>
      </c>
      <c r="H19" s="77">
        <f t="shared" si="2"/>
        <v>0</v>
      </c>
      <c r="I19" s="77">
        <f t="shared" si="2"/>
        <v>3910</v>
      </c>
      <c r="J19" s="77">
        <f t="shared" si="2"/>
        <v>0</v>
      </c>
      <c r="K19" s="77">
        <f t="shared" si="2"/>
        <v>3910</v>
      </c>
    </row>
    <row r="20" spans="1:11" s="22" customFormat="1" ht="21" customHeight="1">
      <c r="A20" s="37"/>
      <c r="B20" s="58"/>
      <c r="C20" s="59">
        <v>4210</v>
      </c>
      <c r="D20" s="62" t="s">
        <v>94</v>
      </c>
      <c r="E20" s="77">
        <v>1410</v>
      </c>
      <c r="F20" s="77"/>
      <c r="G20" s="77">
        <f>SUM(E20:F20)</f>
        <v>1410</v>
      </c>
      <c r="H20" s="77"/>
      <c r="I20" s="77">
        <f>SUM(G20:H20)</f>
        <v>1410</v>
      </c>
      <c r="J20" s="77"/>
      <c r="K20" s="77">
        <f>SUM(I20:J20)</f>
        <v>1410</v>
      </c>
    </row>
    <row r="21" spans="1:11" s="22" customFormat="1" ht="22.5">
      <c r="A21" s="37"/>
      <c r="B21" s="58"/>
      <c r="C21" s="59">
        <v>4700</v>
      </c>
      <c r="D21" s="34" t="s">
        <v>246</v>
      </c>
      <c r="E21" s="77">
        <v>500</v>
      </c>
      <c r="F21" s="77"/>
      <c r="G21" s="77">
        <f>SUM(E21:F21)</f>
        <v>500</v>
      </c>
      <c r="H21" s="77"/>
      <c r="I21" s="77">
        <f>SUM(G21:H21)</f>
        <v>500</v>
      </c>
      <c r="J21" s="77"/>
      <c r="K21" s="77">
        <f>SUM(I21:J21)</f>
        <v>500</v>
      </c>
    </row>
    <row r="22" spans="1:11" s="22" customFormat="1" ht="33.75">
      <c r="A22" s="37"/>
      <c r="B22" s="58"/>
      <c r="C22" s="59">
        <v>4740</v>
      </c>
      <c r="D22" s="34" t="s">
        <v>232</v>
      </c>
      <c r="E22" s="77">
        <v>1000</v>
      </c>
      <c r="F22" s="77"/>
      <c r="G22" s="77">
        <f>SUM(E22:F22)</f>
        <v>1000</v>
      </c>
      <c r="H22" s="77"/>
      <c r="I22" s="77">
        <f>SUM(G22:H22)</f>
        <v>1000</v>
      </c>
      <c r="J22" s="77"/>
      <c r="K22" s="77">
        <f>SUM(I22:J22)</f>
        <v>1000</v>
      </c>
    </row>
    <row r="23" spans="1:11" s="22" customFormat="1" ht="22.5">
      <c r="A23" s="37"/>
      <c r="B23" s="58"/>
      <c r="C23" s="59">
        <v>4750</v>
      </c>
      <c r="D23" s="34" t="s">
        <v>252</v>
      </c>
      <c r="E23" s="77">
        <v>1000</v>
      </c>
      <c r="F23" s="77"/>
      <c r="G23" s="77">
        <f>SUM(E23:F23)</f>
        <v>1000</v>
      </c>
      <c r="H23" s="77"/>
      <c r="I23" s="77">
        <f>SUM(G23:H23)</f>
        <v>1000</v>
      </c>
      <c r="J23" s="77"/>
      <c r="K23" s="77">
        <f>SUM(I23:J23)</f>
        <v>1000</v>
      </c>
    </row>
    <row r="24" spans="1:11" s="22" customFormat="1" ht="23.25" customHeight="1">
      <c r="A24" s="37"/>
      <c r="B24" s="58">
        <v>75113</v>
      </c>
      <c r="C24" s="59"/>
      <c r="D24" s="51" t="s">
        <v>318</v>
      </c>
      <c r="E24" s="77"/>
      <c r="F24" s="77"/>
      <c r="G24" s="77">
        <f>SUM(G25:G32)</f>
        <v>0</v>
      </c>
      <c r="H24" s="77">
        <f>SUM(H25:H32)</f>
        <v>19932</v>
      </c>
      <c r="I24" s="77">
        <f>SUM(I25:I32)</f>
        <v>19932</v>
      </c>
      <c r="J24" s="77">
        <f>SUM(J25:J32)</f>
        <v>1000</v>
      </c>
      <c r="K24" s="77">
        <f>SUM(K25:K32)</f>
        <v>20932</v>
      </c>
    </row>
    <row r="25" spans="1:11" s="22" customFormat="1" ht="23.25" customHeight="1">
      <c r="A25" s="37"/>
      <c r="B25" s="58"/>
      <c r="C25" s="59">
        <v>4110</v>
      </c>
      <c r="D25" s="12" t="s">
        <v>88</v>
      </c>
      <c r="E25" s="77"/>
      <c r="F25" s="77"/>
      <c r="G25" s="77">
        <v>0</v>
      </c>
      <c r="H25" s="77">
        <v>72</v>
      </c>
      <c r="I25" s="77">
        <f aca="true" t="shared" si="3" ref="I25:I32">SUM(G25:H25)</f>
        <v>72</v>
      </c>
      <c r="J25" s="77"/>
      <c r="K25" s="77">
        <f aca="true" t="shared" si="4" ref="K25:K32">SUM(I25:J25)</f>
        <v>72</v>
      </c>
    </row>
    <row r="26" spans="1:11" s="22" customFormat="1" ht="23.25" customHeight="1">
      <c r="A26" s="37"/>
      <c r="B26" s="58"/>
      <c r="C26" s="59">
        <v>4120</v>
      </c>
      <c r="D26" s="12" t="s">
        <v>89</v>
      </c>
      <c r="E26" s="77"/>
      <c r="F26" s="77"/>
      <c r="G26" s="77">
        <v>0</v>
      </c>
      <c r="H26" s="77">
        <v>428</v>
      </c>
      <c r="I26" s="77">
        <f t="shared" si="3"/>
        <v>428</v>
      </c>
      <c r="J26" s="77"/>
      <c r="K26" s="77">
        <f t="shared" si="4"/>
        <v>428</v>
      </c>
    </row>
    <row r="27" spans="1:11" s="22" customFormat="1" ht="23.25" customHeight="1">
      <c r="A27" s="37"/>
      <c r="B27" s="58"/>
      <c r="C27" s="59">
        <v>4170</v>
      </c>
      <c r="D27" s="51" t="s">
        <v>198</v>
      </c>
      <c r="E27" s="77"/>
      <c r="F27" s="77"/>
      <c r="G27" s="77">
        <v>0</v>
      </c>
      <c r="H27" s="77">
        <v>6580</v>
      </c>
      <c r="I27" s="77">
        <f t="shared" si="3"/>
        <v>6580</v>
      </c>
      <c r="J27" s="77"/>
      <c r="K27" s="77">
        <f t="shared" si="4"/>
        <v>6580</v>
      </c>
    </row>
    <row r="28" spans="1:11" s="22" customFormat="1" ht="22.5" customHeight="1">
      <c r="A28" s="37"/>
      <c r="B28" s="58"/>
      <c r="C28" s="59">
        <v>4210</v>
      </c>
      <c r="D28" s="62" t="s">
        <v>94</v>
      </c>
      <c r="E28" s="77"/>
      <c r="F28" s="77"/>
      <c r="G28" s="77">
        <v>0</v>
      </c>
      <c r="H28" s="77">
        <v>7844</v>
      </c>
      <c r="I28" s="77">
        <f t="shared" si="3"/>
        <v>7844</v>
      </c>
      <c r="J28" s="77">
        <v>1000</v>
      </c>
      <c r="K28" s="77">
        <f t="shared" si="4"/>
        <v>8844</v>
      </c>
    </row>
    <row r="29" spans="1:11" s="22" customFormat="1" ht="22.5" customHeight="1">
      <c r="A29" s="37"/>
      <c r="B29" s="58"/>
      <c r="C29" s="59">
        <v>4300</v>
      </c>
      <c r="D29" s="34" t="s">
        <v>81</v>
      </c>
      <c r="E29" s="77"/>
      <c r="F29" s="77"/>
      <c r="G29" s="77">
        <v>0</v>
      </c>
      <c r="H29" s="77">
        <v>2037</v>
      </c>
      <c r="I29" s="77">
        <f t="shared" si="3"/>
        <v>2037</v>
      </c>
      <c r="J29" s="77"/>
      <c r="K29" s="77">
        <f t="shared" si="4"/>
        <v>2037</v>
      </c>
    </row>
    <row r="30" spans="1:11" s="22" customFormat="1" ht="22.5" customHeight="1">
      <c r="A30" s="37"/>
      <c r="B30" s="58"/>
      <c r="C30" s="59">
        <v>4410</v>
      </c>
      <c r="D30" s="34" t="s">
        <v>92</v>
      </c>
      <c r="E30" s="77"/>
      <c r="F30" s="77"/>
      <c r="G30" s="77">
        <v>0</v>
      </c>
      <c r="H30" s="77">
        <v>2500</v>
      </c>
      <c r="I30" s="77">
        <f t="shared" si="3"/>
        <v>2500</v>
      </c>
      <c r="J30" s="77"/>
      <c r="K30" s="77">
        <f t="shared" si="4"/>
        <v>2500</v>
      </c>
    </row>
    <row r="31" spans="1:11" s="22" customFormat="1" ht="22.5" customHeight="1">
      <c r="A31" s="37"/>
      <c r="B31" s="58"/>
      <c r="C31" s="59">
        <v>4740</v>
      </c>
      <c r="D31" s="34" t="s">
        <v>232</v>
      </c>
      <c r="E31" s="77"/>
      <c r="F31" s="77"/>
      <c r="G31" s="77">
        <v>0</v>
      </c>
      <c r="H31" s="77">
        <v>238</v>
      </c>
      <c r="I31" s="77">
        <f t="shared" si="3"/>
        <v>238</v>
      </c>
      <c r="J31" s="77"/>
      <c r="K31" s="77">
        <f t="shared" si="4"/>
        <v>238</v>
      </c>
    </row>
    <row r="32" spans="1:11" s="22" customFormat="1" ht="22.5" customHeight="1">
      <c r="A32" s="37"/>
      <c r="B32" s="58"/>
      <c r="C32" s="59">
        <v>4750</v>
      </c>
      <c r="D32" s="34" t="s">
        <v>252</v>
      </c>
      <c r="E32" s="77"/>
      <c r="F32" s="77"/>
      <c r="G32" s="77">
        <v>0</v>
      </c>
      <c r="H32" s="77">
        <v>233</v>
      </c>
      <c r="I32" s="77">
        <f t="shared" si="3"/>
        <v>233</v>
      </c>
      <c r="J32" s="77"/>
      <c r="K32" s="77">
        <f t="shared" si="4"/>
        <v>233</v>
      </c>
    </row>
    <row r="33" spans="1:215" s="22" customFormat="1" ht="21" customHeight="1">
      <c r="A33" s="27">
        <v>852</v>
      </c>
      <c r="B33" s="3"/>
      <c r="C33" s="18"/>
      <c r="D33" s="26" t="s">
        <v>191</v>
      </c>
      <c r="E33" s="36">
        <f aca="true" t="shared" si="5" ref="E33:K33">SUM(E34,E47,E49,)</f>
        <v>7006200</v>
      </c>
      <c r="F33" s="36">
        <f t="shared" si="5"/>
        <v>380900</v>
      </c>
      <c r="G33" s="36">
        <f t="shared" si="5"/>
        <v>7387100</v>
      </c>
      <c r="H33" s="36">
        <f t="shared" si="5"/>
        <v>0</v>
      </c>
      <c r="I33" s="36">
        <f t="shared" si="5"/>
        <v>7387100</v>
      </c>
      <c r="J33" s="36">
        <f t="shared" si="5"/>
        <v>0</v>
      </c>
      <c r="K33" s="36">
        <f t="shared" si="5"/>
        <v>7387100</v>
      </c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  <c r="DP33" s="95"/>
      <c r="DQ33" s="95"/>
      <c r="DR33" s="95"/>
      <c r="DS33" s="95"/>
      <c r="DT33" s="95"/>
      <c r="DU33" s="95"/>
      <c r="DV33" s="95"/>
      <c r="DW33" s="95"/>
      <c r="DX33" s="95"/>
      <c r="DY33" s="95"/>
      <c r="DZ33" s="95"/>
      <c r="EA33" s="95"/>
      <c r="EB33" s="95"/>
      <c r="EC33" s="95"/>
      <c r="ED33" s="95"/>
      <c r="EE33" s="95"/>
      <c r="EF33" s="95"/>
      <c r="EG33" s="95"/>
      <c r="EH33" s="95"/>
      <c r="EI33" s="95"/>
      <c r="EJ33" s="95"/>
      <c r="EK33" s="95"/>
      <c r="EL33" s="95"/>
      <c r="EM33" s="95"/>
      <c r="EN33" s="95"/>
      <c r="EO33" s="95"/>
      <c r="EP33" s="95"/>
      <c r="EQ33" s="95"/>
      <c r="ER33" s="95"/>
      <c r="ES33" s="95"/>
      <c r="ET33" s="95"/>
      <c r="EU33" s="95"/>
      <c r="EV33" s="95"/>
      <c r="EW33" s="95"/>
      <c r="EX33" s="95"/>
      <c r="EY33" s="95"/>
      <c r="EZ33" s="95"/>
      <c r="FA33" s="95"/>
      <c r="FB33" s="95"/>
      <c r="FC33" s="95"/>
      <c r="FD33" s="95"/>
      <c r="FE33" s="95"/>
      <c r="FF33" s="95"/>
      <c r="FG33" s="95"/>
      <c r="FH33" s="95"/>
      <c r="FI33" s="95"/>
      <c r="FJ33" s="95"/>
      <c r="FK33" s="95"/>
      <c r="FL33" s="95"/>
      <c r="FM33" s="95"/>
      <c r="FN33" s="95"/>
      <c r="FO33" s="95"/>
      <c r="FP33" s="95"/>
      <c r="FQ33" s="95"/>
      <c r="FR33" s="95"/>
      <c r="FS33" s="95"/>
      <c r="FT33" s="95"/>
      <c r="FU33" s="95"/>
      <c r="FV33" s="95"/>
      <c r="FW33" s="95"/>
      <c r="FX33" s="95"/>
      <c r="FY33" s="95"/>
      <c r="FZ33" s="95"/>
      <c r="GA33" s="95"/>
      <c r="GB33" s="95"/>
      <c r="GC33" s="95"/>
      <c r="GD33" s="95"/>
      <c r="GE33" s="95"/>
      <c r="GF33" s="95"/>
      <c r="GG33" s="95"/>
      <c r="GH33" s="95"/>
      <c r="GI33" s="95"/>
      <c r="GJ33" s="95"/>
      <c r="GK33" s="95"/>
      <c r="GL33" s="95"/>
      <c r="GM33" s="95"/>
      <c r="GN33" s="95"/>
      <c r="GO33" s="95"/>
      <c r="GP33" s="95"/>
      <c r="GQ33" s="95"/>
      <c r="GR33" s="95"/>
      <c r="GS33" s="95"/>
      <c r="GT33" s="95"/>
      <c r="GU33" s="95"/>
      <c r="GV33" s="95"/>
      <c r="GW33" s="95"/>
      <c r="GX33" s="95"/>
      <c r="GY33" s="95"/>
      <c r="GZ33" s="95"/>
      <c r="HA33" s="95"/>
      <c r="HB33" s="95"/>
      <c r="HC33" s="95"/>
      <c r="HD33" s="95"/>
      <c r="HE33" s="95"/>
      <c r="HF33" s="95"/>
      <c r="HG33" s="95"/>
    </row>
    <row r="34" spans="1:215" s="22" customFormat="1" ht="45">
      <c r="A34" s="81"/>
      <c r="B34" s="37">
        <v>85212</v>
      </c>
      <c r="C34" s="64"/>
      <c r="D34" s="62" t="s">
        <v>297</v>
      </c>
      <c r="E34" s="77">
        <f aca="true" t="shared" si="6" ref="E34:K34">SUM(E35:E46)</f>
        <v>6479100</v>
      </c>
      <c r="F34" s="77">
        <f t="shared" si="6"/>
        <v>334300</v>
      </c>
      <c r="G34" s="77">
        <f t="shared" si="6"/>
        <v>6813400</v>
      </c>
      <c r="H34" s="77">
        <f t="shared" si="6"/>
        <v>0</v>
      </c>
      <c r="I34" s="77">
        <f t="shared" si="6"/>
        <v>6813400</v>
      </c>
      <c r="J34" s="77">
        <f t="shared" si="6"/>
        <v>0</v>
      </c>
      <c r="K34" s="77">
        <f t="shared" si="6"/>
        <v>6813400</v>
      </c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5"/>
      <c r="DN34" s="95"/>
      <c r="DO34" s="95"/>
      <c r="DP34" s="95"/>
      <c r="DQ34" s="95"/>
      <c r="DR34" s="95"/>
      <c r="DS34" s="95"/>
      <c r="DT34" s="95"/>
      <c r="DU34" s="95"/>
      <c r="DV34" s="95"/>
      <c r="DW34" s="95"/>
      <c r="DX34" s="95"/>
      <c r="DY34" s="95"/>
      <c r="DZ34" s="95"/>
      <c r="EA34" s="95"/>
      <c r="EB34" s="95"/>
      <c r="EC34" s="95"/>
      <c r="ED34" s="95"/>
      <c r="EE34" s="95"/>
      <c r="EF34" s="95"/>
      <c r="EG34" s="95"/>
      <c r="EH34" s="95"/>
      <c r="EI34" s="95"/>
      <c r="EJ34" s="95"/>
      <c r="EK34" s="95"/>
      <c r="EL34" s="95"/>
      <c r="EM34" s="95"/>
      <c r="EN34" s="95"/>
      <c r="EO34" s="95"/>
      <c r="EP34" s="95"/>
      <c r="EQ34" s="95"/>
      <c r="ER34" s="95"/>
      <c r="ES34" s="95"/>
      <c r="ET34" s="95"/>
      <c r="EU34" s="95"/>
      <c r="EV34" s="95"/>
      <c r="EW34" s="95"/>
      <c r="EX34" s="95"/>
      <c r="EY34" s="95"/>
      <c r="EZ34" s="95"/>
      <c r="FA34" s="95"/>
      <c r="FB34" s="95"/>
      <c r="FC34" s="95"/>
      <c r="FD34" s="95"/>
      <c r="FE34" s="95"/>
      <c r="FF34" s="95"/>
      <c r="FG34" s="95"/>
      <c r="FH34" s="95"/>
      <c r="FI34" s="95"/>
      <c r="FJ34" s="95"/>
      <c r="FK34" s="95"/>
      <c r="FL34" s="95"/>
      <c r="FM34" s="95"/>
      <c r="FN34" s="95"/>
      <c r="FO34" s="95"/>
      <c r="FP34" s="95"/>
      <c r="FQ34" s="95"/>
      <c r="FR34" s="95"/>
      <c r="FS34" s="95"/>
      <c r="FT34" s="95"/>
      <c r="FU34" s="95"/>
      <c r="FV34" s="95"/>
      <c r="FW34" s="95"/>
      <c r="FX34" s="95"/>
      <c r="FY34" s="95"/>
      <c r="FZ34" s="95"/>
      <c r="GA34" s="95"/>
      <c r="GB34" s="95"/>
      <c r="GC34" s="95"/>
      <c r="GD34" s="95"/>
      <c r="GE34" s="95"/>
      <c r="GF34" s="95"/>
      <c r="GG34" s="95"/>
      <c r="GH34" s="95"/>
      <c r="GI34" s="95"/>
      <c r="GJ34" s="95"/>
      <c r="GK34" s="95"/>
      <c r="GL34" s="95"/>
      <c r="GM34" s="95"/>
      <c r="GN34" s="95"/>
      <c r="GO34" s="95"/>
      <c r="GP34" s="95"/>
      <c r="GQ34" s="95"/>
      <c r="GR34" s="95"/>
      <c r="GS34" s="95"/>
      <c r="GT34" s="95"/>
      <c r="GU34" s="95"/>
      <c r="GV34" s="95"/>
      <c r="GW34" s="95"/>
      <c r="GX34" s="95"/>
      <c r="GY34" s="95"/>
      <c r="GZ34" s="95"/>
      <c r="HA34" s="95"/>
      <c r="HB34" s="95"/>
      <c r="HC34" s="95"/>
      <c r="HD34" s="95"/>
      <c r="HE34" s="95"/>
      <c r="HF34" s="95"/>
      <c r="HG34" s="95"/>
    </row>
    <row r="35" spans="1:215" s="22" customFormat="1" ht="21" customHeight="1">
      <c r="A35" s="81"/>
      <c r="B35" s="37"/>
      <c r="C35" s="64">
        <v>3110</v>
      </c>
      <c r="D35" s="62" t="s">
        <v>114</v>
      </c>
      <c r="E35" s="56">
        <f>6284727-51000</f>
        <v>6233727</v>
      </c>
      <c r="F35" s="56">
        <v>324271</v>
      </c>
      <c r="G35" s="56">
        <f aca="true" t="shared" si="7" ref="G35:G46">SUM(E35:F35)</f>
        <v>6557998</v>
      </c>
      <c r="H35" s="56"/>
      <c r="I35" s="56">
        <f aca="true" t="shared" si="8" ref="I35:I46">SUM(G35:H35)</f>
        <v>6557998</v>
      </c>
      <c r="J35" s="56"/>
      <c r="K35" s="56">
        <f aca="true" t="shared" si="9" ref="K35:K46">SUM(I35:J35)</f>
        <v>6557998</v>
      </c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  <c r="DE35" s="95"/>
      <c r="DF35" s="95"/>
      <c r="DG35" s="95"/>
      <c r="DH35" s="95"/>
      <c r="DI35" s="95"/>
      <c r="DJ35" s="95"/>
      <c r="DK35" s="95"/>
      <c r="DL35" s="95"/>
      <c r="DM35" s="95"/>
      <c r="DN35" s="95"/>
      <c r="DO35" s="95"/>
      <c r="DP35" s="95"/>
      <c r="DQ35" s="95"/>
      <c r="DR35" s="95"/>
      <c r="DS35" s="95"/>
      <c r="DT35" s="95"/>
      <c r="DU35" s="95"/>
      <c r="DV35" s="95"/>
      <c r="DW35" s="95"/>
      <c r="DX35" s="95"/>
      <c r="DY35" s="95"/>
      <c r="DZ35" s="95"/>
      <c r="EA35" s="95"/>
      <c r="EB35" s="95"/>
      <c r="EC35" s="95"/>
      <c r="ED35" s="95"/>
      <c r="EE35" s="95"/>
      <c r="EF35" s="95"/>
      <c r="EG35" s="95"/>
      <c r="EH35" s="95"/>
      <c r="EI35" s="95"/>
      <c r="EJ35" s="95"/>
      <c r="EK35" s="95"/>
      <c r="EL35" s="95"/>
      <c r="EM35" s="95"/>
      <c r="EN35" s="95"/>
      <c r="EO35" s="95"/>
      <c r="EP35" s="95"/>
      <c r="EQ35" s="95"/>
      <c r="ER35" s="95"/>
      <c r="ES35" s="95"/>
      <c r="ET35" s="95"/>
      <c r="EU35" s="95"/>
      <c r="EV35" s="95"/>
      <c r="EW35" s="95"/>
      <c r="EX35" s="95"/>
      <c r="EY35" s="95"/>
      <c r="EZ35" s="95"/>
      <c r="FA35" s="95"/>
      <c r="FB35" s="95"/>
      <c r="FC35" s="95"/>
      <c r="FD35" s="95"/>
      <c r="FE35" s="95"/>
      <c r="FF35" s="95"/>
      <c r="FG35" s="95"/>
      <c r="FH35" s="95"/>
      <c r="FI35" s="95"/>
      <c r="FJ35" s="95"/>
      <c r="FK35" s="95"/>
      <c r="FL35" s="95"/>
      <c r="FM35" s="95"/>
      <c r="FN35" s="95"/>
      <c r="FO35" s="95"/>
      <c r="FP35" s="95"/>
      <c r="FQ35" s="95"/>
      <c r="FR35" s="95"/>
      <c r="FS35" s="95"/>
      <c r="FT35" s="95"/>
      <c r="FU35" s="95"/>
      <c r="FV35" s="95"/>
      <c r="FW35" s="95"/>
      <c r="FX35" s="95"/>
      <c r="FY35" s="95"/>
      <c r="FZ35" s="95"/>
      <c r="GA35" s="95"/>
      <c r="GB35" s="95"/>
      <c r="GC35" s="95"/>
      <c r="GD35" s="95"/>
      <c r="GE35" s="95"/>
      <c r="GF35" s="95"/>
      <c r="GG35" s="95"/>
      <c r="GH35" s="95"/>
      <c r="GI35" s="95"/>
      <c r="GJ35" s="95"/>
      <c r="GK35" s="95"/>
      <c r="GL35" s="95"/>
      <c r="GM35" s="95"/>
      <c r="GN35" s="95"/>
      <c r="GO35" s="95"/>
      <c r="GP35" s="95"/>
      <c r="GQ35" s="95"/>
      <c r="GR35" s="95"/>
      <c r="GS35" s="95"/>
      <c r="GT35" s="95"/>
      <c r="GU35" s="95"/>
      <c r="GV35" s="95"/>
      <c r="GW35" s="95"/>
      <c r="GX35" s="95"/>
      <c r="GY35" s="95"/>
      <c r="GZ35" s="95"/>
      <c r="HA35" s="95"/>
      <c r="HB35" s="95"/>
      <c r="HC35" s="95"/>
      <c r="HD35" s="95"/>
      <c r="HE35" s="95"/>
      <c r="HF35" s="95"/>
      <c r="HG35" s="95"/>
    </row>
    <row r="36" spans="1:215" s="22" customFormat="1" ht="21" customHeight="1">
      <c r="A36" s="81"/>
      <c r="B36" s="37"/>
      <c r="C36" s="37">
        <v>4010</v>
      </c>
      <c r="D36" s="12" t="s">
        <v>86</v>
      </c>
      <c r="E36" s="56">
        <v>153581</v>
      </c>
      <c r="F36" s="56">
        <v>1080</v>
      </c>
      <c r="G36" s="56">
        <f t="shared" si="7"/>
        <v>154661</v>
      </c>
      <c r="H36" s="56"/>
      <c r="I36" s="56">
        <f t="shared" si="8"/>
        <v>154661</v>
      </c>
      <c r="J36" s="56"/>
      <c r="K36" s="56">
        <f t="shared" si="9"/>
        <v>154661</v>
      </c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DJ36" s="95"/>
      <c r="DK36" s="95"/>
      <c r="DL36" s="95"/>
      <c r="DM36" s="95"/>
      <c r="DN36" s="95"/>
      <c r="DO36" s="95"/>
      <c r="DP36" s="95"/>
      <c r="DQ36" s="95"/>
      <c r="DR36" s="95"/>
      <c r="DS36" s="95"/>
      <c r="DT36" s="95"/>
      <c r="DU36" s="95"/>
      <c r="DV36" s="95"/>
      <c r="DW36" s="95"/>
      <c r="DX36" s="95"/>
      <c r="DY36" s="95"/>
      <c r="DZ36" s="95"/>
      <c r="EA36" s="95"/>
      <c r="EB36" s="95"/>
      <c r="EC36" s="95"/>
      <c r="ED36" s="95"/>
      <c r="EE36" s="95"/>
      <c r="EF36" s="95"/>
      <c r="EG36" s="95"/>
      <c r="EH36" s="95"/>
      <c r="EI36" s="95"/>
      <c r="EJ36" s="95"/>
      <c r="EK36" s="95"/>
      <c r="EL36" s="95"/>
      <c r="EM36" s="95"/>
      <c r="EN36" s="95"/>
      <c r="EO36" s="95"/>
      <c r="EP36" s="95"/>
      <c r="EQ36" s="95"/>
      <c r="ER36" s="95"/>
      <c r="ES36" s="95"/>
      <c r="ET36" s="95"/>
      <c r="EU36" s="95"/>
      <c r="EV36" s="95"/>
      <c r="EW36" s="95"/>
      <c r="EX36" s="95"/>
      <c r="EY36" s="95"/>
      <c r="EZ36" s="95"/>
      <c r="FA36" s="95"/>
      <c r="FB36" s="95"/>
      <c r="FC36" s="95"/>
      <c r="FD36" s="95"/>
      <c r="FE36" s="95"/>
      <c r="FF36" s="95"/>
      <c r="FG36" s="95"/>
      <c r="FH36" s="95"/>
      <c r="FI36" s="95"/>
      <c r="FJ36" s="95"/>
      <c r="FK36" s="95"/>
      <c r="FL36" s="95"/>
      <c r="FM36" s="95"/>
      <c r="FN36" s="95"/>
      <c r="FO36" s="95"/>
      <c r="FP36" s="95"/>
      <c r="FQ36" s="95"/>
      <c r="FR36" s="95"/>
      <c r="FS36" s="95"/>
      <c r="FT36" s="95"/>
      <c r="FU36" s="95"/>
      <c r="FV36" s="95"/>
      <c r="FW36" s="95"/>
      <c r="FX36" s="95"/>
      <c r="FY36" s="95"/>
      <c r="FZ36" s="95"/>
      <c r="GA36" s="95"/>
      <c r="GB36" s="95"/>
      <c r="GC36" s="95"/>
      <c r="GD36" s="95"/>
      <c r="GE36" s="95"/>
      <c r="GF36" s="95"/>
      <c r="GG36" s="95"/>
      <c r="GH36" s="95"/>
      <c r="GI36" s="95"/>
      <c r="GJ36" s="95"/>
      <c r="GK36" s="95"/>
      <c r="GL36" s="95"/>
      <c r="GM36" s="95"/>
      <c r="GN36" s="95"/>
      <c r="GO36" s="95"/>
      <c r="GP36" s="95"/>
      <c r="GQ36" s="95"/>
      <c r="GR36" s="95"/>
      <c r="GS36" s="95"/>
      <c r="GT36" s="95"/>
      <c r="GU36" s="95"/>
      <c r="GV36" s="95"/>
      <c r="GW36" s="95"/>
      <c r="GX36" s="95"/>
      <c r="GY36" s="95"/>
      <c r="GZ36" s="95"/>
      <c r="HA36" s="95"/>
      <c r="HB36" s="95"/>
      <c r="HC36" s="95"/>
      <c r="HD36" s="95"/>
      <c r="HE36" s="95"/>
      <c r="HF36" s="95"/>
      <c r="HG36" s="95"/>
    </row>
    <row r="37" spans="1:215" s="22" customFormat="1" ht="21" customHeight="1">
      <c r="A37" s="81"/>
      <c r="B37" s="37"/>
      <c r="C37" s="37">
        <v>4040</v>
      </c>
      <c r="D37" s="12" t="s">
        <v>87</v>
      </c>
      <c r="E37" s="56">
        <v>12000</v>
      </c>
      <c r="F37" s="56">
        <v>-1406</v>
      </c>
      <c r="G37" s="56">
        <f t="shared" si="7"/>
        <v>10594</v>
      </c>
      <c r="H37" s="56"/>
      <c r="I37" s="56">
        <f t="shared" si="8"/>
        <v>10594</v>
      </c>
      <c r="J37" s="56"/>
      <c r="K37" s="56">
        <f t="shared" si="9"/>
        <v>10594</v>
      </c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5"/>
      <c r="DN37" s="95"/>
      <c r="DO37" s="95"/>
      <c r="DP37" s="95"/>
      <c r="DQ37" s="95"/>
      <c r="DR37" s="95"/>
      <c r="DS37" s="95"/>
      <c r="DT37" s="95"/>
      <c r="DU37" s="95"/>
      <c r="DV37" s="95"/>
      <c r="DW37" s="95"/>
      <c r="DX37" s="95"/>
      <c r="DY37" s="95"/>
      <c r="DZ37" s="95"/>
      <c r="EA37" s="95"/>
      <c r="EB37" s="95"/>
      <c r="EC37" s="95"/>
      <c r="ED37" s="95"/>
      <c r="EE37" s="95"/>
      <c r="EF37" s="95"/>
      <c r="EG37" s="95"/>
      <c r="EH37" s="95"/>
      <c r="EI37" s="95"/>
      <c r="EJ37" s="95"/>
      <c r="EK37" s="95"/>
      <c r="EL37" s="95"/>
      <c r="EM37" s="95"/>
      <c r="EN37" s="95"/>
      <c r="EO37" s="95"/>
      <c r="EP37" s="95"/>
      <c r="EQ37" s="95"/>
      <c r="ER37" s="95"/>
      <c r="ES37" s="95"/>
      <c r="ET37" s="95"/>
      <c r="EU37" s="95"/>
      <c r="EV37" s="95"/>
      <c r="EW37" s="95"/>
      <c r="EX37" s="95"/>
      <c r="EY37" s="95"/>
      <c r="EZ37" s="95"/>
      <c r="FA37" s="95"/>
      <c r="FB37" s="95"/>
      <c r="FC37" s="95"/>
      <c r="FD37" s="95"/>
      <c r="FE37" s="95"/>
      <c r="FF37" s="95"/>
      <c r="FG37" s="95"/>
      <c r="FH37" s="95"/>
      <c r="FI37" s="95"/>
      <c r="FJ37" s="95"/>
      <c r="FK37" s="95"/>
      <c r="FL37" s="95"/>
      <c r="FM37" s="95"/>
      <c r="FN37" s="95"/>
      <c r="FO37" s="95"/>
      <c r="FP37" s="95"/>
      <c r="FQ37" s="95"/>
      <c r="FR37" s="95"/>
      <c r="FS37" s="95"/>
      <c r="FT37" s="95"/>
      <c r="FU37" s="95"/>
      <c r="FV37" s="95"/>
      <c r="FW37" s="95"/>
      <c r="FX37" s="95"/>
      <c r="FY37" s="95"/>
      <c r="FZ37" s="95"/>
      <c r="GA37" s="95"/>
      <c r="GB37" s="95"/>
      <c r="GC37" s="95"/>
      <c r="GD37" s="95"/>
      <c r="GE37" s="95"/>
      <c r="GF37" s="95"/>
      <c r="GG37" s="95"/>
      <c r="GH37" s="95"/>
      <c r="GI37" s="95"/>
      <c r="GJ37" s="95"/>
      <c r="GK37" s="95"/>
      <c r="GL37" s="95"/>
      <c r="GM37" s="95"/>
      <c r="GN37" s="95"/>
      <c r="GO37" s="95"/>
      <c r="GP37" s="95"/>
      <c r="GQ37" s="95"/>
      <c r="GR37" s="95"/>
      <c r="GS37" s="95"/>
      <c r="GT37" s="95"/>
      <c r="GU37" s="95"/>
      <c r="GV37" s="95"/>
      <c r="GW37" s="95"/>
      <c r="GX37" s="95"/>
      <c r="GY37" s="95"/>
      <c r="GZ37" s="95"/>
      <c r="HA37" s="95"/>
      <c r="HB37" s="95"/>
      <c r="HC37" s="95"/>
      <c r="HD37" s="95"/>
      <c r="HE37" s="95"/>
      <c r="HF37" s="95"/>
      <c r="HG37" s="95"/>
    </row>
    <row r="38" spans="1:215" s="22" customFormat="1" ht="21" customHeight="1">
      <c r="A38" s="81"/>
      <c r="B38" s="37"/>
      <c r="C38" s="37">
        <v>4110</v>
      </c>
      <c r="D38" s="12" t="s">
        <v>88</v>
      </c>
      <c r="E38" s="56">
        <f>20612+51000</f>
        <v>71612</v>
      </c>
      <c r="F38" s="56"/>
      <c r="G38" s="56">
        <f t="shared" si="7"/>
        <v>71612</v>
      </c>
      <c r="H38" s="56"/>
      <c r="I38" s="56">
        <f t="shared" si="8"/>
        <v>71612</v>
      </c>
      <c r="J38" s="56"/>
      <c r="K38" s="56">
        <f t="shared" si="9"/>
        <v>71612</v>
      </c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FA38" s="95"/>
      <c r="FB38" s="95"/>
      <c r="FC38" s="95"/>
      <c r="FD38" s="95"/>
      <c r="FE38" s="95"/>
      <c r="FF38" s="95"/>
      <c r="FG38" s="95"/>
      <c r="FH38" s="95"/>
      <c r="FI38" s="95"/>
      <c r="FJ38" s="95"/>
      <c r="FK38" s="95"/>
      <c r="FL38" s="95"/>
      <c r="FM38" s="95"/>
      <c r="FN38" s="95"/>
      <c r="FO38" s="95"/>
      <c r="FP38" s="95"/>
      <c r="FQ38" s="95"/>
      <c r="FR38" s="95"/>
      <c r="FS38" s="95"/>
      <c r="FT38" s="95"/>
      <c r="FU38" s="95"/>
      <c r="FV38" s="95"/>
      <c r="FW38" s="95"/>
      <c r="FX38" s="95"/>
      <c r="FY38" s="95"/>
      <c r="FZ38" s="95"/>
      <c r="GA38" s="95"/>
      <c r="GB38" s="95"/>
      <c r="GC38" s="95"/>
      <c r="GD38" s="95"/>
      <c r="GE38" s="95"/>
      <c r="GF38" s="95"/>
      <c r="GG38" s="95"/>
      <c r="GH38" s="95"/>
      <c r="GI38" s="95"/>
      <c r="GJ38" s="95"/>
      <c r="GK38" s="95"/>
      <c r="GL38" s="95"/>
      <c r="GM38" s="95"/>
      <c r="GN38" s="95"/>
      <c r="GO38" s="95"/>
      <c r="GP38" s="95"/>
      <c r="GQ38" s="95"/>
      <c r="GR38" s="95"/>
      <c r="GS38" s="95"/>
      <c r="GT38" s="95"/>
      <c r="GU38" s="95"/>
      <c r="GV38" s="95"/>
      <c r="GW38" s="95"/>
      <c r="GX38" s="95"/>
      <c r="GY38" s="95"/>
      <c r="GZ38" s="95"/>
      <c r="HA38" s="95"/>
      <c r="HB38" s="95"/>
      <c r="HC38" s="95"/>
      <c r="HD38" s="95"/>
      <c r="HE38" s="95"/>
      <c r="HF38" s="95"/>
      <c r="HG38" s="95"/>
    </row>
    <row r="39" spans="1:215" s="22" customFormat="1" ht="21" customHeight="1">
      <c r="A39" s="81"/>
      <c r="B39" s="37"/>
      <c r="C39" s="37">
        <v>4120</v>
      </c>
      <c r="D39" s="12" t="s">
        <v>89</v>
      </c>
      <c r="E39" s="56">
        <v>3305</v>
      </c>
      <c r="F39" s="56"/>
      <c r="G39" s="56">
        <f t="shared" si="7"/>
        <v>3305</v>
      </c>
      <c r="H39" s="56"/>
      <c r="I39" s="56">
        <f t="shared" si="8"/>
        <v>3305</v>
      </c>
      <c r="J39" s="56"/>
      <c r="K39" s="56">
        <f t="shared" si="9"/>
        <v>3305</v>
      </c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5"/>
      <c r="EF39" s="95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95"/>
      <c r="ES39" s="95"/>
      <c r="ET39" s="95"/>
      <c r="EU39" s="95"/>
      <c r="EV39" s="95"/>
      <c r="EW39" s="95"/>
      <c r="EX39" s="95"/>
      <c r="EY39" s="95"/>
      <c r="EZ39" s="95"/>
      <c r="FA39" s="95"/>
      <c r="FB39" s="95"/>
      <c r="FC39" s="95"/>
      <c r="FD39" s="95"/>
      <c r="FE39" s="95"/>
      <c r="FF39" s="95"/>
      <c r="FG39" s="95"/>
      <c r="FH39" s="95"/>
      <c r="FI39" s="95"/>
      <c r="FJ39" s="95"/>
      <c r="FK39" s="95"/>
      <c r="FL39" s="95"/>
      <c r="FM39" s="95"/>
      <c r="FN39" s="95"/>
      <c r="FO39" s="95"/>
      <c r="FP39" s="95"/>
      <c r="FQ39" s="95"/>
      <c r="FR39" s="95"/>
      <c r="FS39" s="95"/>
      <c r="FT39" s="95"/>
      <c r="FU39" s="95"/>
      <c r="FV39" s="95"/>
      <c r="FW39" s="95"/>
      <c r="FX39" s="95"/>
      <c r="FY39" s="95"/>
      <c r="FZ39" s="95"/>
      <c r="GA39" s="95"/>
      <c r="GB39" s="95"/>
      <c r="GC39" s="95"/>
      <c r="GD39" s="95"/>
      <c r="GE39" s="95"/>
      <c r="GF39" s="95"/>
      <c r="GG39" s="95"/>
      <c r="GH39" s="95"/>
      <c r="GI39" s="95"/>
      <c r="GJ39" s="95"/>
      <c r="GK39" s="95"/>
      <c r="GL39" s="95"/>
      <c r="GM39" s="95"/>
      <c r="GN39" s="95"/>
      <c r="GO39" s="95"/>
      <c r="GP39" s="95"/>
      <c r="GQ39" s="95"/>
      <c r="GR39" s="95"/>
      <c r="GS39" s="95"/>
      <c r="GT39" s="95"/>
      <c r="GU39" s="95"/>
      <c r="GV39" s="95"/>
      <c r="GW39" s="95"/>
      <c r="GX39" s="95"/>
      <c r="GY39" s="95"/>
      <c r="GZ39" s="95"/>
      <c r="HA39" s="95"/>
      <c r="HB39" s="95"/>
      <c r="HC39" s="95"/>
      <c r="HD39" s="95"/>
      <c r="HE39" s="95"/>
      <c r="HF39" s="95"/>
      <c r="HG39" s="95"/>
    </row>
    <row r="40" spans="1:215" s="22" customFormat="1" ht="21" customHeight="1">
      <c r="A40" s="81"/>
      <c r="B40" s="37"/>
      <c r="C40" s="37">
        <v>4210</v>
      </c>
      <c r="D40" s="12" t="s">
        <v>94</v>
      </c>
      <c r="E40" s="56">
        <v>0</v>
      </c>
      <c r="F40" s="56">
        <v>5029</v>
      </c>
      <c r="G40" s="56">
        <f t="shared" si="7"/>
        <v>5029</v>
      </c>
      <c r="H40" s="56"/>
      <c r="I40" s="56">
        <f t="shared" si="8"/>
        <v>5029</v>
      </c>
      <c r="J40" s="56"/>
      <c r="K40" s="56">
        <f t="shared" si="9"/>
        <v>5029</v>
      </c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95"/>
      <c r="ES40" s="95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  <c r="FE40" s="95"/>
      <c r="FF40" s="95"/>
      <c r="FG40" s="95"/>
      <c r="FH40" s="95"/>
      <c r="FI40" s="95"/>
      <c r="FJ40" s="95"/>
      <c r="FK40" s="95"/>
      <c r="FL40" s="95"/>
      <c r="FM40" s="95"/>
      <c r="FN40" s="95"/>
      <c r="FO40" s="95"/>
      <c r="FP40" s="95"/>
      <c r="FQ40" s="95"/>
      <c r="FR40" s="95"/>
      <c r="FS40" s="95"/>
      <c r="FT40" s="95"/>
      <c r="FU40" s="95"/>
      <c r="FV40" s="95"/>
      <c r="FW40" s="95"/>
      <c r="FX40" s="95"/>
      <c r="FY40" s="95"/>
      <c r="FZ40" s="95"/>
      <c r="GA40" s="95"/>
      <c r="GB40" s="95"/>
      <c r="GC40" s="95"/>
      <c r="GD40" s="95"/>
      <c r="GE40" s="95"/>
      <c r="GF40" s="95"/>
      <c r="GG40" s="95"/>
      <c r="GH40" s="95"/>
      <c r="GI40" s="95"/>
      <c r="GJ40" s="95"/>
      <c r="GK40" s="95"/>
      <c r="GL40" s="95"/>
      <c r="GM40" s="95"/>
      <c r="GN40" s="95"/>
      <c r="GO40" s="95"/>
      <c r="GP40" s="95"/>
      <c r="GQ40" s="95"/>
      <c r="GR40" s="95"/>
      <c r="GS40" s="95"/>
      <c r="GT40" s="95"/>
      <c r="GU40" s="95"/>
      <c r="GV40" s="95"/>
      <c r="GW40" s="95"/>
      <c r="GX40" s="95"/>
      <c r="GY40" s="95"/>
      <c r="GZ40" s="95"/>
      <c r="HA40" s="95"/>
      <c r="HB40" s="95"/>
      <c r="HC40" s="95"/>
      <c r="HD40" s="95"/>
      <c r="HE40" s="95"/>
      <c r="HF40" s="95"/>
      <c r="HG40" s="95"/>
    </row>
    <row r="41" spans="1:215" s="22" customFormat="1" ht="21" customHeight="1">
      <c r="A41" s="81"/>
      <c r="B41" s="37"/>
      <c r="C41" s="37">
        <v>4410</v>
      </c>
      <c r="D41" s="34" t="s">
        <v>92</v>
      </c>
      <c r="E41" s="56">
        <v>0</v>
      </c>
      <c r="F41" s="56">
        <v>2000</v>
      </c>
      <c r="G41" s="56">
        <f t="shared" si="7"/>
        <v>2000</v>
      </c>
      <c r="H41" s="56"/>
      <c r="I41" s="56">
        <f t="shared" si="8"/>
        <v>2000</v>
      </c>
      <c r="J41" s="56"/>
      <c r="K41" s="56">
        <f t="shared" si="9"/>
        <v>2000</v>
      </c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5"/>
      <c r="DE41" s="95"/>
      <c r="DF41" s="95"/>
      <c r="DG41" s="95"/>
      <c r="DH41" s="95"/>
      <c r="DI41" s="95"/>
      <c r="DJ41" s="95"/>
      <c r="DK41" s="95"/>
      <c r="DL41" s="95"/>
      <c r="DM41" s="95"/>
      <c r="DN41" s="95"/>
      <c r="DO41" s="95"/>
      <c r="DP41" s="95"/>
      <c r="DQ41" s="95"/>
      <c r="DR41" s="95"/>
      <c r="DS41" s="95"/>
      <c r="DT41" s="95"/>
      <c r="DU41" s="95"/>
      <c r="DV41" s="95"/>
      <c r="DW41" s="95"/>
      <c r="DX41" s="95"/>
      <c r="DY41" s="95"/>
      <c r="DZ41" s="95"/>
      <c r="EA41" s="95"/>
      <c r="EB41" s="95"/>
      <c r="EC41" s="95"/>
      <c r="ED41" s="95"/>
      <c r="EE41" s="95"/>
      <c r="EF41" s="95"/>
      <c r="EG41" s="95"/>
      <c r="EH41" s="95"/>
      <c r="EI41" s="95"/>
      <c r="EJ41" s="95"/>
      <c r="EK41" s="95"/>
      <c r="EL41" s="95"/>
      <c r="EM41" s="95"/>
      <c r="EN41" s="95"/>
      <c r="EO41" s="95"/>
      <c r="EP41" s="95"/>
      <c r="EQ41" s="95"/>
      <c r="ER41" s="95"/>
      <c r="ES41" s="95"/>
      <c r="ET41" s="95"/>
      <c r="EU41" s="95"/>
      <c r="EV41" s="95"/>
      <c r="EW41" s="95"/>
      <c r="EX41" s="95"/>
      <c r="EY41" s="95"/>
      <c r="EZ41" s="95"/>
      <c r="FA41" s="95"/>
      <c r="FB41" s="95"/>
      <c r="FC41" s="95"/>
      <c r="FD41" s="95"/>
      <c r="FE41" s="95"/>
      <c r="FF41" s="95"/>
      <c r="FG41" s="95"/>
      <c r="FH41" s="95"/>
      <c r="FI41" s="95"/>
      <c r="FJ41" s="95"/>
      <c r="FK41" s="95"/>
      <c r="FL41" s="95"/>
      <c r="FM41" s="95"/>
      <c r="FN41" s="95"/>
      <c r="FO41" s="95"/>
      <c r="FP41" s="95"/>
      <c r="FQ41" s="95"/>
      <c r="FR41" s="95"/>
      <c r="FS41" s="95"/>
      <c r="FT41" s="95"/>
      <c r="FU41" s="95"/>
      <c r="FV41" s="95"/>
      <c r="FW41" s="95"/>
      <c r="FX41" s="95"/>
      <c r="FY41" s="95"/>
      <c r="FZ41" s="95"/>
      <c r="GA41" s="95"/>
      <c r="GB41" s="95"/>
      <c r="GC41" s="95"/>
      <c r="GD41" s="95"/>
      <c r="GE41" s="95"/>
      <c r="GF41" s="95"/>
      <c r="GG41" s="95"/>
      <c r="GH41" s="95"/>
      <c r="GI41" s="95"/>
      <c r="GJ41" s="95"/>
      <c r="GK41" s="95"/>
      <c r="GL41" s="95"/>
      <c r="GM41" s="95"/>
      <c r="GN41" s="95"/>
      <c r="GO41" s="95"/>
      <c r="GP41" s="95"/>
      <c r="GQ41" s="95"/>
      <c r="GR41" s="95"/>
      <c r="GS41" s="95"/>
      <c r="GT41" s="95"/>
      <c r="GU41" s="95"/>
      <c r="GV41" s="95"/>
      <c r="GW41" s="95"/>
      <c r="GX41" s="95"/>
      <c r="GY41" s="95"/>
      <c r="GZ41" s="95"/>
      <c r="HA41" s="95"/>
      <c r="HB41" s="95"/>
      <c r="HC41" s="95"/>
      <c r="HD41" s="95"/>
      <c r="HE41" s="95"/>
      <c r="HF41" s="95"/>
      <c r="HG41" s="95"/>
    </row>
    <row r="42" spans="1:215" s="22" customFormat="1" ht="21" customHeight="1">
      <c r="A42" s="81"/>
      <c r="B42" s="37"/>
      <c r="C42" s="37">
        <v>4430</v>
      </c>
      <c r="D42" s="34" t="s">
        <v>96</v>
      </c>
      <c r="E42" s="56">
        <v>0</v>
      </c>
      <c r="F42" s="56">
        <v>1000</v>
      </c>
      <c r="G42" s="56">
        <f t="shared" si="7"/>
        <v>1000</v>
      </c>
      <c r="H42" s="56"/>
      <c r="I42" s="56">
        <f t="shared" si="8"/>
        <v>1000</v>
      </c>
      <c r="J42" s="56"/>
      <c r="K42" s="56">
        <f t="shared" si="9"/>
        <v>1000</v>
      </c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95"/>
      <c r="EE42" s="95"/>
      <c r="EF42" s="95"/>
      <c r="EG42" s="95"/>
      <c r="EH42" s="95"/>
      <c r="EI42" s="95"/>
      <c r="EJ42" s="95"/>
      <c r="EK42" s="95"/>
      <c r="EL42" s="95"/>
      <c r="EM42" s="95"/>
      <c r="EN42" s="95"/>
      <c r="EO42" s="95"/>
      <c r="EP42" s="95"/>
      <c r="EQ42" s="95"/>
      <c r="ER42" s="95"/>
      <c r="ES42" s="95"/>
      <c r="ET42" s="95"/>
      <c r="EU42" s="95"/>
      <c r="EV42" s="95"/>
      <c r="EW42" s="95"/>
      <c r="EX42" s="95"/>
      <c r="EY42" s="95"/>
      <c r="EZ42" s="95"/>
      <c r="FA42" s="95"/>
      <c r="FB42" s="95"/>
      <c r="FC42" s="95"/>
      <c r="FD42" s="95"/>
      <c r="FE42" s="95"/>
      <c r="FF42" s="95"/>
      <c r="FG42" s="95"/>
      <c r="FH42" s="95"/>
      <c r="FI42" s="95"/>
      <c r="FJ42" s="95"/>
      <c r="FK42" s="95"/>
      <c r="FL42" s="95"/>
      <c r="FM42" s="95"/>
      <c r="FN42" s="95"/>
      <c r="FO42" s="95"/>
      <c r="FP42" s="95"/>
      <c r="FQ42" s="95"/>
      <c r="FR42" s="95"/>
      <c r="FS42" s="95"/>
      <c r="FT42" s="95"/>
      <c r="FU42" s="95"/>
      <c r="FV42" s="95"/>
      <c r="FW42" s="95"/>
      <c r="FX42" s="95"/>
      <c r="FY42" s="95"/>
      <c r="FZ42" s="95"/>
      <c r="GA42" s="95"/>
      <c r="GB42" s="95"/>
      <c r="GC42" s="95"/>
      <c r="GD42" s="95"/>
      <c r="GE42" s="95"/>
      <c r="GF42" s="95"/>
      <c r="GG42" s="95"/>
      <c r="GH42" s="95"/>
      <c r="GI42" s="95"/>
      <c r="GJ42" s="95"/>
      <c r="GK42" s="95"/>
      <c r="GL42" s="95"/>
      <c r="GM42" s="95"/>
      <c r="GN42" s="95"/>
      <c r="GO42" s="95"/>
      <c r="GP42" s="95"/>
      <c r="GQ42" s="95"/>
      <c r="GR42" s="95"/>
      <c r="GS42" s="95"/>
      <c r="GT42" s="95"/>
      <c r="GU42" s="95"/>
      <c r="GV42" s="95"/>
      <c r="GW42" s="95"/>
      <c r="GX42" s="95"/>
      <c r="GY42" s="95"/>
      <c r="GZ42" s="95"/>
      <c r="HA42" s="95"/>
      <c r="HB42" s="95"/>
      <c r="HC42" s="95"/>
      <c r="HD42" s="95"/>
      <c r="HE42" s="95"/>
      <c r="HF42" s="95"/>
      <c r="HG42" s="95"/>
    </row>
    <row r="43" spans="1:215" s="22" customFormat="1" ht="22.5">
      <c r="A43" s="81"/>
      <c r="B43" s="37"/>
      <c r="C43" s="37">
        <v>4440</v>
      </c>
      <c r="D43" s="12" t="s">
        <v>90</v>
      </c>
      <c r="E43" s="56">
        <v>4875</v>
      </c>
      <c r="F43" s="56">
        <v>126</v>
      </c>
      <c r="G43" s="56">
        <f t="shared" si="7"/>
        <v>5001</v>
      </c>
      <c r="H43" s="56"/>
      <c r="I43" s="56">
        <f t="shared" si="8"/>
        <v>5001</v>
      </c>
      <c r="J43" s="56"/>
      <c r="K43" s="56">
        <f t="shared" si="9"/>
        <v>5001</v>
      </c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5"/>
      <c r="CO43" s="95"/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5"/>
      <c r="DC43" s="95"/>
      <c r="DD43" s="95"/>
      <c r="DE43" s="95"/>
      <c r="DF43" s="95"/>
      <c r="DG43" s="95"/>
      <c r="DH43" s="95"/>
      <c r="DI43" s="95"/>
      <c r="DJ43" s="95"/>
      <c r="DK43" s="95"/>
      <c r="DL43" s="95"/>
      <c r="DM43" s="95"/>
      <c r="DN43" s="95"/>
      <c r="DO43" s="95"/>
      <c r="DP43" s="95"/>
      <c r="DQ43" s="95"/>
      <c r="DR43" s="95"/>
      <c r="DS43" s="95"/>
      <c r="DT43" s="95"/>
      <c r="DU43" s="95"/>
      <c r="DV43" s="95"/>
      <c r="DW43" s="95"/>
      <c r="DX43" s="95"/>
      <c r="DY43" s="95"/>
      <c r="DZ43" s="95"/>
      <c r="EA43" s="95"/>
      <c r="EB43" s="95"/>
      <c r="EC43" s="95"/>
      <c r="ED43" s="95"/>
      <c r="EE43" s="95"/>
      <c r="EF43" s="95"/>
      <c r="EG43" s="95"/>
      <c r="EH43" s="95"/>
      <c r="EI43" s="95"/>
      <c r="EJ43" s="95"/>
      <c r="EK43" s="95"/>
      <c r="EL43" s="95"/>
      <c r="EM43" s="95"/>
      <c r="EN43" s="95"/>
      <c r="EO43" s="95"/>
      <c r="EP43" s="95"/>
      <c r="EQ43" s="95"/>
      <c r="ER43" s="95"/>
      <c r="ES43" s="95"/>
      <c r="ET43" s="95"/>
      <c r="EU43" s="95"/>
      <c r="EV43" s="95"/>
      <c r="EW43" s="95"/>
      <c r="EX43" s="95"/>
      <c r="EY43" s="95"/>
      <c r="EZ43" s="95"/>
      <c r="FA43" s="95"/>
      <c r="FB43" s="95"/>
      <c r="FC43" s="95"/>
      <c r="FD43" s="95"/>
      <c r="FE43" s="95"/>
      <c r="FF43" s="95"/>
      <c r="FG43" s="95"/>
      <c r="FH43" s="95"/>
      <c r="FI43" s="95"/>
      <c r="FJ43" s="95"/>
      <c r="FK43" s="95"/>
      <c r="FL43" s="95"/>
      <c r="FM43" s="95"/>
      <c r="FN43" s="95"/>
      <c r="FO43" s="95"/>
      <c r="FP43" s="95"/>
      <c r="FQ43" s="95"/>
      <c r="FR43" s="95"/>
      <c r="FS43" s="95"/>
      <c r="FT43" s="95"/>
      <c r="FU43" s="95"/>
      <c r="FV43" s="95"/>
      <c r="FW43" s="95"/>
      <c r="FX43" s="95"/>
      <c r="FY43" s="95"/>
      <c r="FZ43" s="95"/>
      <c r="GA43" s="95"/>
      <c r="GB43" s="95"/>
      <c r="GC43" s="95"/>
      <c r="GD43" s="95"/>
      <c r="GE43" s="95"/>
      <c r="GF43" s="95"/>
      <c r="GG43" s="95"/>
      <c r="GH43" s="95"/>
      <c r="GI43" s="95"/>
      <c r="GJ43" s="95"/>
      <c r="GK43" s="95"/>
      <c r="GL43" s="95"/>
      <c r="GM43" s="95"/>
      <c r="GN43" s="95"/>
      <c r="GO43" s="95"/>
      <c r="GP43" s="95"/>
      <c r="GQ43" s="95"/>
      <c r="GR43" s="95"/>
      <c r="GS43" s="95"/>
      <c r="GT43" s="95"/>
      <c r="GU43" s="95"/>
      <c r="GV43" s="95"/>
      <c r="GW43" s="95"/>
      <c r="GX43" s="95"/>
      <c r="GY43" s="95"/>
      <c r="GZ43" s="95"/>
      <c r="HA43" s="95"/>
      <c r="HB43" s="95"/>
      <c r="HC43" s="95"/>
      <c r="HD43" s="95"/>
      <c r="HE43" s="95"/>
      <c r="HF43" s="95"/>
      <c r="HG43" s="95"/>
    </row>
    <row r="44" spans="1:215" s="22" customFormat="1" ht="21" customHeight="1">
      <c r="A44" s="81"/>
      <c r="B44" s="37"/>
      <c r="C44" s="65">
        <v>4580</v>
      </c>
      <c r="D44" s="62" t="s">
        <v>11</v>
      </c>
      <c r="E44" s="56">
        <v>0</v>
      </c>
      <c r="F44" s="56">
        <v>200</v>
      </c>
      <c r="G44" s="56">
        <f t="shared" si="7"/>
        <v>200</v>
      </c>
      <c r="H44" s="56"/>
      <c r="I44" s="56">
        <f t="shared" si="8"/>
        <v>200</v>
      </c>
      <c r="J44" s="56"/>
      <c r="K44" s="56">
        <f t="shared" si="9"/>
        <v>200</v>
      </c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5"/>
      <c r="DN44" s="95"/>
      <c r="DO44" s="95"/>
      <c r="DP44" s="95"/>
      <c r="DQ44" s="95"/>
      <c r="DR44" s="95"/>
      <c r="DS44" s="95"/>
      <c r="DT44" s="95"/>
      <c r="DU44" s="95"/>
      <c r="DV44" s="95"/>
      <c r="DW44" s="95"/>
      <c r="DX44" s="95"/>
      <c r="DY44" s="95"/>
      <c r="DZ44" s="95"/>
      <c r="EA44" s="95"/>
      <c r="EB44" s="95"/>
      <c r="EC44" s="95"/>
      <c r="ED44" s="95"/>
      <c r="EE44" s="95"/>
      <c r="EF44" s="95"/>
      <c r="EG44" s="95"/>
      <c r="EH44" s="95"/>
      <c r="EI44" s="95"/>
      <c r="EJ44" s="95"/>
      <c r="EK44" s="95"/>
      <c r="EL44" s="95"/>
      <c r="EM44" s="95"/>
      <c r="EN44" s="95"/>
      <c r="EO44" s="95"/>
      <c r="EP44" s="95"/>
      <c r="EQ44" s="95"/>
      <c r="ER44" s="95"/>
      <c r="ES44" s="95"/>
      <c r="ET44" s="95"/>
      <c r="EU44" s="95"/>
      <c r="EV44" s="95"/>
      <c r="EW44" s="95"/>
      <c r="EX44" s="95"/>
      <c r="EY44" s="95"/>
      <c r="EZ44" s="95"/>
      <c r="FA44" s="95"/>
      <c r="FB44" s="95"/>
      <c r="FC44" s="95"/>
      <c r="FD44" s="95"/>
      <c r="FE44" s="95"/>
      <c r="FF44" s="95"/>
      <c r="FG44" s="95"/>
      <c r="FH44" s="95"/>
      <c r="FI44" s="95"/>
      <c r="FJ44" s="95"/>
      <c r="FK44" s="95"/>
      <c r="FL44" s="95"/>
      <c r="FM44" s="95"/>
      <c r="FN44" s="95"/>
      <c r="FO44" s="95"/>
      <c r="FP44" s="95"/>
      <c r="FQ44" s="95"/>
      <c r="FR44" s="95"/>
      <c r="FS44" s="95"/>
      <c r="FT44" s="95"/>
      <c r="FU44" s="95"/>
      <c r="FV44" s="95"/>
      <c r="FW44" s="95"/>
      <c r="FX44" s="95"/>
      <c r="FY44" s="95"/>
      <c r="FZ44" s="95"/>
      <c r="GA44" s="95"/>
      <c r="GB44" s="95"/>
      <c r="GC44" s="95"/>
      <c r="GD44" s="95"/>
      <c r="GE44" s="95"/>
      <c r="GF44" s="95"/>
      <c r="GG44" s="95"/>
      <c r="GH44" s="95"/>
      <c r="GI44" s="95"/>
      <c r="GJ44" s="95"/>
      <c r="GK44" s="95"/>
      <c r="GL44" s="95"/>
      <c r="GM44" s="95"/>
      <c r="GN44" s="95"/>
      <c r="GO44" s="95"/>
      <c r="GP44" s="95"/>
      <c r="GQ44" s="95"/>
      <c r="GR44" s="95"/>
      <c r="GS44" s="95"/>
      <c r="GT44" s="95"/>
      <c r="GU44" s="95"/>
      <c r="GV44" s="95"/>
      <c r="GW44" s="95"/>
      <c r="GX44" s="95"/>
      <c r="GY44" s="95"/>
      <c r="GZ44" s="95"/>
      <c r="HA44" s="95"/>
      <c r="HB44" s="95"/>
      <c r="HC44" s="95"/>
      <c r="HD44" s="95"/>
      <c r="HE44" s="95"/>
      <c r="HF44" s="95"/>
      <c r="HG44" s="95"/>
    </row>
    <row r="45" spans="1:215" s="22" customFormat="1" ht="33.75">
      <c r="A45" s="81"/>
      <c r="B45" s="37"/>
      <c r="C45" s="65">
        <v>4740</v>
      </c>
      <c r="D45" s="34" t="s">
        <v>232</v>
      </c>
      <c r="E45" s="56">
        <v>0</v>
      </c>
      <c r="F45" s="56">
        <v>1000</v>
      </c>
      <c r="G45" s="56">
        <f t="shared" si="7"/>
        <v>1000</v>
      </c>
      <c r="H45" s="56"/>
      <c r="I45" s="56">
        <f t="shared" si="8"/>
        <v>1000</v>
      </c>
      <c r="J45" s="56"/>
      <c r="K45" s="56">
        <f t="shared" si="9"/>
        <v>1000</v>
      </c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  <c r="DH45" s="95"/>
      <c r="DI45" s="95"/>
      <c r="DJ45" s="95"/>
      <c r="DK45" s="95"/>
      <c r="DL45" s="95"/>
      <c r="DM45" s="95"/>
      <c r="DN45" s="95"/>
      <c r="DO45" s="95"/>
      <c r="DP45" s="95"/>
      <c r="DQ45" s="95"/>
      <c r="DR45" s="95"/>
      <c r="DS45" s="95"/>
      <c r="DT45" s="95"/>
      <c r="DU45" s="95"/>
      <c r="DV45" s="95"/>
      <c r="DW45" s="95"/>
      <c r="DX45" s="95"/>
      <c r="DY45" s="95"/>
      <c r="DZ45" s="95"/>
      <c r="EA45" s="95"/>
      <c r="EB45" s="95"/>
      <c r="EC45" s="95"/>
      <c r="ED45" s="95"/>
      <c r="EE45" s="95"/>
      <c r="EF45" s="95"/>
      <c r="EG45" s="95"/>
      <c r="EH45" s="95"/>
      <c r="EI45" s="95"/>
      <c r="EJ45" s="95"/>
      <c r="EK45" s="95"/>
      <c r="EL45" s="95"/>
      <c r="EM45" s="95"/>
      <c r="EN45" s="95"/>
      <c r="EO45" s="95"/>
      <c r="EP45" s="95"/>
      <c r="EQ45" s="95"/>
      <c r="ER45" s="95"/>
      <c r="ES45" s="95"/>
      <c r="ET45" s="95"/>
      <c r="EU45" s="95"/>
      <c r="EV45" s="95"/>
      <c r="EW45" s="95"/>
      <c r="EX45" s="95"/>
      <c r="EY45" s="95"/>
      <c r="EZ45" s="95"/>
      <c r="FA45" s="95"/>
      <c r="FB45" s="95"/>
      <c r="FC45" s="95"/>
      <c r="FD45" s="95"/>
      <c r="FE45" s="95"/>
      <c r="FF45" s="95"/>
      <c r="FG45" s="95"/>
      <c r="FH45" s="95"/>
      <c r="FI45" s="95"/>
      <c r="FJ45" s="95"/>
      <c r="FK45" s="95"/>
      <c r="FL45" s="95"/>
      <c r="FM45" s="95"/>
      <c r="FN45" s="95"/>
      <c r="FO45" s="95"/>
      <c r="FP45" s="95"/>
      <c r="FQ45" s="95"/>
      <c r="FR45" s="95"/>
      <c r="FS45" s="95"/>
      <c r="FT45" s="95"/>
      <c r="FU45" s="95"/>
      <c r="FV45" s="95"/>
      <c r="FW45" s="95"/>
      <c r="FX45" s="95"/>
      <c r="FY45" s="95"/>
      <c r="FZ45" s="95"/>
      <c r="GA45" s="95"/>
      <c r="GB45" s="95"/>
      <c r="GC45" s="95"/>
      <c r="GD45" s="95"/>
      <c r="GE45" s="95"/>
      <c r="GF45" s="95"/>
      <c r="GG45" s="95"/>
      <c r="GH45" s="95"/>
      <c r="GI45" s="95"/>
      <c r="GJ45" s="95"/>
      <c r="GK45" s="95"/>
      <c r="GL45" s="95"/>
      <c r="GM45" s="95"/>
      <c r="GN45" s="95"/>
      <c r="GO45" s="95"/>
      <c r="GP45" s="95"/>
      <c r="GQ45" s="95"/>
      <c r="GR45" s="95"/>
      <c r="GS45" s="95"/>
      <c r="GT45" s="95"/>
      <c r="GU45" s="95"/>
      <c r="GV45" s="95"/>
      <c r="GW45" s="95"/>
      <c r="GX45" s="95"/>
      <c r="GY45" s="95"/>
      <c r="GZ45" s="95"/>
      <c r="HA45" s="95"/>
      <c r="HB45" s="95"/>
      <c r="HC45" s="95"/>
      <c r="HD45" s="95"/>
      <c r="HE45" s="95"/>
      <c r="HF45" s="95"/>
      <c r="HG45" s="95"/>
    </row>
    <row r="46" spans="1:215" s="22" customFormat="1" ht="22.5">
      <c r="A46" s="81"/>
      <c r="B46" s="37"/>
      <c r="C46" s="65">
        <v>4750</v>
      </c>
      <c r="D46" s="34" t="s">
        <v>252</v>
      </c>
      <c r="E46" s="56">
        <v>0</v>
      </c>
      <c r="F46" s="56">
        <v>1000</v>
      </c>
      <c r="G46" s="56">
        <f t="shared" si="7"/>
        <v>1000</v>
      </c>
      <c r="H46" s="56"/>
      <c r="I46" s="56">
        <f t="shared" si="8"/>
        <v>1000</v>
      </c>
      <c r="J46" s="56"/>
      <c r="K46" s="56">
        <f t="shared" si="9"/>
        <v>1000</v>
      </c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  <c r="DE46" s="95"/>
      <c r="DF46" s="95"/>
      <c r="DG46" s="95"/>
      <c r="DH46" s="95"/>
      <c r="DI46" s="95"/>
      <c r="DJ46" s="95"/>
      <c r="DK46" s="95"/>
      <c r="DL46" s="95"/>
      <c r="DM46" s="95"/>
      <c r="DN46" s="95"/>
      <c r="DO46" s="95"/>
      <c r="DP46" s="95"/>
      <c r="DQ46" s="95"/>
      <c r="DR46" s="95"/>
      <c r="DS46" s="95"/>
      <c r="DT46" s="95"/>
      <c r="DU46" s="95"/>
      <c r="DV46" s="95"/>
      <c r="DW46" s="95"/>
      <c r="DX46" s="95"/>
      <c r="DY46" s="95"/>
      <c r="DZ46" s="95"/>
      <c r="EA46" s="95"/>
      <c r="EB46" s="95"/>
      <c r="EC46" s="95"/>
      <c r="ED46" s="95"/>
      <c r="EE46" s="95"/>
      <c r="EF46" s="95"/>
      <c r="EG46" s="95"/>
      <c r="EH46" s="95"/>
      <c r="EI46" s="95"/>
      <c r="EJ46" s="95"/>
      <c r="EK46" s="95"/>
      <c r="EL46" s="95"/>
      <c r="EM46" s="95"/>
      <c r="EN46" s="95"/>
      <c r="EO46" s="95"/>
      <c r="EP46" s="95"/>
      <c r="EQ46" s="95"/>
      <c r="ER46" s="95"/>
      <c r="ES46" s="95"/>
      <c r="ET46" s="95"/>
      <c r="EU46" s="95"/>
      <c r="EV46" s="95"/>
      <c r="EW46" s="95"/>
      <c r="EX46" s="95"/>
      <c r="EY46" s="95"/>
      <c r="EZ46" s="95"/>
      <c r="FA46" s="95"/>
      <c r="FB46" s="95"/>
      <c r="FC46" s="95"/>
      <c r="FD46" s="95"/>
      <c r="FE46" s="95"/>
      <c r="FF46" s="95"/>
      <c r="FG46" s="95"/>
      <c r="FH46" s="95"/>
      <c r="FI46" s="95"/>
      <c r="FJ46" s="95"/>
      <c r="FK46" s="95"/>
      <c r="FL46" s="95"/>
      <c r="FM46" s="95"/>
      <c r="FN46" s="95"/>
      <c r="FO46" s="95"/>
      <c r="FP46" s="95"/>
      <c r="FQ46" s="95"/>
      <c r="FR46" s="95"/>
      <c r="FS46" s="95"/>
      <c r="FT46" s="95"/>
      <c r="FU46" s="95"/>
      <c r="FV46" s="95"/>
      <c r="FW46" s="95"/>
      <c r="FX46" s="95"/>
      <c r="FY46" s="95"/>
      <c r="FZ46" s="95"/>
      <c r="GA46" s="95"/>
      <c r="GB46" s="95"/>
      <c r="GC46" s="95"/>
      <c r="GD46" s="95"/>
      <c r="GE46" s="95"/>
      <c r="GF46" s="95"/>
      <c r="GG46" s="95"/>
      <c r="GH46" s="95"/>
      <c r="GI46" s="95"/>
      <c r="GJ46" s="95"/>
      <c r="GK46" s="95"/>
      <c r="GL46" s="95"/>
      <c r="GM46" s="95"/>
      <c r="GN46" s="95"/>
      <c r="GO46" s="95"/>
      <c r="GP46" s="95"/>
      <c r="GQ46" s="95"/>
      <c r="GR46" s="95"/>
      <c r="GS46" s="95"/>
      <c r="GT46" s="95"/>
      <c r="GU46" s="95"/>
      <c r="GV46" s="95"/>
      <c r="GW46" s="95"/>
      <c r="GX46" s="95"/>
      <c r="GY46" s="95"/>
      <c r="GZ46" s="95"/>
      <c r="HA46" s="95"/>
      <c r="HB46" s="95"/>
      <c r="HC46" s="95"/>
      <c r="HD46" s="95"/>
      <c r="HE46" s="95"/>
      <c r="HF46" s="95"/>
      <c r="HG46" s="95"/>
    </row>
    <row r="47" spans="1:215" s="22" customFormat="1" ht="78.75">
      <c r="A47" s="58"/>
      <c r="B47" s="37">
        <v>85213</v>
      </c>
      <c r="C47" s="65"/>
      <c r="D47" s="62" t="s">
        <v>267</v>
      </c>
      <c r="E47" s="77">
        <f aca="true" t="shared" si="10" ref="E47:K47">SUM(E48)</f>
        <v>59100</v>
      </c>
      <c r="F47" s="77">
        <f t="shared" si="10"/>
        <v>-4100</v>
      </c>
      <c r="G47" s="77">
        <f t="shared" si="10"/>
        <v>55000</v>
      </c>
      <c r="H47" s="77">
        <f t="shared" si="10"/>
        <v>0</v>
      </c>
      <c r="I47" s="77">
        <f t="shared" si="10"/>
        <v>55000</v>
      </c>
      <c r="J47" s="77">
        <f t="shared" si="10"/>
        <v>0</v>
      </c>
      <c r="K47" s="77">
        <f t="shared" si="10"/>
        <v>55000</v>
      </c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5"/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5"/>
      <c r="DC47" s="95"/>
      <c r="DD47" s="95"/>
      <c r="DE47" s="95"/>
      <c r="DF47" s="95"/>
      <c r="DG47" s="95"/>
      <c r="DH47" s="95"/>
      <c r="DI47" s="95"/>
      <c r="DJ47" s="95"/>
      <c r="DK47" s="95"/>
      <c r="DL47" s="95"/>
      <c r="DM47" s="95"/>
      <c r="DN47" s="95"/>
      <c r="DO47" s="95"/>
      <c r="DP47" s="95"/>
      <c r="DQ47" s="95"/>
      <c r="DR47" s="95"/>
      <c r="DS47" s="95"/>
      <c r="DT47" s="95"/>
      <c r="DU47" s="95"/>
      <c r="DV47" s="95"/>
      <c r="DW47" s="95"/>
      <c r="DX47" s="95"/>
      <c r="DY47" s="95"/>
      <c r="DZ47" s="95"/>
      <c r="EA47" s="95"/>
      <c r="EB47" s="95"/>
      <c r="EC47" s="95"/>
      <c r="ED47" s="95"/>
      <c r="EE47" s="95"/>
      <c r="EF47" s="95"/>
      <c r="EG47" s="95"/>
      <c r="EH47" s="95"/>
      <c r="EI47" s="95"/>
      <c r="EJ47" s="95"/>
      <c r="EK47" s="95"/>
      <c r="EL47" s="95"/>
      <c r="EM47" s="95"/>
      <c r="EN47" s="95"/>
      <c r="EO47" s="95"/>
      <c r="EP47" s="95"/>
      <c r="EQ47" s="95"/>
      <c r="ER47" s="95"/>
      <c r="ES47" s="95"/>
      <c r="ET47" s="95"/>
      <c r="EU47" s="95"/>
      <c r="EV47" s="95"/>
      <c r="EW47" s="95"/>
      <c r="EX47" s="95"/>
      <c r="EY47" s="95"/>
      <c r="EZ47" s="95"/>
      <c r="FA47" s="95"/>
      <c r="FB47" s="95"/>
      <c r="FC47" s="95"/>
      <c r="FD47" s="95"/>
      <c r="FE47" s="95"/>
      <c r="FF47" s="95"/>
      <c r="FG47" s="95"/>
      <c r="FH47" s="95"/>
      <c r="FI47" s="95"/>
      <c r="FJ47" s="95"/>
      <c r="FK47" s="95"/>
      <c r="FL47" s="95"/>
      <c r="FM47" s="95"/>
      <c r="FN47" s="95"/>
      <c r="FO47" s="95"/>
      <c r="FP47" s="95"/>
      <c r="FQ47" s="95"/>
      <c r="FR47" s="95"/>
      <c r="FS47" s="95"/>
      <c r="FT47" s="95"/>
      <c r="FU47" s="95"/>
      <c r="FV47" s="95"/>
      <c r="FW47" s="95"/>
      <c r="FX47" s="95"/>
      <c r="FY47" s="95"/>
      <c r="FZ47" s="95"/>
      <c r="GA47" s="95"/>
      <c r="GB47" s="95"/>
      <c r="GC47" s="95"/>
      <c r="GD47" s="95"/>
      <c r="GE47" s="95"/>
      <c r="GF47" s="95"/>
      <c r="GG47" s="95"/>
      <c r="GH47" s="95"/>
      <c r="GI47" s="95"/>
      <c r="GJ47" s="95"/>
      <c r="GK47" s="95"/>
      <c r="GL47" s="95"/>
      <c r="GM47" s="95"/>
      <c r="GN47" s="95"/>
      <c r="GO47" s="95"/>
      <c r="GP47" s="95"/>
      <c r="GQ47" s="95"/>
      <c r="GR47" s="95"/>
      <c r="GS47" s="95"/>
      <c r="GT47" s="95"/>
      <c r="GU47" s="95"/>
      <c r="GV47" s="95"/>
      <c r="GW47" s="95"/>
      <c r="GX47" s="95"/>
      <c r="GY47" s="95"/>
      <c r="GZ47" s="95"/>
      <c r="HA47" s="95"/>
      <c r="HB47" s="95"/>
      <c r="HC47" s="95"/>
      <c r="HD47" s="95"/>
      <c r="HE47" s="95"/>
      <c r="HF47" s="95"/>
      <c r="HG47" s="95"/>
    </row>
    <row r="48" spans="1:215" s="22" customFormat="1" ht="21" customHeight="1">
      <c r="A48" s="58"/>
      <c r="B48" s="37"/>
      <c r="C48" s="65">
        <v>4130</v>
      </c>
      <c r="D48" s="62" t="s">
        <v>122</v>
      </c>
      <c r="E48" s="77">
        <v>59100</v>
      </c>
      <c r="F48" s="77">
        <v>-4100</v>
      </c>
      <c r="G48" s="77">
        <f>SUM(E48:F48)</f>
        <v>55000</v>
      </c>
      <c r="H48" s="77"/>
      <c r="I48" s="77">
        <f>SUM(G48:H48)</f>
        <v>55000</v>
      </c>
      <c r="J48" s="77"/>
      <c r="K48" s="77">
        <f>SUM(I48:J48)</f>
        <v>55000</v>
      </c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  <c r="CC48" s="95"/>
      <c r="CD48" s="95"/>
      <c r="CE48" s="95"/>
      <c r="CF48" s="95"/>
      <c r="CG48" s="95"/>
      <c r="CH48" s="95"/>
      <c r="CI48" s="95"/>
      <c r="CJ48" s="95"/>
      <c r="CK48" s="95"/>
      <c r="CL48" s="95"/>
      <c r="CM48" s="95"/>
      <c r="CN48" s="95"/>
      <c r="CO48" s="95"/>
      <c r="CP48" s="95"/>
      <c r="CQ48" s="95"/>
      <c r="CR48" s="95"/>
      <c r="CS48" s="95"/>
      <c r="CT48" s="95"/>
      <c r="CU48" s="95"/>
      <c r="CV48" s="95"/>
      <c r="CW48" s="95"/>
      <c r="CX48" s="95"/>
      <c r="CY48" s="95"/>
      <c r="CZ48" s="95"/>
      <c r="DA48" s="95"/>
      <c r="DB48" s="95"/>
      <c r="DC48" s="95"/>
      <c r="DD48" s="95"/>
      <c r="DE48" s="95"/>
      <c r="DF48" s="95"/>
      <c r="DG48" s="95"/>
      <c r="DH48" s="95"/>
      <c r="DI48" s="95"/>
      <c r="DJ48" s="95"/>
      <c r="DK48" s="95"/>
      <c r="DL48" s="95"/>
      <c r="DM48" s="95"/>
      <c r="DN48" s="95"/>
      <c r="DO48" s="95"/>
      <c r="DP48" s="95"/>
      <c r="DQ48" s="95"/>
      <c r="DR48" s="95"/>
      <c r="DS48" s="95"/>
      <c r="DT48" s="95"/>
      <c r="DU48" s="95"/>
      <c r="DV48" s="95"/>
      <c r="DW48" s="95"/>
      <c r="DX48" s="95"/>
      <c r="DY48" s="95"/>
      <c r="DZ48" s="95"/>
      <c r="EA48" s="95"/>
      <c r="EB48" s="95"/>
      <c r="EC48" s="95"/>
      <c r="ED48" s="95"/>
      <c r="EE48" s="95"/>
      <c r="EF48" s="95"/>
      <c r="EG48" s="95"/>
      <c r="EH48" s="95"/>
      <c r="EI48" s="95"/>
      <c r="EJ48" s="95"/>
      <c r="EK48" s="95"/>
      <c r="EL48" s="95"/>
      <c r="EM48" s="95"/>
      <c r="EN48" s="95"/>
      <c r="EO48" s="95"/>
      <c r="EP48" s="95"/>
      <c r="EQ48" s="95"/>
      <c r="ER48" s="95"/>
      <c r="ES48" s="95"/>
      <c r="ET48" s="95"/>
      <c r="EU48" s="95"/>
      <c r="EV48" s="95"/>
      <c r="EW48" s="95"/>
      <c r="EX48" s="95"/>
      <c r="EY48" s="95"/>
      <c r="EZ48" s="95"/>
      <c r="FA48" s="95"/>
      <c r="FB48" s="95"/>
      <c r="FC48" s="95"/>
      <c r="FD48" s="95"/>
      <c r="FE48" s="95"/>
      <c r="FF48" s="95"/>
      <c r="FG48" s="95"/>
      <c r="FH48" s="95"/>
      <c r="FI48" s="95"/>
      <c r="FJ48" s="95"/>
      <c r="FK48" s="95"/>
      <c r="FL48" s="95"/>
      <c r="FM48" s="95"/>
      <c r="FN48" s="95"/>
      <c r="FO48" s="95"/>
      <c r="FP48" s="95"/>
      <c r="FQ48" s="95"/>
      <c r="FR48" s="95"/>
      <c r="FS48" s="95"/>
      <c r="FT48" s="95"/>
      <c r="FU48" s="95"/>
      <c r="FV48" s="95"/>
      <c r="FW48" s="95"/>
      <c r="FX48" s="95"/>
      <c r="FY48" s="95"/>
      <c r="FZ48" s="95"/>
      <c r="GA48" s="95"/>
      <c r="GB48" s="95"/>
      <c r="GC48" s="95"/>
      <c r="GD48" s="95"/>
      <c r="GE48" s="95"/>
      <c r="GF48" s="95"/>
      <c r="GG48" s="95"/>
      <c r="GH48" s="95"/>
      <c r="GI48" s="95"/>
      <c r="GJ48" s="95"/>
      <c r="GK48" s="95"/>
      <c r="GL48" s="95"/>
      <c r="GM48" s="95"/>
      <c r="GN48" s="95"/>
      <c r="GO48" s="95"/>
      <c r="GP48" s="95"/>
      <c r="GQ48" s="95"/>
      <c r="GR48" s="95"/>
      <c r="GS48" s="95"/>
      <c r="GT48" s="95"/>
      <c r="GU48" s="95"/>
      <c r="GV48" s="95"/>
      <c r="GW48" s="95"/>
      <c r="GX48" s="95"/>
      <c r="GY48" s="95"/>
      <c r="GZ48" s="95"/>
      <c r="HA48" s="95"/>
      <c r="HB48" s="95"/>
      <c r="HC48" s="95"/>
      <c r="HD48" s="95"/>
      <c r="HE48" s="95"/>
      <c r="HF48" s="95"/>
      <c r="HG48" s="95"/>
    </row>
    <row r="49" spans="1:215" s="47" customFormat="1" ht="22.5">
      <c r="A49" s="52"/>
      <c r="B49" s="52">
        <v>85214</v>
      </c>
      <c r="C49" s="53"/>
      <c r="D49" s="51" t="s">
        <v>210</v>
      </c>
      <c r="E49" s="79">
        <f aca="true" t="shared" si="11" ref="E49:K49">SUM(E50:E51)</f>
        <v>468000</v>
      </c>
      <c r="F49" s="79">
        <f t="shared" si="11"/>
        <v>50700</v>
      </c>
      <c r="G49" s="79">
        <f t="shared" si="11"/>
        <v>518700</v>
      </c>
      <c r="H49" s="79">
        <f t="shared" si="11"/>
        <v>0</v>
      </c>
      <c r="I49" s="79">
        <f t="shared" si="11"/>
        <v>518700</v>
      </c>
      <c r="J49" s="79">
        <f t="shared" si="11"/>
        <v>0</v>
      </c>
      <c r="K49" s="79">
        <f t="shared" si="11"/>
        <v>518700</v>
      </c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95"/>
      <c r="DA49" s="95"/>
      <c r="DB49" s="95"/>
      <c r="DC49" s="95"/>
      <c r="DD49" s="95"/>
      <c r="DE49" s="95"/>
      <c r="DF49" s="95"/>
      <c r="DG49" s="95"/>
      <c r="DH49" s="95"/>
      <c r="DI49" s="95"/>
      <c r="DJ49" s="95"/>
      <c r="DK49" s="95"/>
      <c r="DL49" s="95"/>
      <c r="DM49" s="95"/>
      <c r="DN49" s="95"/>
      <c r="DO49" s="95"/>
      <c r="DP49" s="95"/>
      <c r="DQ49" s="95"/>
      <c r="DR49" s="95"/>
      <c r="DS49" s="95"/>
      <c r="DT49" s="95"/>
      <c r="DU49" s="95"/>
      <c r="DV49" s="95"/>
      <c r="DW49" s="95"/>
      <c r="DX49" s="95"/>
      <c r="DY49" s="95"/>
      <c r="DZ49" s="95"/>
      <c r="EA49" s="95"/>
      <c r="EB49" s="95"/>
      <c r="EC49" s="95"/>
      <c r="ED49" s="95"/>
      <c r="EE49" s="95"/>
      <c r="EF49" s="95"/>
      <c r="EG49" s="95"/>
      <c r="EH49" s="95"/>
      <c r="EI49" s="95"/>
      <c r="EJ49" s="95"/>
      <c r="EK49" s="95"/>
      <c r="EL49" s="95"/>
      <c r="EM49" s="95"/>
      <c r="EN49" s="95"/>
      <c r="EO49" s="95"/>
      <c r="EP49" s="95"/>
      <c r="EQ49" s="95"/>
      <c r="ER49" s="95"/>
      <c r="ES49" s="95"/>
      <c r="ET49" s="95"/>
      <c r="EU49" s="95"/>
      <c r="EV49" s="95"/>
      <c r="EW49" s="95"/>
      <c r="EX49" s="95"/>
      <c r="EY49" s="95"/>
      <c r="EZ49" s="95"/>
      <c r="FA49" s="95"/>
      <c r="FB49" s="95"/>
      <c r="FC49" s="95"/>
      <c r="FD49" s="95"/>
      <c r="FE49" s="95"/>
      <c r="FF49" s="95"/>
      <c r="FG49" s="95"/>
      <c r="FH49" s="95"/>
      <c r="FI49" s="95"/>
      <c r="FJ49" s="95"/>
      <c r="FK49" s="95"/>
      <c r="FL49" s="95"/>
      <c r="FM49" s="95"/>
      <c r="FN49" s="95"/>
      <c r="FO49" s="95"/>
      <c r="FP49" s="95"/>
      <c r="FQ49" s="95"/>
      <c r="FR49" s="95"/>
      <c r="FS49" s="95"/>
      <c r="FT49" s="95"/>
      <c r="FU49" s="95"/>
      <c r="FV49" s="95"/>
      <c r="FW49" s="95"/>
      <c r="FX49" s="95"/>
      <c r="FY49" s="95"/>
      <c r="FZ49" s="95"/>
      <c r="GA49" s="95"/>
      <c r="GB49" s="95"/>
      <c r="GC49" s="95"/>
      <c r="GD49" s="95"/>
      <c r="GE49" s="95"/>
      <c r="GF49" s="95"/>
      <c r="GG49" s="95"/>
      <c r="GH49" s="95"/>
      <c r="GI49" s="95"/>
      <c r="GJ49" s="95"/>
      <c r="GK49" s="95"/>
      <c r="GL49" s="95"/>
      <c r="GM49" s="95"/>
      <c r="GN49" s="95"/>
      <c r="GO49" s="95"/>
      <c r="GP49" s="95"/>
      <c r="GQ49" s="95"/>
      <c r="GR49" s="95"/>
      <c r="GS49" s="95"/>
      <c r="GT49" s="95"/>
      <c r="GU49" s="95"/>
      <c r="GV49" s="95"/>
      <c r="GW49" s="95"/>
      <c r="GX49" s="95"/>
      <c r="GY49" s="95"/>
      <c r="GZ49" s="95"/>
      <c r="HA49" s="95"/>
      <c r="HB49" s="95"/>
      <c r="HC49" s="95"/>
      <c r="HD49" s="95"/>
      <c r="HE49" s="95"/>
      <c r="HF49" s="95"/>
      <c r="HG49" s="95"/>
    </row>
    <row r="50" spans="1:215" s="47" customFormat="1" ht="21" customHeight="1">
      <c r="A50" s="52"/>
      <c r="B50" s="71"/>
      <c r="C50" s="53">
        <v>3110</v>
      </c>
      <c r="D50" s="51" t="s">
        <v>114</v>
      </c>
      <c r="E50" s="79">
        <v>466900</v>
      </c>
      <c r="F50" s="79">
        <v>50700</v>
      </c>
      <c r="G50" s="79">
        <f>SUM(E50:F50)</f>
        <v>517600</v>
      </c>
      <c r="H50" s="79"/>
      <c r="I50" s="79">
        <f>SUM(G50:H50)</f>
        <v>517600</v>
      </c>
      <c r="J50" s="79"/>
      <c r="K50" s="79">
        <f>SUM(I50:J50)</f>
        <v>517600</v>
      </c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95"/>
      <c r="CO50" s="95"/>
      <c r="CP50" s="95"/>
      <c r="CQ50" s="95"/>
      <c r="CR50" s="95"/>
      <c r="CS50" s="95"/>
      <c r="CT50" s="95"/>
      <c r="CU50" s="95"/>
      <c r="CV50" s="95"/>
      <c r="CW50" s="95"/>
      <c r="CX50" s="95"/>
      <c r="CY50" s="95"/>
      <c r="CZ50" s="95"/>
      <c r="DA50" s="95"/>
      <c r="DB50" s="95"/>
      <c r="DC50" s="95"/>
      <c r="DD50" s="95"/>
      <c r="DE50" s="95"/>
      <c r="DF50" s="95"/>
      <c r="DG50" s="95"/>
      <c r="DH50" s="95"/>
      <c r="DI50" s="95"/>
      <c r="DJ50" s="95"/>
      <c r="DK50" s="95"/>
      <c r="DL50" s="95"/>
      <c r="DM50" s="95"/>
      <c r="DN50" s="95"/>
      <c r="DO50" s="95"/>
      <c r="DP50" s="95"/>
      <c r="DQ50" s="95"/>
      <c r="DR50" s="95"/>
      <c r="DS50" s="95"/>
      <c r="DT50" s="95"/>
      <c r="DU50" s="95"/>
      <c r="DV50" s="95"/>
      <c r="DW50" s="95"/>
      <c r="DX50" s="95"/>
      <c r="DY50" s="95"/>
      <c r="DZ50" s="95"/>
      <c r="EA50" s="95"/>
      <c r="EB50" s="95"/>
      <c r="EC50" s="95"/>
      <c r="ED50" s="95"/>
      <c r="EE50" s="95"/>
      <c r="EF50" s="95"/>
      <c r="EG50" s="95"/>
      <c r="EH50" s="95"/>
      <c r="EI50" s="95"/>
      <c r="EJ50" s="95"/>
      <c r="EK50" s="95"/>
      <c r="EL50" s="95"/>
      <c r="EM50" s="95"/>
      <c r="EN50" s="95"/>
      <c r="EO50" s="95"/>
      <c r="EP50" s="95"/>
      <c r="EQ50" s="95"/>
      <c r="ER50" s="95"/>
      <c r="ES50" s="95"/>
      <c r="ET50" s="95"/>
      <c r="EU50" s="95"/>
      <c r="EV50" s="95"/>
      <c r="EW50" s="95"/>
      <c r="EX50" s="95"/>
      <c r="EY50" s="95"/>
      <c r="EZ50" s="95"/>
      <c r="FA50" s="95"/>
      <c r="FB50" s="95"/>
      <c r="FC50" s="95"/>
      <c r="FD50" s="95"/>
      <c r="FE50" s="95"/>
      <c r="FF50" s="95"/>
      <c r="FG50" s="95"/>
      <c r="FH50" s="95"/>
      <c r="FI50" s="95"/>
      <c r="FJ50" s="95"/>
      <c r="FK50" s="95"/>
      <c r="FL50" s="95"/>
      <c r="FM50" s="95"/>
      <c r="FN50" s="95"/>
      <c r="FO50" s="95"/>
      <c r="FP50" s="95"/>
      <c r="FQ50" s="95"/>
      <c r="FR50" s="95"/>
      <c r="FS50" s="95"/>
      <c r="FT50" s="95"/>
      <c r="FU50" s="95"/>
      <c r="FV50" s="95"/>
      <c r="FW50" s="95"/>
      <c r="FX50" s="95"/>
      <c r="FY50" s="95"/>
      <c r="FZ50" s="95"/>
      <c r="GA50" s="95"/>
      <c r="GB50" s="95"/>
      <c r="GC50" s="95"/>
      <c r="GD50" s="95"/>
      <c r="GE50" s="95"/>
      <c r="GF50" s="95"/>
      <c r="GG50" s="95"/>
      <c r="GH50" s="95"/>
      <c r="GI50" s="95"/>
      <c r="GJ50" s="95"/>
      <c r="GK50" s="95"/>
      <c r="GL50" s="95"/>
      <c r="GM50" s="95"/>
      <c r="GN50" s="95"/>
      <c r="GO50" s="95"/>
      <c r="GP50" s="95"/>
      <c r="GQ50" s="95"/>
      <c r="GR50" s="95"/>
      <c r="GS50" s="95"/>
      <c r="GT50" s="95"/>
      <c r="GU50" s="95"/>
      <c r="GV50" s="95"/>
      <c r="GW50" s="95"/>
      <c r="GX50" s="95"/>
      <c r="GY50" s="95"/>
      <c r="GZ50" s="95"/>
      <c r="HA50" s="95"/>
      <c r="HB50" s="95"/>
      <c r="HC50" s="95"/>
      <c r="HD50" s="95"/>
      <c r="HE50" s="95"/>
      <c r="HF50" s="95"/>
      <c r="HG50" s="95"/>
    </row>
    <row r="51" spans="1:215" s="47" customFormat="1" ht="21" customHeight="1">
      <c r="A51" s="52"/>
      <c r="B51" s="71"/>
      <c r="C51" s="71">
        <v>4110</v>
      </c>
      <c r="D51" s="12" t="s">
        <v>88</v>
      </c>
      <c r="E51" s="79">
        <v>1100</v>
      </c>
      <c r="F51" s="79"/>
      <c r="G51" s="79">
        <f>SUM(E51:F51)</f>
        <v>1100</v>
      </c>
      <c r="H51" s="79"/>
      <c r="I51" s="79">
        <f>SUM(G51:H51)</f>
        <v>1100</v>
      </c>
      <c r="J51" s="79"/>
      <c r="K51" s="79">
        <f>SUM(I51:J51)</f>
        <v>1100</v>
      </c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95"/>
      <c r="CK51" s="95"/>
      <c r="CL51" s="95"/>
      <c r="CM51" s="95"/>
      <c r="CN51" s="95"/>
      <c r="CO51" s="95"/>
      <c r="CP51" s="95"/>
      <c r="CQ51" s="95"/>
      <c r="CR51" s="95"/>
      <c r="CS51" s="95"/>
      <c r="CT51" s="95"/>
      <c r="CU51" s="95"/>
      <c r="CV51" s="95"/>
      <c r="CW51" s="95"/>
      <c r="CX51" s="95"/>
      <c r="CY51" s="95"/>
      <c r="CZ51" s="95"/>
      <c r="DA51" s="95"/>
      <c r="DB51" s="95"/>
      <c r="DC51" s="95"/>
      <c r="DD51" s="95"/>
      <c r="DE51" s="95"/>
      <c r="DF51" s="95"/>
      <c r="DG51" s="95"/>
      <c r="DH51" s="95"/>
      <c r="DI51" s="95"/>
      <c r="DJ51" s="95"/>
      <c r="DK51" s="95"/>
      <c r="DL51" s="95"/>
      <c r="DM51" s="95"/>
      <c r="DN51" s="95"/>
      <c r="DO51" s="95"/>
      <c r="DP51" s="95"/>
      <c r="DQ51" s="95"/>
      <c r="DR51" s="95"/>
      <c r="DS51" s="95"/>
      <c r="DT51" s="95"/>
      <c r="DU51" s="95"/>
      <c r="DV51" s="95"/>
      <c r="DW51" s="95"/>
      <c r="DX51" s="95"/>
      <c r="DY51" s="95"/>
      <c r="DZ51" s="95"/>
      <c r="EA51" s="95"/>
      <c r="EB51" s="95"/>
      <c r="EC51" s="95"/>
      <c r="ED51" s="95"/>
      <c r="EE51" s="95"/>
      <c r="EF51" s="95"/>
      <c r="EG51" s="95"/>
      <c r="EH51" s="95"/>
      <c r="EI51" s="95"/>
      <c r="EJ51" s="95"/>
      <c r="EK51" s="95"/>
      <c r="EL51" s="95"/>
      <c r="EM51" s="95"/>
      <c r="EN51" s="95"/>
      <c r="EO51" s="95"/>
      <c r="EP51" s="95"/>
      <c r="EQ51" s="95"/>
      <c r="ER51" s="95"/>
      <c r="ES51" s="95"/>
      <c r="ET51" s="95"/>
      <c r="EU51" s="95"/>
      <c r="EV51" s="95"/>
      <c r="EW51" s="95"/>
      <c r="EX51" s="95"/>
      <c r="EY51" s="95"/>
      <c r="EZ51" s="95"/>
      <c r="FA51" s="95"/>
      <c r="FB51" s="95"/>
      <c r="FC51" s="95"/>
      <c r="FD51" s="95"/>
      <c r="FE51" s="95"/>
      <c r="FF51" s="95"/>
      <c r="FG51" s="95"/>
      <c r="FH51" s="95"/>
      <c r="FI51" s="95"/>
      <c r="FJ51" s="95"/>
      <c r="FK51" s="95"/>
      <c r="FL51" s="95"/>
      <c r="FM51" s="95"/>
      <c r="FN51" s="95"/>
      <c r="FO51" s="95"/>
      <c r="FP51" s="95"/>
      <c r="FQ51" s="95"/>
      <c r="FR51" s="95"/>
      <c r="FS51" s="95"/>
      <c r="FT51" s="95"/>
      <c r="FU51" s="95"/>
      <c r="FV51" s="95"/>
      <c r="FW51" s="95"/>
      <c r="FX51" s="95"/>
      <c r="FY51" s="95"/>
      <c r="FZ51" s="95"/>
      <c r="GA51" s="95"/>
      <c r="GB51" s="95"/>
      <c r="GC51" s="95"/>
      <c r="GD51" s="95"/>
      <c r="GE51" s="95"/>
      <c r="GF51" s="95"/>
      <c r="GG51" s="95"/>
      <c r="GH51" s="95"/>
      <c r="GI51" s="95"/>
      <c r="GJ51" s="95"/>
      <c r="GK51" s="95"/>
      <c r="GL51" s="95"/>
      <c r="GM51" s="95"/>
      <c r="GN51" s="95"/>
      <c r="GO51" s="95"/>
      <c r="GP51" s="95"/>
      <c r="GQ51" s="95"/>
      <c r="GR51" s="95"/>
      <c r="GS51" s="95"/>
      <c r="GT51" s="95"/>
      <c r="GU51" s="95"/>
      <c r="GV51" s="95"/>
      <c r="GW51" s="95"/>
      <c r="GX51" s="95"/>
      <c r="GY51" s="95"/>
      <c r="GZ51" s="95"/>
      <c r="HA51" s="95"/>
      <c r="HB51" s="95"/>
      <c r="HC51" s="95"/>
      <c r="HD51" s="95"/>
      <c r="HE51" s="95"/>
      <c r="HF51" s="95"/>
      <c r="HG51" s="95"/>
    </row>
    <row r="52" spans="1:215" ht="21" customHeight="1">
      <c r="A52" s="8"/>
      <c r="B52" s="8"/>
      <c r="C52" s="8"/>
      <c r="D52" s="16" t="s">
        <v>69</v>
      </c>
      <c r="E52" s="36">
        <f>SUM(E33,E18,E11,)</f>
        <v>7166710</v>
      </c>
      <c r="F52" s="36">
        <f>SUM(F33,F18,F11,)</f>
        <v>380900</v>
      </c>
      <c r="G52" s="36">
        <f>SUM(G33,G18,G11,)</f>
        <v>7547610</v>
      </c>
      <c r="H52" s="36">
        <f>SUM(H33,H18,H11,)</f>
        <v>19932</v>
      </c>
      <c r="I52" s="36">
        <f>SUM(I33,I18,I11,I7)</f>
        <v>7567542</v>
      </c>
      <c r="J52" s="36">
        <f>SUM(J33,J18,J11,J7)</f>
        <v>286502</v>
      </c>
      <c r="K52" s="36">
        <f>SUM(K33,K18,K11,K7)</f>
        <v>7854044</v>
      </c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  <c r="CC52" s="91"/>
      <c r="CD52" s="91"/>
      <c r="CE52" s="91"/>
      <c r="CF52" s="91"/>
      <c r="CG52" s="91"/>
      <c r="CH52" s="91"/>
      <c r="CI52" s="91"/>
      <c r="CJ52" s="91"/>
      <c r="CK52" s="91"/>
      <c r="CL52" s="91"/>
      <c r="CM52" s="91"/>
      <c r="CN52" s="91"/>
      <c r="CO52" s="91"/>
      <c r="CP52" s="91"/>
      <c r="CQ52" s="91"/>
      <c r="CR52" s="91"/>
      <c r="CS52" s="91"/>
      <c r="CT52" s="91"/>
      <c r="CU52" s="91"/>
      <c r="CV52" s="91"/>
      <c r="CW52" s="91"/>
      <c r="CX52" s="91"/>
      <c r="CY52" s="91"/>
      <c r="CZ52" s="91"/>
      <c r="DA52" s="91"/>
      <c r="DB52" s="91"/>
      <c r="DC52" s="91"/>
      <c r="DD52" s="91"/>
      <c r="DE52" s="91"/>
      <c r="DF52" s="91"/>
      <c r="DG52" s="91"/>
      <c r="DH52" s="91"/>
      <c r="DI52" s="91"/>
      <c r="DJ52" s="91"/>
      <c r="DK52" s="91"/>
      <c r="DL52" s="91"/>
      <c r="DM52" s="91"/>
      <c r="DN52" s="91"/>
      <c r="DO52" s="91"/>
      <c r="DP52" s="91"/>
      <c r="DQ52" s="91"/>
      <c r="DR52" s="91"/>
      <c r="DS52" s="91"/>
      <c r="DT52" s="91"/>
      <c r="DU52" s="91"/>
      <c r="DV52" s="91"/>
      <c r="DW52" s="91"/>
      <c r="DX52" s="91"/>
      <c r="DY52" s="91"/>
      <c r="DZ52" s="91"/>
      <c r="EA52" s="91"/>
      <c r="EB52" s="91"/>
      <c r="EC52" s="91"/>
      <c r="ED52" s="91"/>
      <c r="EE52" s="91"/>
      <c r="EF52" s="91"/>
      <c r="EG52" s="91"/>
      <c r="EH52" s="91"/>
      <c r="EI52" s="91"/>
      <c r="EJ52" s="91"/>
      <c r="EK52" s="91"/>
      <c r="EL52" s="91"/>
      <c r="EM52" s="91"/>
      <c r="EN52" s="91"/>
      <c r="EO52" s="91"/>
      <c r="EP52" s="91"/>
      <c r="EQ52" s="91"/>
      <c r="ER52" s="91"/>
      <c r="ES52" s="91"/>
      <c r="ET52" s="91"/>
      <c r="EU52" s="91"/>
      <c r="EV52" s="91"/>
      <c r="EW52" s="91"/>
      <c r="EX52" s="91"/>
      <c r="EY52" s="91"/>
      <c r="EZ52" s="91"/>
      <c r="FA52" s="91"/>
      <c r="FB52" s="91"/>
      <c r="FC52" s="91"/>
      <c r="FD52" s="91"/>
      <c r="FE52" s="91"/>
      <c r="FF52" s="91"/>
      <c r="FG52" s="91"/>
      <c r="FH52" s="91"/>
      <c r="FI52" s="91"/>
      <c r="FJ52" s="91"/>
      <c r="FK52" s="91"/>
      <c r="FL52" s="91"/>
      <c r="FM52" s="91"/>
      <c r="FN52" s="91"/>
      <c r="FO52" s="91"/>
      <c r="FP52" s="91"/>
      <c r="FQ52" s="91"/>
      <c r="FR52" s="91"/>
      <c r="FS52" s="91"/>
      <c r="FT52" s="91"/>
      <c r="FU52" s="91"/>
      <c r="FV52" s="91"/>
      <c r="FW52" s="91"/>
      <c r="FX52" s="91"/>
      <c r="FY52" s="91"/>
      <c r="FZ52" s="91"/>
      <c r="GA52" s="91"/>
      <c r="GB52" s="91"/>
      <c r="GC52" s="91"/>
      <c r="GD52" s="91"/>
      <c r="GE52" s="91"/>
      <c r="GF52" s="91"/>
      <c r="GG52" s="91"/>
      <c r="GH52" s="91"/>
      <c r="GI52" s="91"/>
      <c r="GJ52" s="91"/>
      <c r="GK52" s="91"/>
      <c r="GL52" s="91"/>
      <c r="GM52" s="91"/>
      <c r="GN52" s="91"/>
      <c r="GO52" s="91"/>
      <c r="GP52" s="91"/>
      <c r="GQ52" s="91"/>
      <c r="GR52" s="91"/>
      <c r="GS52" s="91"/>
      <c r="GT52" s="91"/>
      <c r="GU52" s="91"/>
      <c r="GV52" s="91"/>
      <c r="GW52" s="91"/>
      <c r="GX52" s="91"/>
      <c r="GY52" s="91"/>
      <c r="GZ52" s="91"/>
      <c r="HA52" s="91"/>
      <c r="HB52" s="91"/>
      <c r="HC52" s="91"/>
      <c r="HD52" s="91"/>
      <c r="HE52" s="91"/>
      <c r="HF52" s="91"/>
      <c r="HG52" s="91"/>
    </row>
    <row r="54" spans="5:11" ht="12.75">
      <c r="E54" s="22"/>
      <c r="F54" s="22"/>
      <c r="G54" s="22"/>
      <c r="H54" s="22"/>
      <c r="I54" s="22"/>
      <c r="J54" s="22"/>
      <c r="K54" s="22"/>
    </row>
    <row r="55" spans="5:11" ht="12.75">
      <c r="E55" s="97"/>
      <c r="F55" s="97"/>
      <c r="G55" s="97"/>
      <c r="H55" s="97"/>
      <c r="I55" s="97"/>
      <c r="J55" s="97"/>
      <c r="K55" s="97"/>
    </row>
    <row r="56" spans="5:11" ht="12.75">
      <c r="E56" s="22"/>
      <c r="F56" s="22"/>
      <c r="G56" s="22"/>
      <c r="H56" s="22"/>
      <c r="I56" s="22"/>
      <c r="J56" s="22"/>
      <c r="K56" s="22"/>
    </row>
    <row r="57" spans="5:11" ht="12.75">
      <c r="E57" s="97"/>
      <c r="F57" s="97"/>
      <c r="G57" s="97"/>
      <c r="H57" s="97"/>
      <c r="I57" s="97"/>
      <c r="J57" s="97"/>
      <c r="K57" s="97"/>
    </row>
    <row r="58" spans="5:11" ht="12.75">
      <c r="E58" s="22"/>
      <c r="F58" s="22"/>
      <c r="G58" s="22"/>
      <c r="H58" s="22"/>
      <c r="I58" s="22"/>
      <c r="J58" s="22"/>
      <c r="K58" s="22"/>
    </row>
    <row r="59" spans="5:11" ht="12.75">
      <c r="E59" s="97"/>
      <c r="F59" s="97"/>
      <c r="G59" s="97"/>
      <c r="H59" s="97"/>
      <c r="I59" s="97"/>
      <c r="J59" s="97"/>
      <c r="K59" s="97"/>
    </row>
    <row r="60" spans="5:11" ht="12.75">
      <c r="E60" s="22"/>
      <c r="F60" s="22"/>
      <c r="G60" s="22"/>
      <c r="H60" s="22"/>
      <c r="I60" s="22"/>
      <c r="J60" s="22"/>
      <c r="K60" s="22"/>
    </row>
    <row r="61" spans="5:11" ht="12.75">
      <c r="E61" s="97"/>
      <c r="F61" s="97"/>
      <c r="G61" s="97"/>
      <c r="H61" s="97"/>
      <c r="I61" s="97"/>
      <c r="J61" s="97"/>
      <c r="K61" s="97"/>
    </row>
    <row r="62" spans="5:11" ht="12.75">
      <c r="E62" s="97"/>
      <c r="F62" s="97"/>
      <c r="G62" s="97"/>
      <c r="H62" s="97"/>
      <c r="I62" s="97"/>
      <c r="J62" s="97"/>
      <c r="K62" s="97"/>
    </row>
    <row r="63" spans="5:11" ht="12.75">
      <c r="E63" s="22"/>
      <c r="F63" s="22"/>
      <c r="G63" s="22"/>
      <c r="H63" s="22"/>
      <c r="I63" s="22"/>
      <c r="J63" s="22"/>
      <c r="K63" s="22"/>
    </row>
    <row r="64" spans="5:11" ht="12.75">
      <c r="E64" s="22"/>
      <c r="F64" s="22"/>
      <c r="G64" s="22"/>
      <c r="H64" s="22"/>
      <c r="I64" s="22"/>
      <c r="J64" s="22"/>
      <c r="K64" s="22"/>
    </row>
    <row r="65" spans="5:11" ht="12.75">
      <c r="E65" s="97"/>
      <c r="F65" s="97"/>
      <c r="G65" s="97"/>
      <c r="H65" s="97"/>
      <c r="I65" s="97"/>
      <c r="J65" s="97"/>
      <c r="K65" s="97"/>
    </row>
    <row r="66" spans="5:11" ht="12.75">
      <c r="E66" s="22"/>
      <c r="F66" s="22"/>
      <c r="G66" s="22"/>
      <c r="H66" s="22"/>
      <c r="I66" s="22"/>
      <c r="J66" s="22"/>
      <c r="K66" s="22"/>
    </row>
    <row r="67" spans="5:11" ht="12.75">
      <c r="E67" s="22"/>
      <c r="F67" s="22"/>
      <c r="G67" s="22"/>
      <c r="H67" s="22"/>
      <c r="I67" s="22"/>
      <c r="J67" s="22"/>
      <c r="K67" s="22"/>
    </row>
    <row r="68" spans="5:11" ht="12.75">
      <c r="E68" s="22"/>
      <c r="F68" s="22"/>
      <c r="G68" s="22"/>
      <c r="H68" s="22"/>
      <c r="I68" s="22"/>
      <c r="J68" s="22"/>
      <c r="K68" s="22"/>
    </row>
    <row r="69" spans="5:11" ht="12.75">
      <c r="E69" s="22"/>
      <c r="F69" s="22"/>
      <c r="G69" s="22"/>
      <c r="H69" s="22"/>
      <c r="I69" s="22"/>
      <c r="J69" s="22"/>
      <c r="K69" s="22"/>
    </row>
    <row r="70" spans="5:11" ht="12.75">
      <c r="E70" s="22"/>
      <c r="F70" s="22"/>
      <c r="G70" s="22"/>
      <c r="H70" s="22"/>
      <c r="I70" s="22"/>
      <c r="J70" s="22"/>
      <c r="K70" s="22"/>
    </row>
  </sheetData>
  <sheetProtection/>
  <mergeCells count="1">
    <mergeCell ref="A5:K5"/>
  </mergeCells>
  <printOptions horizontalCentered="1"/>
  <pageMargins left="0.5511811023622047" right="0.5118110236220472" top="0.7874015748031497" bottom="0.7874015748031497" header="0.5118110236220472" footer="0.31496062992125984"/>
  <pageSetup horizontalDpi="600" verticalDpi="600" orientation="portrait" paperSize="9" r:id="rId1"/>
  <headerFooter alignWithMargins="0">
    <oddFooter>&amp;C&amp;8Administracja rządowa - str.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Trzciance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Trzciance</dc:creator>
  <cp:keywords/>
  <dc:description/>
  <cp:lastModifiedBy>Tomasz Witkowski</cp:lastModifiedBy>
  <cp:lastPrinted>2009-05-19T08:22:24Z</cp:lastPrinted>
  <dcterms:created xsi:type="dcterms:W3CDTF">2002-10-21T08:56:44Z</dcterms:created>
  <dcterms:modified xsi:type="dcterms:W3CDTF">2009-06-30T10:02:43Z</dcterms:modified>
  <cp:category/>
  <cp:version/>
  <cp:contentType/>
  <cp:contentStatus/>
</cp:coreProperties>
</file>